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1.xml" ContentType="application/vnd.openxmlformats-officedocument.spreadsheetml.comments+xml"/>
  <Override PartName="/xl/tables/table16.xml" ContentType="application/vnd.openxmlformats-officedocument.spreadsheetml.table+xml"/>
  <Override PartName="/xl/tables/table17.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Julien\Desktop\Perso\ESCEM 3A\Spé Finance\Hormopharm\"/>
    </mc:Choice>
  </mc:AlternateContent>
  <bookViews>
    <workbookView xWindow="650" yWindow="0" windowWidth="20730" windowHeight="11760" tabRatio="777"/>
  </bookViews>
  <sheets>
    <sheet name="Données" sheetId="2" r:id="rId1"/>
    <sheet name="Chances de réussites" sheetId="1" r:id="rId2"/>
    <sheet name="Cours en bourse" sheetId="4" r:id="rId3"/>
    <sheet name="Tx actualisation" sheetId="5" r:id="rId4"/>
    <sheet name="Scénario 1" sheetId="6" r:id="rId5"/>
    <sheet name="Scénario 2" sheetId="7" r:id="rId6"/>
    <sheet name="Scénario 3" sheetId="8" r:id="rId7"/>
    <sheet name="Choix de sous-traitant " sheetId="9" r:id="rId8"/>
    <sheet name="Recommandation" sheetId="10" r:id="rId9"/>
    <sheet name="VAN d'exploitation " sheetId="11" r:id="rId10"/>
    <sheet name="Scénarios d'exploitation (2)" sheetId="20" r:id="rId11"/>
    <sheet name="Scénarios d'exploitation" sheetId="12" r:id="rId12"/>
    <sheet name="OVAR" sheetId="14" r:id="rId13"/>
    <sheet name="TdB R&amp;D" sheetId="16" r:id="rId14"/>
    <sheet name="TdB Exploitation" sheetId="15" r:id="rId15"/>
    <sheet name="Dossier 4" sheetId="17" r:id="rId16"/>
    <sheet name="Dossier 5 " sheetId="18" r:id="rId17"/>
    <sheet name="Scénarios " sheetId="19" r:id="rId18"/>
    <sheet name="Trésorerie" sheetId="21" r:id="rId19"/>
    <sheet name="Valeur de l'action" sheetId="22" r:id="rId20"/>
    <sheet name="Politique de financement" sheetId="23" r:id="rId21"/>
    <sheet name="Offre Pfizer" sheetId="24" state="hidden" r:id="rId22"/>
    <sheet name="Recommendations" sheetId="25" r:id="rId23"/>
  </sheets>
  <externalReferences>
    <externalReference r:id="rId24"/>
    <externalReference r:id="rId25"/>
    <externalReference r:id="rId26"/>
    <externalReference r:id="rId27"/>
  </externalReferenc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189" i="23" l="1"/>
  <c r="B191" i="23"/>
  <c r="B192" i="23"/>
  <c r="B193" i="23"/>
  <c r="F10" i="2"/>
  <c r="C10" i="6"/>
  <c r="G10" i="2"/>
  <c r="C11" i="6"/>
  <c r="C9" i="6"/>
  <c r="C13" i="6"/>
  <c r="C18" i="6"/>
  <c r="C19" i="6"/>
  <c r="C23" i="6"/>
  <c r="V62" i="19"/>
  <c r="V66" i="19"/>
  <c r="C21" i="19"/>
  <c r="B195" i="23"/>
  <c r="M8" i="22"/>
  <c r="B184" i="23"/>
  <c r="B200" i="23"/>
  <c r="C189" i="23"/>
  <c r="C191" i="23"/>
  <c r="D15" i="19"/>
  <c r="C192" i="23"/>
  <c r="C193" i="23"/>
  <c r="D10" i="6"/>
  <c r="D9" i="6"/>
  <c r="D13" i="6"/>
  <c r="D18" i="6"/>
  <c r="D19" i="6"/>
  <c r="D23" i="6"/>
  <c r="W62" i="19"/>
  <c r="W66" i="19"/>
  <c r="D21" i="19"/>
  <c r="C195" i="23"/>
  <c r="C200" i="23"/>
  <c r="D189" i="23"/>
  <c r="D191" i="23"/>
  <c r="E15" i="19"/>
  <c r="D192" i="23"/>
  <c r="D193" i="23"/>
  <c r="E10" i="6"/>
  <c r="E11" i="6"/>
  <c r="E9" i="6"/>
  <c r="B13" i="2"/>
  <c r="C22" i="2"/>
  <c r="E22" i="2"/>
  <c r="B46" i="2"/>
  <c r="E14" i="6"/>
  <c r="E13" i="6"/>
  <c r="E18" i="6"/>
  <c r="E19" i="6"/>
  <c r="E23" i="6"/>
  <c r="X62" i="19"/>
  <c r="X66" i="19"/>
  <c r="E21" i="19"/>
  <c r="D195" i="23"/>
  <c r="D200" i="23"/>
  <c r="E189" i="23"/>
  <c r="E191" i="23"/>
  <c r="F15" i="19"/>
  <c r="E192" i="23"/>
  <c r="E193" i="23"/>
  <c r="F10" i="6"/>
  <c r="F11" i="6"/>
  <c r="F9" i="6"/>
  <c r="C23" i="2"/>
  <c r="E23" i="2"/>
  <c r="F14" i="6"/>
  <c r="B14" i="2"/>
  <c r="C31" i="2"/>
  <c r="E31" i="2"/>
  <c r="F15" i="6"/>
  <c r="F13" i="6"/>
  <c r="F18" i="6"/>
  <c r="F19" i="6"/>
  <c r="F23" i="6"/>
  <c r="Y62" i="19"/>
  <c r="Y66" i="19"/>
  <c r="F21" i="19"/>
  <c r="E195" i="23"/>
  <c r="E200" i="23"/>
  <c r="F189" i="23"/>
  <c r="F191" i="23"/>
  <c r="G15" i="19"/>
  <c r="F192" i="23"/>
  <c r="F193" i="23"/>
  <c r="G10" i="6"/>
  <c r="G11" i="6"/>
  <c r="G9" i="6"/>
  <c r="C24" i="2"/>
  <c r="E24" i="2"/>
  <c r="G14" i="6"/>
  <c r="G15" i="6"/>
  <c r="B15" i="2"/>
  <c r="C37" i="2"/>
  <c r="E37" i="2"/>
  <c r="G16" i="6"/>
  <c r="G13" i="6"/>
  <c r="G18" i="6"/>
  <c r="G19" i="6"/>
  <c r="G23" i="6"/>
  <c r="Z62" i="19"/>
  <c r="G189" i="23"/>
  <c r="G191" i="23"/>
  <c r="H15" i="19"/>
  <c r="G192" i="23"/>
  <c r="G193" i="23"/>
  <c r="H9" i="6"/>
  <c r="C25" i="2"/>
  <c r="E25" i="2"/>
  <c r="H14" i="6"/>
  <c r="C32" i="2"/>
  <c r="E32" i="2"/>
  <c r="H15" i="6"/>
  <c r="C38" i="2"/>
  <c r="E38" i="2"/>
  <c r="H16" i="6"/>
  <c r="H13" i="6"/>
  <c r="H18" i="6"/>
  <c r="H19" i="6"/>
  <c r="H23" i="6"/>
  <c r="AA62" i="19"/>
  <c r="H189" i="23"/>
  <c r="H191" i="23"/>
  <c r="I15" i="19"/>
  <c r="H192" i="23"/>
  <c r="H193" i="23"/>
  <c r="I9" i="6"/>
  <c r="C26" i="2"/>
  <c r="E26" i="2"/>
  <c r="I14" i="6"/>
  <c r="C33" i="2"/>
  <c r="E33" i="2"/>
  <c r="I15" i="6"/>
  <c r="C39" i="2"/>
  <c r="E39" i="2"/>
  <c r="I16" i="6"/>
  <c r="I13" i="6"/>
  <c r="I18" i="6"/>
  <c r="I19" i="6"/>
  <c r="I23" i="6"/>
  <c r="AB62" i="19"/>
  <c r="I189" i="23"/>
  <c r="I191" i="23"/>
  <c r="J15" i="19"/>
  <c r="I192" i="23"/>
  <c r="I193" i="23"/>
  <c r="J9" i="6"/>
  <c r="C27" i="2"/>
  <c r="E27" i="2"/>
  <c r="J14" i="6"/>
  <c r="C34" i="2"/>
  <c r="E34" i="2"/>
  <c r="J15" i="6"/>
  <c r="C40" i="2"/>
  <c r="E40" i="2"/>
  <c r="J16" i="6"/>
  <c r="J13" i="6"/>
  <c r="J18" i="6"/>
  <c r="J19" i="6"/>
  <c r="J23" i="6"/>
  <c r="AC62" i="19"/>
  <c r="J189" i="23"/>
  <c r="J191" i="23"/>
  <c r="K15" i="19"/>
  <c r="J192" i="23"/>
  <c r="J193" i="23"/>
  <c r="K9" i="6"/>
  <c r="C41" i="2"/>
  <c r="E41" i="2"/>
  <c r="K16" i="6"/>
  <c r="K13" i="6"/>
  <c r="K18" i="6"/>
  <c r="K19" i="6"/>
  <c r="K23" i="6"/>
  <c r="AD62" i="19"/>
  <c r="K189" i="23"/>
  <c r="K191" i="23"/>
  <c r="L15" i="19"/>
  <c r="K192" i="23"/>
  <c r="K193" i="23"/>
  <c r="L9" i="6"/>
  <c r="L23" i="6"/>
  <c r="AE62" i="19"/>
  <c r="L189" i="23"/>
  <c r="L191" i="23"/>
  <c r="M15" i="19"/>
  <c r="L192" i="23"/>
  <c r="L193" i="23"/>
  <c r="M9" i="6"/>
  <c r="M23" i="6"/>
  <c r="AF62" i="19"/>
  <c r="M189" i="23"/>
  <c r="M191" i="23"/>
  <c r="P3" i="19"/>
  <c r="N15" i="19"/>
  <c r="M192" i="23"/>
  <c r="M193" i="23"/>
  <c r="N9" i="6"/>
  <c r="N23" i="6"/>
  <c r="AG62" i="19"/>
  <c r="N189" i="23"/>
  <c r="N191" i="23"/>
  <c r="Q3" i="19"/>
  <c r="O15" i="19"/>
  <c r="N192" i="23"/>
  <c r="N193" i="23"/>
  <c r="O9" i="6"/>
  <c r="O23" i="6"/>
  <c r="AH62" i="19"/>
  <c r="O189" i="23"/>
  <c r="O191" i="23"/>
  <c r="R3" i="19"/>
  <c r="P15" i="19"/>
  <c r="O192" i="23"/>
  <c r="O193" i="23"/>
  <c r="P189" i="23"/>
  <c r="P191" i="23"/>
  <c r="S3" i="19"/>
  <c r="Q15" i="19"/>
  <c r="P192" i="23"/>
  <c r="P193" i="23"/>
  <c r="Q189" i="23"/>
  <c r="Q191" i="23"/>
  <c r="T3" i="19"/>
  <c r="R15" i="19"/>
  <c r="Q192" i="23"/>
  <c r="Q193" i="23"/>
  <c r="C30" i="19"/>
  <c r="C31" i="19"/>
  <c r="C10" i="19"/>
  <c r="C26" i="19"/>
  <c r="D10" i="19"/>
  <c r="D26" i="19"/>
  <c r="C201" i="23"/>
  <c r="C202" i="23"/>
  <c r="E10" i="19"/>
  <c r="E26" i="19"/>
  <c r="D201" i="23"/>
  <c r="D202" i="23"/>
  <c r="F10" i="19"/>
  <c r="F26" i="19"/>
  <c r="E201" i="23"/>
  <c r="E202" i="23"/>
  <c r="B201" i="23"/>
  <c r="B63" i="23"/>
  <c r="G45" i="23"/>
  <c r="M81" i="23"/>
  <c r="L81" i="23"/>
  <c r="L87" i="23"/>
  <c r="M87" i="23"/>
  <c r="C63" i="23"/>
  <c r="H45" i="23"/>
  <c r="N87" i="23"/>
  <c r="D63" i="23"/>
  <c r="I45" i="23"/>
  <c r="O87" i="23"/>
  <c r="M82" i="23"/>
  <c r="L82" i="23"/>
  <c r="L86" i="23"/>
  <c r="G52" i="23"/>
  <c r="M80" i="23"/>
  <c r="L80" i="23"/>
  <c r="L85" i="23"/>
  <c r="M85" i="23"/>
  <c r="N82" i="23"/>
  <c r="O82" i="23"/>
  <c r="N81" i="23"/>
  <c r="O81" i="23"/>
  <c r="H52" i="23"/>
  <c r="N80" i="23"/>
  <c r="I52" i="23"/>
  <c r="O80" i="23"/>
  <c r="O86" i="23"/>
  <c r="N86" i="23"/>
  <c r="M86" i="23"/>
  <c r="O85" i="23"/>
  <c r="N85" i="23"/>
  <c r="O84" i="23"/>
  <c r="N84" i="23"/>
  <c r="M84" i="23"/>
  <c r="L84" i="23"/>
  <c r="L15" i="4"/>
  <c r="C48" i="19"/>
  <c r="C43" i="19"/>
  <c r="D48" i="19"/>
  <c r="D43" i="19"/>
  <c r="E48" i="19"/>
  <c r="E43" i="19"/>
  <c r="F48" i="19"/>
  <c r="F43" i="19"/>
  <c r="P9" i="6"/>
  <c r="P23" i="6"/>
  <c r="Q9" i="6"/>
  <c r="Q23" i="6"/>
  <c r="D73" i="23"/>
  <c r="D74" i="23"/>
  <c r="C8" i="22"/>
  <c r="L18" i="22"/>
  <c r="B68" i="23"/>
  <c r="B70" i="23"/>
  <c r="D75" i="23"/>
  <c r="D76" i="23"/>
  <c r="B76" i="23"/>
  <c r="D110" i="23"/>
  <c r="D111" i="23"/>
  <c r="B107" i="23"/>
  <c r="D112" i="23"/>
  <c r="D113" i="23"/>
  <c r="B113" i="23"/>
  <c r="F113" i="23"/>
  <c r="B202" i="23"/>
  <c r="B197" i="23"/>
  <c r="E197" i="23"/>
  <c r="D197" i="23"/>
  <c r="C197" i="23"/>
  <c r="B135" i="23"/>
  <c r="C135" i="23"/>
  <c r="D135" i="23"/>
  <c r="E135" i="23"/>
  <c r="F135" i="23"/>
  <c r="G135" i="23"/>
  <c r="H135" i="23"/>
  <c r="I135" i="23"/>
  <c r="J135" i="23"/>
  <c r="K135" i="23"/>
  <c r="L135" i="23"/>
  <c r="M135" i="23"/>
  <c r="N135" i="23"/>
  <c r="O135" i="23"/>
  <c r="P135" i="23"/>
  <c r="Q135" i="23"/>
  <c r="B140" i="23"/>
  <c r="B170" i="23"/>
  <c r="B146" i="23"/>
  <c r="C146" i="23"/>
  <c r="D146" i="23"/>
  <c r="E146" i="23"/>
  <c r="F146" i="23"/>
  <c r="G146" i="23"/>
  <c r="H146" i="23"/>
  <c r="I146" i="23"/>
  <c r="J146" i="23"/>
  <c r="K146" i="23"/>
  <c r="L146" i="23"/>
  <c r="M146" i="23"/>
  <c r="N146" i="23"/>
  <c r="O146" i="23"/>
  <c r="P146" i="23"/>
  <c r="Q146" i="23"/>
  <c r="B151" i="23"/>
  <c r="C170" i="23"/>
  <c r="B158" i="23"/>
  <c r="C158" i="23"/>
  <c r="D158" i="23"/>
  <c r="E158" i="23"/>
  <c r="F158" i="23"/>
  <c r="G158" i="23"/>
  <c r="H158" i="23"/>
  <c r="I158" i="23"/>
  <c r="J158" i="23"/>
  <c r="K158" i="23"/>
  <c r="L158" i="23"/>
  <c r="M158" i="23"/>
  <c r="N158" i="23"/>
  <c r="O158" i="23"/>
  <c r="P158" i="23"/>
  <c r="Q158" i="23"/>
  <c r="B163" i="23"/>
  <c r="D170" i="23"/>
  <c r="B161" i="23"/>
  <c r="D169" i="23"/>
  <c r="B149" i="23"/>
  <c r="C169" i="23"/>
  <c r="B138" i="23"/>
  <c r="B169" i="23"/>
  <c r="E169" i="23"/>
  <c r="D168" i="23"/>
  <c r="C168" i="23"/>
  <c r="B168" i="23"/>
  <c r="W6" i="19"/>
  <c r="D27" i="21"/>
  <c r="C9" i="7"/>
  <c r="C10" i="7"/>
  <c r="C8" i="7"/>
  <c r="C12" i="7"/>
  <c r="C19" i="7"/>
  <c r="C20" i="7"/>
  <c r="C22" i="7"/>
  <c r="C23" i="7"/>
  <c r="C24" i="7"/>
  <c r="V64" i="19"/>
  <c r="C813" i="19"/>
  <c r="C822" i="19"/>
  <c r="C823" i="19"/>
  <c r="C81" i="19"/>
  <c r="C114" i="19"/>
  <c r="C147" i="19"/>
  <c r="C180" i="19"/>
  <c r="C213" i="19"/>
  <c r="C246" i="19"/>
  <c r="C807" i="19"/>
  <c r="C802" i="19"/>
  <c r="C818" i="19"/>
  <c r="D9" i="7"/>
  <c r="D10" i="7"/>
  <c r="D8" i="7"/>
  <c r="D12" i="7"/>
  <c r="D19" i="7"/>
  <c r="D20" i="7"/>
  <c r="D22" i="7"/>
  <c r="D23" i="7"/>
  <c r="D24" i="7"/>
  <c r="W64" i="19"/>
  <c r="D813" i="19"/>
  <c r="D81" i="19"/>
  <c r="D114" i="19"/>
  <c r="D147" i="19"/>
  <c r="D180" i="19"/>
  <c r="D213" i="19"/>
  <c r="D246" i="19"/>
  <c r="D807" i="19"/>
  <c r="D802" i="19"/>
  <c r="D818" i="19"/>
  <c r="X30" i="19"/>
  <c r="E19" i="21"/>
  <c r="E818" i="19"/>
  <c r="Y30" i="19"/>
  <c r="F19" i="21"/>
  <c r="F818" i="19"/>
  <c r="Z30" i="19"/>
  <c r="G19" i="21"/>
  <c r="G818" i="19"/>
  <c r="AA30" i="19"/>
  <c r="H19" i="21"/>
  <c r="H818" i="19"/>
  <c r="AB30" i="19"/>
  <c r="I19" i="21"/>
  <c r="I818" i="19"/>
  <c r="AC30" i="19"/>
  <c r="J19" i="21"/>
  <c r="J818" i="19"/>
  <c r="AD30" i="19"/>
  <c r="K19" i="21"/>
  <c r="K818" i="19"/>
  <c r="AE30" i="19"/>
  <c r="L19" i="21"/>
  <c r="L818" i="19"/>
  <c r="AF30" i="19"/>
  <c r="M19" i="21"/>
  <c r="M818" i="19"/>
  <c r="AG30" i="19"/>
  <c r="N19" i="21"/>
  <c r="N818" i="19"/>
  <c r="AH30" i="19"/>
  <c r="O19" i="21"/>
  <c r="O818" i="19"/>
  <c r="AI30" i="19"/>
  <c r="P19" i="21"/>
  <c r="P818" i="19"/>
  <c r="AJ30" i="19"/>
  <c r="Q19" i="21"/>
  <c r="Q818" i="19"/>
  <c r="AK30" i="19"/>
  <c r="R19" i="21"/>
  <c r="R818" i="19"/>
  <c r="AL30" i="19"/>
  <c r="S19" i="21"/>
  <c r="W30" i="19"/>
  <c r="D19" i="21"/>
  <c r="C846" i="19"/>
  <c r="C855" i="19"/>
  <c r="C856" i="19"/>
  <c r="C840" i="19"/>
  <c r="C835" i="19"/>
  <c r="C851" i="19"/>
  <c r="D846" i="19"/>
  <c r="D840" i="19"/>
  <c r="D835" i="19"/>
  <c r="D851" i="19"/>
  <c r="X31" i="19"/>
  <c r="C459" i="19"/>
  <c r="C460" i="19"/>
  <c r="C450" i="19"/>
  <c r="C444" i="19"/>
  <c r="C439" i="19"/>
  <c r="C455" i="19"/>
  <c r="D450" i="19"/>
  <c r="D444" i="19"/>
  <c r="D439" i="19"/>
  <c r="D455" i="19"/>
  <c r="X19" i="19"/>
  <c r="C525" i="19"/>
  <c r="C526" i="19"/>
  <c r="C516" i="19"/>
  <c r="C510" i="19"/>
  <c r="C505" i="19"/>
  <c r="C521" i="19"/>
  <c r="D516" i="19"/>
  <c r="D510" i="19"/>
  <c r="D505" i="19"/>
  <c r="D521" i="19"/>
  <c r="X21" i="19"/>
  <c r="C558" i="19"/>
  <c r="C559" i="19"/>
  <c r="C54" i="19"/>
  <c r="C549" i="19"/>
  <c r="C543" i="19"/>
  <c r="C538" i="19"/>
  <c r="C554" i="19"/>
  <c r="D54" i="19"/>
  <c r="D549" i="19"/>
  <c r="D543" i="19"/>
  <c r="D538" i="19"/>
  <c r="D554" i="19"/>
  <c r="X22" i="19"/>
  <c r="C657" i="19"/>
  <c r="C658" i="19"/>
  <c r="C648" i="19"/>
  <c r="C642" i="19"/>
  <c r="C637" i="19"/>
  <c r="C653" i="19"/>
  <c r="D648" i="19"/>
  <c r="D642" i="19"/>
  <c r="D637" i="19"/>
  <c r="D653" i="19"/>
  <c r="X25" i="19"/>
  <c r="C327" i="19"/>
  <c r="C328" i="19"/>
  <c r="C318" i="19"/>
  <c r="C312" i="19"/>
  <c r="C307" i="19"/>
  <c r="C323" i="19"/>
  <c r="D318" i="19"/>
  <c r="D312" i="19"/>
  <c r="D307" i="19"/>
  <c r="D323" i="19"/>
  <c r="X15" i="19"/>
  <c r="E15" i="21"/>
  <c r="E9" i="7"/>
  <c r="E13" i="7"/>
  <c r="E12" i="7"/>
  <c r="E19" i="7"/>
  <c r="E20" i="7"/>
  <c r="E22" i="7"/>
  <c r="E23" i="7"/>
  <c r="E10" i="7"/>
  <c r="E24" i="7"/>
  <c r="X64" i="19"/>
  <c r="E846" i="19"/>
  <c r="E81" i="19"/>
  <c r="E114" i="19"/>
  <c r="E147" i="19"/>
  <c r="E180" i="19"/>
  <c r="E213" i="19"/>
  <c r="E246" i="19"/>
  <c r="E840" i="19"/>
  <c r="E835" i="19"/>
  <c r="E851" i="19"/>
  <c r="Y31" i="19"/>
  <c r="E450" i="19"/>
  <c r="E444" i="19"/>
  <c r="E439" i="19"/>
  <c r="E455" i="19"/>
  <c r="Y19" i="19"/>
  <c r="E516" i="19"/>
  <c r="E510" i="19"/>
  <c r="E505" i="19"/>
  <c r="E521" i="19"/>
  <c r="Y21" i="19"/>
  <c r="E54" i="19"/>
  <c r="E549" i="19"/>
  <c r="E543" i="19"/>
  <c r="E538" i="19"/>
  <c r="E554" i="19"/>
  <c r="Y22" i="19"/>
  <c r="E648" i="19"/>
  <c r="E642" i="19"/>
  <c r="E637" i="19"/>
  <c r="E653" i="19"/>
  <c r="Y25" i="19"/>
  <c r="E318" i="19"/>
  <c r="E312" i="19"/>
  <c r="E307" i="19"/>
  <c r="E323" i="19"/>
  <c r="Y15" i="19"/>
  <c r="F15" i="21"/>
  <c r="F9" i="7"/>
  <c r="F13" i="7"/>
  <c r="F14" i="7"/>
  <c r="F12" i="7"/>
  <c r="F19" i="7"/>
  <c r="F20" i="7"/>
  <c r="F22" i="7"/>
  <c r="F23" i="7"/>
  <c r="F10" i="7"/>
  <c r="F24" i="7"/>
  <c r="Y64" i="19"/>
  <c r="F846" i="19"/>
  <c r="F81" i="19"/>
  <c r="F114" i="19"/>
  <c r="F147" i="19"/>
  <c r="F180" i="19"/>
  <c r="F213" i="19"/>
  <c r="F246" i="19"/>
  <c r="F840" i="19"/>
  <c r="F835" i="19"/>
  <c r="F851" i="19"/>
  <c r="Z31" i="19"/>
  <c r="F450" i="19"/>
  <c r="F444" i="19"/>
  <c r="F439" i="19"/>
  <c r="F455" i="19"/>
  <c r="Z19" i="19"/>
  <c r="F516" i="19"/>
  <c r="F510" i="19"/>
  <c r="F505" i="19"/>
  <c r="F521" i="19"/>
  <c r="Z21" i="19"/>
  <c r="F54" i="19"/>
  <c r="F549" i="19"/>
  <c r="F543" i="19"/>
  <c r="F538" i="19"/>
  <c r="F554" i="19"/>
  <c r="Z22" i="19"/>
  <c r="F648" i="19"/>
  <c r="F642" i="19"/>
  <c r="F637" i="19"/>
  <c r="F653" i="19"/>
  <c r="Z25" i="19"/>
  <c r="F318" i="19"/>
  <c r="F312" i="19"/>
  <c r="F307" i="19"/>
  <c r="F323" i="19"/>
  <c r="Z15" i="19"/>
  <c r="G15" i="21"/>
  <c r="G9" i="7"/>
  <c r="G10" i="7"/>
  <c r="G17" i="7"/>
  <c r="G12" i="7"/>
  <c r="G19" i="7"/>
  <c r="G20" i="7"/>
  <c r="G22" i="7"/>
  <c r="G23" i="7"/>
  <c r="G24" i="7"/>
  <c r="Z64" i="19"/>
  <c r="G846" i="19"/>
  <c r="G48" i="19"/>
  <c r="G81" i="19"/>
  <c r="G114" i="19"/>
  <c r="G147" i="19"/>
  <c r="G180" i="19"/>
  <c r="G213" i="19"/>
  <c r="G246" i="19"/>
  <c r="G840" i="19"/>
  <c r="G835" i="19"/>
  <c r="G851" i="19"/>
  <c r="AA31" i="19"/>
  <c r="AA64" i="19"/>
  <c r="H846" i="19"/>
  <c r="H48" i="19"/>
  <c r="H81" i="19"/>
  <c r="H114" i="19"/>
  <c r="H147" i="19"/>
  <c r="H180" i="19"/>
  <c r="H213" i="19"/>
  <c r="H246" i="19"/>
  <c r="H840" i="19"/>
  <c r="H835" i="19"/>
  <c r="H851" i="19"/>
  <c r="AB31" i="19"/>
  <c r="AB64" i="19"/>
  <c r="I846" i="19"/>
  <c r="I48" i="19"/>
  <c r="I81" i="19"/>
  <c r="I114" i="19"/>
  <c r="I147" i="19"/>
  <c r="I180" i="19"/>
  <c r="I213" i="19"/>
  <c r="I246" i="19"/>
  <c r="I840" i="19"/>
  <c r="I835" i="19"/>
  <c r="I851" i="19"/>
  <c r="AC31" i="19"/>
  <c r="AC64" i="19"/>
  <c r="J846" i="19"/>
  <c r="J48" i="19"/>
  <c r="J81" i="19"/>
  <c r="J114" i="19"/>
  <c r="J147" i="19"/>
  <c r="J180" i="19"/>
  <c r="J213" i="19"/>
  <c r="J246" i="19"/>
  <c r="J840" i="19"/>
  <c r="J835" i="19"/>
  <c r="J851" i="19"/>
  <c r="AD31" i="19"/>
  <c r="AD64" i="19"/>
  <c r="K846" i="19"/>
  <c r="K48" i="19"/>
  <c r="K81" i="19"/>
  <c r="K114" i="19"/>
  <c r="K147" i="19"/>
  <c r="K180" i="19"/>
  <c r="K213" i="19"/>
  <c r="K246" i="19"/>
  <c r="K840" i="19"/>
  <c r="K835" i="19"/>
  <c r="K851" i="19"/>
  <c r="AE31" i="19"/>
  <c r="L846" i="19"/>
  <c r="L48" i="19"/>
  <c r="L81" i="19"/>
  <c r="L114" i="19"/>
  <c r="L147" i="19"/>
  <c r="L180" i="19"/>
  <c r="L213" i="19"/>
  <c r="L246" i="19"/>
  <c r="L840" i="19"/>
  <c r="L835" i="19"/>
  <c r="L851" i="19"/>
  <c r="AF31" i="19"/>
  <c r="M846" i="19"/>
  <c r="M48" i="19"/>
  <c r="M81" i="19"/>
  <c r="M114" i="19"/>
  <c r="M147" i="19"/>
  <c r="M180" i="19"/>
  <c r="M213" i="19"/>
  <c r="M246" i="19"/>
  <c r="M840" i="19"/>
  <c r="M835" i="19"/>
  <c r="M851" i="19"/>
  <c r="AG31" i="19"/>
  <c r="N846" i="19"/>
  <c r="N48" i="19"/>
  <c r="N81" i="19"/>
  <c r="N114" i="19"/>
  <c r="N147" i="19"/>
  <c r="N180" i="19"/>
  <c r="N213" i="19"/>
  <c r="N246" i="19"/>
  <c r="N840" i="19"/>
  <c r="N835" i="19"/>
  <c r="N851" i="19"/>
  <c r="AH31" i="19"/>
  <c r="O846" i="19"/>
  <c r="O48" i="19"/>
  <c r="O81" i="19"/>
  <c r="O114" i="19"/>
  <c r="O147" i="19"/>
  <c r="O180" i="19"/>
  <c r="O213" i="19"/>
  <c r="O246" i="19"/>
  <c r="O840" i="19"/>
  <c r="O835" i="19"/>
  <c r="O851" i="19"/>
  <c r="AI31" i="19"/>
  <c r="P846" i="19"/>
  <c r="P48" i="19"/>
  <c r="P81" i="19"/>
  <c r="P114" i="19"/>
  <c r="P147" i="19"/>
  <c r="P180" i="19"/>
  <c r="P213" i="19"/>
  <c r="P246" i="19"/>
  <c r="P840" i="19"/>
  <c r="P835" i="19"/>
  <c r="P851" i="19"/>
  <c r="AJ31" i="19"/>
  <c r="Q846" i="19"/>
  <c r="Q48" i="19"/>
  <c r="Q81" i="19"/>
  <c r="Q114" i="19"/>
  <c r="Q147" i="19"/>
  <c r="Q180" i="19"/>
  <c r="Q213" i="19"/>
  <c r="Q246" i="19"/>
  <c r="Q840" i="19"/>
  <c r="Q835" i="19"/>
  <c r="Q851" i="19"/>
  <c r="AK31" i="19"/>
  <c r="R846" i="19"/>
  <c r="R48" i="19"/>
  <c r="R81" i="19"/>
  <c r="R114" i="19"/>
  <c r="R147" i="19"/>
  <c r="R180" i="19"/>
  <c r="R213" i="19"/>
  <c r="R246" i="19"/>
  <c r="R840" i="19"/>
  <c r="R835" i="19"/>
  <c r="R851" i="19"/>
  <c r="AL31" i="19"/>
  <c r="W31" i="19"/>
  <c r="W19" i="19"/>
  <c r="W21" i="19"/>
  <c r="W22" i="19"/>
  <c r="W25" i="19"/>
  <c r="W15" i="19"/>
  <c r="D15" i="21"/>
  <c r="E11" i="21"/>
  <c r="F11" i="21"/>
  <c r="G11" i="21"/>
  <c r="D11" i="21"/>
  <c r="C252" i="19"/>
  <c r="C261" i="19"/>
  <c r="C262" i="19"/>
  <c r="C241" i="19"/>
  <c r="C257" i="19"/>
  <c r="W13" i="19"/>
  <c r="C714" i="19"/>
  <c r="C723" i="19"/>
  <c r="C724" i="19"/>
  <c r="C708" i="19"/>
  <c r="C703" i="19"/>
  <c r="C719" i="19"/>
  <c r="W27" i="19"/>
  <c r="C747" i="19"/>
  <c r="C756" i="19"/>
  <c r="C757" i="19"/>
  <c r="C741" i="19"/>
  <c r="C736" i="19"/>
  <c r="C752" i="19"/>
  <c r="W28" i="19"/>
  <c r="C780" i="19"/>
  <c r="C789" i="19"/>
  <c r="C790" i="19"/>
  <c r="C774" i="19"/>
  <c r="C769" i="19"/>
  <c r="C785" i="19"/>
  <c r="W29" i="19"/>
  <c r="C879" i="19"/>
  <c r="C888" i="19"/>
  <c r="C889" i="19"/>
  <c r="C873" i="19"/>
  <c r="C868" i="19"/>
  <c r="C884" i="19"/>
  <c r="W32" i="19"/>
  <c r="C63" i="19"/>
  <c r="C64" i="19"/>
  <c r="C59" i="19"/>
  <c r="W7" i="19"/>
  <c r="C96" i="19"/>
  <c r="C97" i="19"/>
  <c r="C87" i="19"/>
  <c r="C76" i="19"/>
  <c r="C92" i="19"/>
  <c r="W8" i="19"/>
  <c r="C129" i="19"/>
  <c r="C130" i="19"/>
  <c r="C120" i="19"/>
  <c r="C109" i="19"/>
  <c r="C125" i="19"/>
  <c r="W9" i="19"/>
  <c r="C162" i="19"/>
  <c r="C163" i="19"/>
  <c r="C153" i="19"/>
  <c r="C142" i="19"/>
  <c r="C158" i="19"/>
  <c r="W10" i="19"/>
  <c r="C195" i="19"/>
  <c r="C196" i="19"/>
  <c r="C186" i="19"/>
  <c r="C175" i="19"/>
  <c r="C191" i="19"/>
  <c r="W11" i="19"/>
  <c r="C228" i="19"/>
  <c r="C229" i="19"/>
  <c r="C219" i="19"/>
  <c r="C208" i="19"/>
  <c r="C224" i="19"/>
  <c r="W12" i="19"/>
  <c r="C294" i="19"/>
  <c r="C295" i="19"/>
  <c r="C8" i="8"/>
  <c r="C7" i="8"/>
  <c r="C10" i="8"/>
  <c r="C15" i="8"/>
  <c r="C16" i="8"/>
  <c r="C18" i="8"/>
  <c r="C19" i="8"/>
  <c r="C21" i="8"/>
  <c r="V63" i="19"/>
  <c r="C285" i="19"/>
  <c r="C279" i="19"/>
  <c r="C274" i="19"/>
  <c r="C290" i="19"/>
  <c r="W14" i="19"/>
  <c r="C360" i="19"/>
  <c r="C361" i="19"/>
  <c r="C351" i="19"/>
  <c r="C345" i="19"/>
  <c r="C340" i="19"/>
  <c r="C356" i="19"/>
  <c r="W16" i="19"/>
  <c r="C393" i="19"/>
  <c r="C394" i="19"/>
  <c r="C384" i="19"/>
  <c r="C378" i="19"/>
  <c r="C373" i="19"/>
  <c r="C389" i="19"/>
  <c r="W17" i="19"/>
  <c r="C426" i="19"/>
  <c r="C427" i="19"/>
  <c r="C417" i="19"/>
  <c r="C411" i="19"/>
  <c r="C406" i="19"/>
  <c r="C422" i="19"/>
  <c r="W18" i="19"/>
  <c r="C492" i="19"/>
  <c r="C493" i="19"/>
  <c r="C483" i="19"/>
  <c r="C477" i="19"/>
  <c r="C472" i="19"/>
  <c r="C488" i="19"/>
  <c r="W20" i="19"/>
  <c r="C591" i="19"/>
  <c r="C592" i="19"/>
  <c r="C582" i="19"/>
  <c r="C576" i="19"/>
  <c r="C571" i="19"/>
  <c r="C587" i="19"/>
  <c r="W23" i="19"/>
  <c r="C624" i="19"/>
  <c r="C625" i="19"/>
  <c r="C615" i="19"/>
  <c r="C609" i="19"/>
  <c r="C604" i="19"/>
  <c r="C620" i="19"/>
  <c r="W24" i="19"/>
  <c r="C690" i="19"/>
  <c r="C691" i="19"/>
  <c r="C681" i="19"/>
  <c r="C675" i="19"/>
  <c r="C670" i="19"/>
  <c r="C686" i="19"/>
  <c r="W26" i="19"/>
  <c r="C921" i="19"/>
  <c r="C922" i="19"/>
  <c r="C912" i="19"/>
  <c r="C906" i="19"/>
  <c r="C901" i="19"/>
  <c r="C917" i="19"/>
  <c r="W33" i="19"/>
  <c r="C954" i="19"/>
  <c r="C955" i="19"/>
  <c r="C945" i="19"/>
  <c r="C939" i="19"/>
  <c r="C934" i="19"/>
  <c r="C950" i="19"/>
  <c r="W34" i="19"/>
  <c r="C987" i="19"/>
  <c r="C988" i="19"/>
  <c r="C978" i="19"/>
  <c r="C972" i="19"/>
  <c r="C967" i="19"/>
  <c r="C983" i="19"/>
  <c r="W35" i="19"/>
  <c r="C1020" i="19"/>
  <c r="C1021" i="19"/>
  <c r="C1011" i="19"/>
  <c r="C1005" i="19"/>
  <c r="C1000" i="19"/>
  <c r="C1016" i="19"/>
  <c r="W36" i="19"/>
  <c r="C1053" i="19"/>
  <c r="C1054" i="19"/>
  <c r="C1044" i="19"/>
  <c r="C1038" i="19"/>
  <c r="C1033" i="19"/>
  <c r="C1049" i="19"/>
  <c r="W37" i="19"/>
  <c r="C1086" i="19"/>
  <c r="C1087" i="19"/>
  <c r="C1077" i="19"/>
  <c r="C1071" i="19"/>
  <c r="C1066" i="19"/>
  <c r="C1082" i="19"/>
  <c r="W38" i="19"/>
  <c r="W41" i="19"/>
  <c r="D7" i="21"/>
  <c r="D252" i="19"/>
  <c r="D241" i="19"/>
  <c r="D257" i="19"/>
  <c r="X13" i="19"/>
  <c r="D714" i="19"/>
  <c r="D708" i="19"/>
  <c r="D703" i="19"/>
  <c r="D719" i="19"/>
  <c r="X27" i="19"/>
  <c r="D747" i="19"/>
  <c r="D741" i="19"/>
  <c r="D736" i="19"/>
  <c r="D752" i="19"/>
  <c r="X28" i="19"/>
  <c r="D780" i="19"/>
  <c r="D774" i="19"/>
  <c r="D769" i="19"/>
  <c r="D785" i="19"/>
  <c r="X29" i="19"/>
  <c r="D879" i="19"/>
  <c r="D873" i="19"/>
  <c r="D868" i="19"/>
  <c r="D884" i="19"/>
  <c r="X32" i="19"/>
  <c r="X6" i="19"/>
  <c r="D59" i="19"/>
  <c r="X7" i="19"/>
  <c r="D76" i="19"/>
  <c r="D87" i="19"/>
  <c r="D92" i="19"/>
  <c r="X8" i="19"/>
  <c r="D109" i="19"/>
  <c r="D120" i="19"/>
  <c r="D125" i="19"/>
  <c r="X9" i="19"/>
  <c r="D142" i="19"/>
  <c r="D153" i="19"/>
  <c r="D158" i="19"/>
  <c r="X10" i="19"/>
  <c r="D175" i="19"/>
  <c r="D186" i="19"/>
  <c r="D191" i="19"/>
  <c r="X11" i="19"/>
  <c r="D208" i="19"/>
  <c r="D219" i="19"/>
  <c r="D224" i="19"/>
  <c r="X12" i="19"/>
  <c r="D8" i="8"/>
  <c r="D7" i="8"/>
  <c r="D10" i="8"/>
  <c r="D15" i="8"/>
  <c r="D16" i="8"/>
  <c r="D18" i="8"/>
  <c r="D19" i="8"/>
  <c r="D21" i="8"/>
  <c r="W63" i="19"/>
  <c r="D285" i="19"/>
  <c r="D279" i="19"/>
  <c r="D274" i="19"/>
  <c r="D290" i="19"/>
  <c r="X14" i="19"/>
  <c r="D351" i="19"/>
  <c r="D345" i="19"/>
  <c r="D340" i="19"/>
  <c r="D356" i="19"/>
  <c r="X16" i="19"/>
  <c r="D384" i="19"/>
  <c r="D378" i="19"/>
  <c r="D373" i="19"/>
  <c r="D389" i="19"/>
  <c r="X17" i="19"/>
  <c r="D417" i="19"/>
  <c r="D411" i="19"/>
  <c r="D406" i="19"/>
  <c r="D422" i="19"/>
  <c r="X18" i="19"/>
  <c r="D483" i="19"/>
  <c r="D477" i="19"/>
  <c r="D472" i="19"/>
  <c r="D488" i="19"/>
  <c r="X20" i="19"/>
  <c r="D582" i="19"/>
  <c r="D576" i="19"/>
  <c r="D571" i="19"/>
  <c r="D587" i="19"/>
  <c r="X23" i="19"/>
  <c r="D615" i="19"/>
  <c r="D609" i="19"/>
  <c r="D604" i="19"/>
  <c r="D620" i="19"/>
  <c r="X24" i="19"/>
  <c r="D681" i="19"/>
  <c r="D675" i="19"/>
  <c r="D670" i="19"/>
  <c r="D686" i="19"/>
  <c r="X26" i="19"/>
  <c r="D912" i="19"/>
  <c r="D906" i="19"/>
  <c r="D901" i="19"/>
  <c r="D917" i="19"/>
  <c r="X33" i="19"/>
  <c r="D945" i="19"/>
  <c r="D939" i="19"/>
  <c r="D934" i="19"/>
  <c r="D950" i="19"/>
  <c r="X34" i="19"/>
  <c r="D978" i="19"/>
  <c r="D972" i="19"/>
  <c r="D967" i="19"/>
  <c r="D983" i="19"/>
  <c r="X35" i="19"/>
  <c r="D1011" i="19"/>
  <c r="D1005" i="19"/>
  <c r="D1000" i="19"/>
  <c r="D1016" i="19"/>
  <c r="X36" i="19"/>
  <c r="D1044" i="19"/>
  <c r="D1038" i="19"/>
  <c r="D1033" i="19"/>
  <c r="D1049" i="19"/>
  <c r="X37" i="19"/>
  <c r="D1077" i="19"/>
  <c r="D1071" i="19"/>
  <c r="D1066" i="19"/>
  <c r="D1082" i="19"/>
  <c r="X38" i="19"/>
  <c r="X41" i="19"/>
  <c r="E7" i="21"/>
  <c r="E252" i="19"/>
  <c r="E241" i="19"/>
  <c r="E257" i="19"/>
  <c r="Y13" i="19"/>
  <c r="E714" i="19"/>
  <c r="E708" i="19"/>
  <c r="E703" i="19"/>
  <c r="E719" i="19"/>
  <c r="Y27" i="19"/>
  <c r="E747" i="19"/>
  <c r="E741" i="19"/>
  <c r="E736" i="19"/>
  <c r="E752" i="19"/>
  <c r="Y28" i="19"/>
  <c r="E780" i="19"/>
  <c r="E774" i="19"/>
  <c r="E769" i="19"/>
  <c r="E785" i="19"/>
  <c r="Y29" i="19"/>
  <c r="E879" i="19"/>
  <c r="E873" i="19"/>
  <c r="E868" i="19"/>
  <c r="E884" i="19"/>
  <c r="Y32" i="19"/>
  <c r="E581" i="19"/>
  <c r="E587" i="19"/>
  <c r="Y23" i="19"/>
  <c r="Y6" i="19"/>
  <c r="E59" i="19"/>
  <c r="Y7" i="19"/>
  <c r="E76" i="19"/>
  <c r="E87" i="19"/>
  <c r="E92" i="19"/>
  <c r="Y8" i="19"/>
  <c r="E109" i="19"/>
  <c r="E120" i="19"/>
  <c r="E125" i="19"/>
  <c r="Y9" i="19"/>
  <c r="E142" i="19"/>
  <c r="E153" i="19"/>
  <c r="E158" i="19"/>
  <c r="Y10" i="19"/>
  <c r="E175" i="19"/>
  <c r="E186" i="19"/>
  <c r="E191" i="19"/>
  <c r="Y11" i="19"/>
  <c r="E208" i="19"/>
  <c r="E219" i="19"/>
  <c r="E224" i="19"/>
  <c r="Y12" i="19"/>
  <c r="E8" i="8"/>
  <c r="E7" i="8"/>
  <c r="E10" i="8"/>
  <c r="E15" i="8"/>
  <c r="E16" i="8"/>
  <c r="E18" i="8"/>
  <c r="E19" i="8"/>
  <c r="E21" i="8"/>
  <c r="X63" i="19"/>
  <c r="E285" i="19"/>
  <c r="E279" i="19"/>
  <c r="E274" i="19"/>
  <c r="E290" i="19"/>
  <c r="Y14" i="19"/>
  <c r="E351" i="19"/>
  <c r="E345" i="19"/>
  <c r="E340" i="19"/>
  <c r="E356" i="19"/>
  <c r="Y16" i="19"/>
  <c r="E384" i="19"/>
  <c r="E378" i="19"/>
  <c r="E373" i="19"/>
  <c r="E389" i="19"/>
  <c r="Y17" i="19"/>
  <c r="E417" i="19"/>
  <c r="E411" i="19"/>
  <c r="E406" i="19"/>
  <c r="E422" i="19"/>
  <c r="Y18" i="19"/>
  <c r="E483" i="19"/>
  <c r="E477" i="19"/>
  <c r="E472" i="19"/>
  <c r="E488" i="19"/>
  <c r="Y20" i="19"/>
  <c r="E615" i="19"/>
  <c r="E609" i="19"/>
  <c r="E604" i="19"/>
  <c r="E620" i="19"/>
  <c r="Y24" i="19"/>
  <c r="E681" i="19"/>
  <c r="E675" i="19"/>
  <c r="E670" i="19"/>
  <c r="E686" i="19"/>
  <c r="Y26" i="19"/>
  <c r="E912" i="19"/>
  <c r="E906" i="19"/>
  <c r="E901" i="19"/>
  <c r="E917" i="19"/>
  <c r="Y33" i="19"/>
  <c r="E945" i="19"/>
  <c r="E939" i="19"/>
  <c r="E934" i="19"/>
  <c r="E950" i="19"/>
  <c r="Y34" i="19"/>
  <c r="E978" i="19"/>
  <c r="E972" i="19"/>
  <c r="E967" i="19"/>
  <c r="E983" i="19"/>
  <c r="Y35" i="19"/>
  <c r="E1011" i="19"/>
  <c r="E1005" i="19"/>
  <c r="E1000" i="19"/>
  <c r="E1016" i="19"/>
  <c r="Y36" i="19"/>
  <c r="E1044" i="19"/>
  <c r="E1038" i="19"/>
  <c r="E1033" i="19"/>
  <c r="E1049" i="19"/>
  <c r="Y37" i="19"/>
  <c r="E1077" i="19"/>
  <c r="E1071" i="19"/>
  <c r="E1066" i="19"/>
  <c r="E1082" i="19"/>
  <c r="Y38" i="19"/>
  <c r="Y41" i="19"/>
  <c r="F7" i="21"/>
  <c r="F252" i="19"/>
  <c r="F241" i="19"/>
  <c r="F257" i="19"/>
  <c r="Z13" i="19"/>
  <c r="F714" i="19"/>
  <c r="F708" i="19"/>
  <c r="F703" i="19"/>
  <c r="F719" i="19"/>
  <c r="Z27" i="19"/>
  <c r="F747" i="19"/>
  <c r="F741" i="19"/>
  <c r="F736" i="19"/>
  <c r="F752" i="19"/>
  <c r="Z28" i="19"/>
  <c r="F780" i="19"/>
  <c r="F774" i="19"/>
  <c r="F769" i="19"/>
  <c r="F785" i="19"/>
  <c r="Z29" i="19"/>
  <c r="F879" i="19"/>
  <c r="F873" i="19"/>
  <c r="F868" i="19"/>
  <c r="F884" i="19"/>
  <c r="Z32" i="19"/>
  <c r="F581" i="19"/>
  <c r="F587" i="19"/>
  <c r="Z23" i="19"/>
  <c r="Z6" i="19"/>
  <c r="F59" i="19"/>
  <c r="Z7" i="19"/>
  <c r="F76" i="19"/>
  <c r="F87" i="19"/>
  <c r="F92" i="19"/>
  <c r="Z8" i="19"/>
  <c r="F109" i="19"/>
  <c r="F120" i="19"/>
  <c r="F125" i="19"/>
  <c r="Z9" i="19"/>
  <c r="F142" i="19"/>
  <c r="F153" i="19"/>
  <c r="F158" i="19"/>
  <c r="Z10" i="19"/>
  <c r="F175" i="19"/>
  <c r="F186" i="19"/>
  <c r="F191" i="19"/>
  <c r="Z11" i="19"/>
  <c r="F208" i="19"/>
  <c r="F219" i="19"/>
  <c r="F224" i="19"/>
  <c r="Z12" i="19"/>
  <c r="F8" i="8"/>
  <c r="F7" i="8"/>
  <c r="F10" i="8"/>
  <c r="F15" i="8"/>
  <c r="F16" i="8"/>
  <c r="F18" i="8"/>
  <c r="F19" i="8"/>
  <c r="F21" i="8"/>
  <c r="Y63" i="19"/>
  <c r="F285" i="19"/>
  <c r="F279" i="19"/>
  <c r="F274" i="19"/>
  <c r="F290" i="19"/>
  <c r="Z14" i="19"/>
  <c r="F351" i="19"/>
  <c r="F345" i="19"/>
  <c r="F340" i="19"/>
  <c r="F356" i="19"/>
  <c r="Z16" i="19"/>
  <c r="F384" i="19"/>
  <c r="F378" i="19"/>
  <c r="F373" i="19"/>
  <c r="F389" i="19"/>
  <c r="Z17" i="19"/>
  <c r="F417" i="19"/>
  <c r="F411" i="19"/>
  <c r="F406" i="19"/>
  <c r="F422" i="19"/>
  <c r="Z18" i="19"/>
  <c r="F483" i="19"/>
  <c r="F477" i="19"/>
  <c r="F472" i="19"/>
  <c r="F488" i="19"/>
  <c r="Z20" i="19"/>
  <c r="F615" i="19"/>
  <c r="F609" i="19"/>
  <c r="F604" i="19"/>
  <c r="F620" i="19"/>
  <c r="Z24" i="19"/>
  <c r="F681" i="19"/>
  <c r="F675" i="19"/>
  <c r="F670" i="19"/>
  <c r="F686" i="19"/>
  <c r="Z26" i="19"/>
  <c r="F912" i="19"/>
  <c r="F906" i="19"/>
  <c r="F901" i="19"/>
  <c r="F917" i="19"/>
  <c r="Z33" i="19"/>
  <c r="F945" i="19"/>
  <c r="F939" i="19"/>
  <c r="F934" i="19"/>
  <c r="F950" i="19"/>
  <c r="Z34" i="19"/>
  <c r="F978" i="19"/>
  <c r="F972" i="19"/>
  <c r="F967" i="19"/>
  <c r="F983" i="19"/>
  <c r="Z35" i="19"/>
  <c r="F1011" i="19"/>
  <c r="F1005" i="19"/>
  <c r="F1000" i="19"/>
  <c r="F1016" i="19"/>
  <c r="Z36" i="19"/>
  <c r="F1044" i="19"/>
  <c r="F1038" i="19"/>
  <c r="F1033" i="19"/>
  <c r="F1049" i="19"/>
  <c r="Z37" i="19"/>
  <c r="F1077" i="19"/>
  <c r="F1071" i="19"/>
  <c r="F1066" i="19"/>
  <c r="F1082" i="19"/>
  <c r="Z38" i="19"/>
  <c r="Z41" i="19"/>
  <c r="G7" i="21"/>
  <c r="G252" i="19"/>
  <c r="G241" i="19"/>
  <c r="G257" i="19"/>
  <c r="AA13" i="19"/>
  <c r="G714" i="19"/>
  <c r="G708" i="19"/>
  <c r="G703" i="19"/>
  <c r="G719" i="19"/>
  <c r="AA27" i="19"/>
  <c r="G747" i="19"/>
  <c r="G741" i="19"/>
  <c r="G736" i="19"/>
  <c r="G752" i="19"/>
  <c r="AA28" i="19"/>
  <c r="G780" i="19"/>
  <c r="G774" i="19"/>
  <c r="G769" i="19"/>
  <c r="G785" i="19"/>
  <c r="AA29" i="19"/>
  <c r="G879" i="19"/>
  <c r="G873" i="19"/>
  <c r="G868" i="19"/>
  <c r="G884" i="19"/>
  <c r="AA32" i="19"/>
  <c r="G581" i="19"/>
  <c r="G587" i="19"/>
  <c r="AA23" i="19"/>
  <c r="H241" i="19"/>
  <c r="H252" i="19"/>
  <c r="H257" i="19"/>
  <c r="AB13" i="19"/>
  <c r="H714" i="19"/>
  <c r="H708" i="19"/>
  <c r="H703" i="19"/>
  <c r="H719" i="19"/>
  <c r="AB27" i="19"/>
  <c r="H747" i="19"/>
  <c r="H741" i="19"/>
  <c r="H736" i="19"/>
  <c r="H752" i="19"/>
  <c r="AB28" i="19"/>
  <c r="H780" i="19"/>
  <c r="H774" i="19"/>
  <c r="H769" i="19"/>
  <c r="H785" i="19"/>
  <c r="AB29" i="19"/>
  <c r="H879" i="19"/>
  <c r="H873" i="19"/>
  <c r="H868" i="19"/>
  <c r="H884" i="19"/>
  <c r="AB32" i="19"/>
  <c r="H581" i="19"/>
  <c r="H587" i="19"/>
  <c r="AB23" i="19"/>
  <c r="I252" i="19"/>
  <c r="I241" i="19"/>
  <c r="I257" i="19"/>
  <c r="AC13" i="19"/>
  <c r="I714" i="19"/>
  <c r="I708" i="19"/>
  <c r="I703" i="19"/>
  <c r="I719" i="19"/>
  <c r="AC27" i="19"/>
  <c r="I747" i="19"/>
  <c r="I741" i="19"/>
  <c r="I736" i="19"/>
  <c r="I752" i="19"/>
  <c r="AC28" i="19"/>
  <c r="I780" i="19"/>
  <c r="I774" i="19"/>
  <c r="I769" i="19"/>
  <c r="I785" i="19"/>
  <c r="AC29" i="19"/>
  <c r="I879" i="19"/>
  <c r="I873" i="19"/>
  <c r="I868" i="19"/>
  <c r="I884" i="19"/>
  <c r="AC32" i="19"/>
  <c r="I581" i="19"/>
  <c r="I587" i="19"/>
  <c r="AC23" i="19"/>
  <c r="J252" i="19"/>
  <c r="J241" i="19"/>
  <c r="J257" i="19"/>
  <c r="AD13" i="19"/>
  <c r="J714" i="19"/>
  <c r="J708" i="19"/>
  <c r="J703" i="19"/>
  <c r="J719" i="19"/>
  <c r="AD27" i="19"/>
  <c r="J747" i="19"/>
  <c r="J741" i="19"/>
  <c r="J736" i="19"/>
  <c r="J752" i="19"/>
  <c r="AD28" i="19"/>
  <c r="J780" i="19"/>
  <c r="J774" i="19"/>
  <c r="J769" i="19"/>
  <c r="J785" i="19"/>
  <c r="AD29" i="19"/>
  <c r="J879" i="19"/>
  <c r="J873" i="19"/>
  <c r="J868" i="19"/>
  <c r="J884" i="19"/>
  <c r="AD32" i="19"/>
  <c r="J581" i="19"/>
  <c r="J587" i="19"/>
  <c r="AD23" i="19"/>
  <c r="K252" i="19"/>
  <c r="K241" i="19"/>
  <c r="K257" i="19"/>
  <c r="AE13" i="19"/>
  <c r="K714" i="19"/>
  <c r="K708" i="19"/>
  <c r="K703" i="19"/>
  <c r="K719" i="19"/>
  <c r="AE27" i="19"/>
  <c r="K747" i="19"/>
  <c r="K741" i="19"/>
  <c r="K736" i="19"/>
  <c r="K752" i="19"/>
  <c r="AE28" i="19"/>
  <c r="K780" i="19"/>
  <c r="K774" i="19"/>
  <c r="K769" i="19"/>
  <c r="K785" i="19"/>
  <c r="AE29" i="19"/>
  <c r="K879" i="19"/>
  <c r="K873" i="19"/>
  <c r="K868" i="19"/>
  <c r="K884" i="19"/>
  <c r="AE32" i="19"/>
  <c r="K581" i="19"/>
  <c r="K587" i="19"/>
  <c r="AE23" i="19"/>
  <c r="L241" i="19"/>
  <c r="L252" i="19"/>
  <c r="L257" i="19"/>
  <c r="AF13" i="19"/>
  <c r="L714" i="19"/>
  <c r="L708" i="19"/>
  <c r="L703" i="19"/>
  <c r="L719" i="19"/>
  <c r="AF27" i="19"/>
  <c r="L747" i="19"/>
  <c r="L741" i="19"/>
  <c r="L736" i="19"/>
  <c r="L752" i="19"/>
  <c r="AF28" i="19"/>
  <c r="L780" i="19"/>
  <c r="L774" i="19"/>
  <c r="L769" i="19"/>
  <c r="L785" i="19"/>
  <c r="AF29" i="19"/>
  <c r="L879" i="19"/>
  <c r="L873" i="19"/>
  <c r="L868" i="19"/>
  <c r="L884" i="19"/>
  <c r="AF32" i="19"/>
  <c r="L581" i="19"/>
  <c r="L587" i="19"/>
  <c r="AF23" i="19"/>
  <c r="M241" i="19"/>
  <c r="M252" i="19"/>
  <c r="M257" i="19"/>
  <c r="AG13" i="19"/>
  <c r="M714" i="19"/>
  <c r="M708" i="19"/>
  <c r="M703" i="19"/>
  <c r="M719" i="19"/>
  <c r="AG27" i="19"/>
  <c r="M747" i="19"/>
  <c r="M741" i="19"/>
  <c r="M736" i="19"/>
  <c r="M752" i="19"/>
  <c r="AG28" i="19"/>
  <c r="M780" i="19"/>
  <c r="M774" i="19"/>
  <c r="M769" i="19"/>
  <c r="M785" i="19"/>
  <c r="AG29" i="19"/>
  <c r="M879" i="19"/>
  <c r="M873" i="19"/>
  <c r="M868" i="19"/>
  <c r="M884" i="19"/>
  <c r="AG32" i="19"/>
  <c r="M581" i="19"/>
  <c r="M587" i="19"/>
  <c r="AG23" i="19"/>
  <c r="N241" i="19"/>
  <c r="N252" i="19"/>
  <c r="N257" i="19"/>
  <c r="AH13" i="19"/>
  <c r="N714" i="19"/>
  <c r="N708" i="19"/>
  <c r="N703" i="19"/>
  <c r="N719" i="19"/>
  <c r="AH27" i="19"/>
  <c r="N747" i="19"/>
  <c r="N741" i="19"/>
  <c r="N736" i="19"/>
  <c r="N752" i="19"/>
  <c r="AH28" i="19"/>
  <c r="N780" i="19"/>
  <c r="N774" i="19"/>
  <c r="N769" i="19"/>
  <c r="N785" i="19"/>
  <c r="AH29" i="19"/>
  <c r="N879" i="19"/>
  <c r="N873" i="19"/>
  <c r="N868" i="19"/>
  <c r="N884" i="19"/>
  <c r="AH32" i="19"/>
  <c r="N581" i="19"/>
  <c r="N587" i="19"/>
  <c r="AH23" i="19"/>
  <c r="O241" i="19"/>
  <c r="O252" i="19"/>
  <c r="O257" i="19"/>
  <c r="AI13" i="19"/>
  <c r="O714" i="19"/>
  <c r="O708" i="19"/>
  <c r="O703" i="19"/>
  <c r="O719" i="19"/>
  <c r="AI27" i="19"/>
  <c r="O747" i="19"/>
  <c r="O741" i="19"/>
  <c r="O736" i="19"/>
  <c r="O752" i="19"/>
  <c r="AI28" i="19"/>
  <c r="O780" i="19"/>
  <c r="O774" i="19"/>
  <c r="O769" i="19"/>
  <c r="O785" i="19"/>
  <c r="AI29" i="19"/>
  <c r="O879" i="19"/>
  <c r="O873" i="19"/>
  <c r="O868" i="19"/>
  <c r="O884" i="19"/>
  <c r="AI32" i="19"/>
  <c r="O581" i="19"/>
  <c r="O587" i="19"/>
  <c r="AI23" i="19"/>
  <c r="P241" i="19"/>
  <c r="P252" i="19"/>
  <c r="P257" i="19"/>
  <c r="AJ13" i="19"/>
  <c r="P714" i="19"/>
  <c r="P708" i="19"/>
  <c r="P703" i="19"/>
  <c r="P719" i="19"/>
  <c r="AJ27" i="19"/>
  <c r="P747" i="19"/>
  <c r="P741" i="19"/>
  <c r="P736" i="19"/>
  <c r="P752" i="19"/>
  <c r="AJ28" i="19"/>
  <c r="P780" i="19"/>
  <c r="P774" i="19"/>
  <c r="P769" i="19"/>
  <c r="P785" i="19"/>
  <c r="AJ29" i="19"/>
  <c r="P879" i="19"/>
  <c r="P873" i="19"/>
  <c r="P868" i="19"/>
  <c r="P884" i="19"/>
  <c r="AJ32" i="19"/>
  <c r="P581" i="19"/>
  <c r="P587" i="19"/>
  <c r="AJ23" i="19"/>
  <c r="Q241" i="19"/>
  <c r="Q252" i="19"/>
  <c r="Q257" i="19"/>
  <c r="AK13" i="19"/>
  <c r="Q714" i="19"/>
  <c r="Q708" i="19"/>
  <c r="Q703" i="19"/>
  <c r="Q719" i="19"/>
  <c r="AK27" i="19"/>
  <c r="Q747" i="19"/>
  <c r="Q741" i="19"/>
  <c r="Q736" i="19"/>
  <c r="Q752" i="19"/>
  <c r="AK28" i="19"/>
  <c r="Q780" i="19"/>
  <c r="Q774" i="19"/>
  <c r="Q769" i="19"/>
  <c r="Q785" i="19"/>
  <c r="AK29" i="19"/>
  <c r="Q879" i="19"/>
  <c r="Q873" i="19"/>
  <c r="Q868" i="19"/>
  <c r="Q884" i="19"/>
  <c r="AK32" i="19"/>
  <c r="Q581" i="19"/>
  <c r="Q587" i="19"/>
  <c r="AK23" i="19"/>
  <c r="R241" i="19"/>
  <c r="R252" i="19"/>
  <c r="R257" i="19"/>
  <c r="AL13" i="19"/>
  <c r="R714" i="19"/>
  <c r="R708" i="19"/>
  <c r="R703" i="19"/>
  <c r="R719" i="19"/>
  <c r="AL27" i="19"/>
  <c r="R747" i="19"/>
  <c r="R741" i="19"/>
  <c r="R736" i="19"/>
  <c r="R752" i="19"/>
  <c r="AL28" i="19"/>
  <c r="R780" i="19"/>
  <c r="R774" i="19"/>
  <c r="R769" i="19"/>
  <c r="R785" i="19"/>
  <c r="AL29" i="19"/>
  <c r="R879" i="19"/>
  <c r="R873" i="19"/>
  <c r="R868" i="19"/>
  <c r="R884" i="19"/>
  <c r="AL32" i="19"/>
  <c r="R581" i="19"/>
  <c r="R587" i="19"/>
  <c r="AL23" i="19"/>
  <c r="AN13" i="19"/>
  <c r="AN27" i="19"/>
  <c r="AN28" i="19"/>
  <c r="AN29" i="19"/>
  <c r="AN30" i="19"/>
  <c r="AN31" i="19"/>
  <c r="AN32" i="19"/>
  <c r="AN23" i="19"/>
  <c r="G1071" i="19"/>
  <c r="H1071" i="19"/>
  <c r="I1071" i="19"/>
  <c r="J1071" i="19"/>
  <c r="K1071" i="19"/>
  <c r="L1071" i="19"/>
  <c r="M1071" i="19"/>
  <c r="N1071" i="19"/>
  <c r="O1071" i="19"/>
  <c r="P1071" i="19"/>
  <c r="Q1071" i="19"/>
  <c r="R1071" i="19"/>
  <c r="G1038" i="19"/>
  <c r="H1038" i="19"/>
  <c r="I1038" i="19"/>
  <c r="J1038" i="19"/>
  <c r="K1038" i="19"/>
  <c r="L1038" i="19"/>
  <c r="M1038" i="19"/>
  <c r="N1038" i="19"/>
  <c r="O1038" i="19"/>
  <c r="P1038" i="19"/>
  <c r="Q1038" i="19"/>
  <c r="R1038" i="19"/>
  <c r="G1005" i="19"/>
  <c r="H1005" i="19"/>
  <c r="I1005" i="19"/>
  <c r="J1005" i="19"/>
  <c r="K1005" i="19"/>
  <c r="L1005" i="19"/>
  <c r="M1005" i="19"/>
  <c r="N1005" i="19"/>
  <c r="O1005" i="19"/>
  <c r="P1005" i="19"/>
  <c r="Q1005" i="19"/>
  <c r="R1005" i="19"/>
  <c r="G972" i="19"/>
  <c r="H972" i="19"/>
  <c r="I972" i="19"/>
  <c r="J972" i="19"/>
  <c r="K972" i="19"/>
  <c r="L972" i="19"/>
  <c r="M972" i="19"/>
  <c r="N972" i="19"/>
  <c r="O972" i="19"/>
  <c r="P972" i="19"/>
  <c r="Q972" i="19"/>
  <c r="R972" i="19"/>
  <c r="G939" i="19"/>
  <c r="H939" i="19"/>
  <c r="I939" i="19"/>
  <c r="J939" i="19"/>
  <c r="K939" i="19"/>
  <c r="L939" i="19"/>
  <c r="M939" i="19"/>
  <c r="N939" i="19"/>
  <c r="O939" i="19"/>
  <c r="P939" i="19"/>
  <c r="Q939" i="19"/>
  <c r="R939" i="19"/>
  <c r="G906" i="19"/>
  <c r="H906" i="19"/>
  <c r="I906" i="19"/>
  <c r="J906" i="19"/>
  <c r="K906" i="19"/>
  <c r="L906" i="19"/>
  <c r="M906" i="19"/>
  <c r="N906" i="19"/>
  <c r="O906" i="19"/>
  <c r="P906" i="19"/>
  <c r="Q906" i="19"/>
  <c r="R906" i="19"/>
  <c r="E807" i="19"/>
  <c r="F807" i="19"/>
  <c r="G807" i="19"/>
  <c r="H807" i="19"/>
  <c r="I807" i="19"/>
  <c r="J807" i="19"/>
  <c r="K807" i="19"/>
  <c r="L807" i="19"/>
  <c r="M807" i="19"/>
  <c r="N807" i="19"/>
  <c r="O807" i="19"/>
  <c r="P807" i="19"/>
  <c r="Q807" i="19"/>
  <c r="R807" i="19"/>
  <c r="G675" i="19"/>
  <c r="H675" i="19"/>
  <c r="I675" i="19"/>
  <c r="J675" i="19"/>
  <c r="K675" i="19"/>
  <c r="L675" i="19"/>
  <c r="M675" i="19"/>
  <c r="N675" i="19"/>
  <c r="O675" i="19"/>
  <c r="P675" i="19"/>
  <c r="Q675" i="19"/>
  <c r="R675" i="19"/>
  <c r="G642" i="19"/>
  <c r="H642" i="19"/>
  <c r="I642" i="19"/>
  <c r="J642" i="19"/>
  <c r="K642" i="19"/>
  <c r="L642" i="19"/>
  <c r="M642" i="19"/>
  <c r="N642" i="19"/>
  <c r="O642" i="19"/>
  <c r="P642" i="19"/>
  <c r="Q642" i="19"/>
  <c r="R642" i="19"/>
  <c r="G609" i="19"/>
  <c r="H609" i="19"/>
  <c r="I609" i="19"/>
  <c r="J609" i="19"/>
  <c r="K609" i="19"/>
  <c r="L609" i="19"/>
  <c r="M609" i="19"/>
  <c r="N609" i="19"/>
  <c r="O609" i="19"/>
  <c r="P609" i="19"/>
  <c r="Q609" i="19"/>
  <c r="R609" i="19"/>
  <c r="E576" i="19"/>
  <c r="F576" i="19"/>
  <c r="G576" i="19"/>
  <c r="H576" i="19"/>
  <c r="I576" i="19"/>
  <c r="J576" i="19"/>
  <c r="K576" i="19"/>
  <c r="L576" i="19"/>
  <c r="M576" i="19"/>
  <c r="N576" i="19"/>
  <c r="O576" i="19"/>
  <c r="P576" i="19"/>
  <c r="Q576" i="19"/>
  <c r="R576" i="19"/>
  <c r="G543" i="19"/>
  <c r="H543" i="19"/>
  <c r="I543" i="19"/>
  <c r="J543" i="19"/>
  <c r="K543" i="19"/>
  <c r="L543" i="19"/>
  <c r="M543" i="19"/>
  <c r="N543" i="19"/>
  <c r="O543" i="19"/>
  <c r="P543" i="19"/>
  <c r="Q543" i="19"/>
  <c r="R543" i="19"/>
  <c r="G510" i="19"/>
  <c r="H510" i="19"/>
  <c r="I510" i="19"/>
  <c r="J510" i="19"/>
  <c r="K510" i="19"/>
  <c r="L510" i="19"/>
  <c r="M510" i="19"/>
  <c r="N510" i="19"/>
  <c r="O510" i="19"/>
  <c r="P510" i="19"/>
  <c r="Q510" i="19"/>
  <c r="R510" i="19"/>
  <c r="G477" i="19"/>
  <c r="H477" i="19"/>
  <c r="I477" i="19"/>
  <c r="J477" i="19"/>
  <c r="K477" i="19"/>
  <c r="L477" i="19"/>
  <c r="M477" i="19"/>
  <c r="N477" i="19"/>
  <c r="O477" i="19"/>
  <c r="P477" i="19"/>
  <c r="Q477" i="19"/>
  <c r="R477" i="19"/>
  <c r="G444" i="19"/>
  <c r="H444" i="19"/>
  <c r="I444" i="19"/>
  <c r="J444" i="19"/>
  <c r="K444" i="19"/>
  <c r="L444" i="19"/>
  <c r="M444" i="19"/>
  <c r="N444" i="19"/>
  <c r="O444" i="19"/>
  <c r="P444" i="19"/>
  <c r="Q444" i="19"/>
  <c r="R444" i="19"/>
  <c r="G411" i="19"/>
  <c r="H411" i="19"/>
  <c r="I411" i="19"/>
  <c r="J411" i="19"/>
  <c r="K411" i="19"/>
  <c r="L411" i="19"/>
  <c r="M411" i="19"/>
  <c r="N411" i="19"/>
  <c r="O411" i="19"/>
  <c r="P411" i="19"/>
  <c r="Q411" i="19"/>
  <c r="R411" i="19"/>
  <c r="G378" i="19"/>
  <c r="H378" i="19"/>
  <c r="I378" i="19"/>
  <c r="J378" i="19"/>
  <c r="K378" i="19"/>
  <c r="L378" i="19"/>
  <c r="M378" i="19"/>
  <c r="N378" i="19"/>
  <c r="O378" i="19"/>
  <c r="P378" i="19"/>
  <c r="Q378" i="19"/>
  <c r="R378" i="19"/>
  <c r="G345" i="19"/>
  <c r="H345" i="19"/>
  <c r="I345" i="19"/>
  <c r="J345" i="19"/>
  <c r="K345" i="19"/>
  <c r="L345" i="19"/>
  <c r="M345" i="19"/>
  <c r="N345" i="19"/>
  <c r="O345" i="19"/>
  <c r="P345" i="19"/>
  <c r="Q345" i="19"/>
  <c r="R345" i="19"/>
  <c r="G312" i="19"/>
  <c r="H312" i="19"/>
  <c r="I312" i="19"/>
  <c r="J312" i="19"/>
  <c r="K312" i="19"/>
  <c r="L312" i="19"/>
  <c r="M312" i="19"/>
  <c r="N312" i="19"/>
  <c r="O312" i="19"/>
  <c r="P312" i="19"/>
  <c r="Q312" i="19"/>
  <c r="R312" i="19"/>
  <c r="G279" i="19"/>
  <c r="H279" i="19"/>
  <c r="I279" i="19"/>
  <c r="J279" i="19"/>
  <c r="K279" i="19"/>
  <c r="L279" i="19"/>
  <c r="M279" i="19"/>
  <c r="N279" i="19"/>
  <c r="O279" i="19"/>
  <c r="P279" i="19"/>
  <c r="Q279" i="19"/>
  <c r="R279" i="19"/>
  <c r="C13" i="24"/>
  <c r="M4" i="24"/>
  <c r="C15" i="24"/>
  <c r="M12" i="24"/>
  <c r="C17" i="24"/>
  <c r="M8" i="24"/>
  <c r="C16" i="24"/>
  <c r="C14" i="24"/>
  <c r="G3" i="24"/>
  <c r="E3" i="24"/>
  <c r="D3" i="24"/>
  <c r="C94" i="23"/>
  <c r="B94" i="23"/>
  <c r="C95" i="23"/>
  <c r="B95" i="23"/>
  <c r="B98" i="23"/>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P8" i="22"/>
  <c r="J70" i="23"/>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O8" i="22"/>
  <c r="J69" i="23"/>
  <c r="D5" i="23"/>
  <c r="E5" i="23"/>
  <c r="F5" i="23"/>
  <c r="C5" i="23"/>
  <c r="E95" i="23"/>
  <c r="E118" i="23"/>
  <c r="E96" i="23"/>
  <c r="E119" i="23"/>
  <c r="E123" i="23"/>
  <c r="D95" i="23"/>
  <c r="D118" i="23"/>
  <c r="D96" i="23"/>
  <c r="D119" i="23"/>
  <c r="D123" i="23"/>
  <c r="C118" i="23"/>
  <c r="C96" i="23"/>
  <c r="C119" i="23"/>
  <c r="C123" i="23"/>
  <c r="B118" i="23"/>
  <c r="B119" i="23"/>
  <c r="B123" i="23"/>
  <c r="E94" i="23"/>
  <c r="E117" i="23"/>
  <c r="E122" i="23"/>
  <c r="D94" i="23"/>
  <c r="D117" i="23"/>
  <c r="D122" i="23"/>
  <c r="C117" i="23"/>
  <c r="C122" i="23"/>
  <c r="B117" i="23"/>
  <c r="B122" i="23"/>
  <c r="E121" i="23"/>
  <c r="D121" i="23"/>
  <c r="C121" i="23"/>
  <c r="B121" i="23"/>
  <c r="E110" i="23"/>
  <c r="E111" i="23"/>
  <c r="E112" i="23"/>
  <c r="E113" i="23"/>
  <c r="C110" i="23"/>
  <c r="C111" i="23"/>
  <c r="C112" i="23"/>
  <c r="C113" i="23"/>
  <c r="F112" i="23"/>
  <c r="F111" i="23"/>
  <c r="F110" i="23"/>
  <c r="E100" i="23"/>
  <c r="D100" i="23"/>
  <c r="C100" i="23"/>
  <c r="B96" i="23"/>
  <c r="B100" i="23"/>
  <c r="E99" i="23"/>
  <c r="D99" i="23"/>
  <c r="C99" i="23"/>
  <c r="B99" i="23"/>
  <c r="E98" i="23"/>
  <c r="D98" i="23"/>
  <c r="C98" i="23"/>
  <c r="F76" i="23"/>
  <c r="E73" i="23"/>
  <c r="E74" i="23"/>
  <c r="E75" i="23"/>
  <c r="E76" i="23"/>
  <c r="C73" i="23"/>
  <c r="C74" i="23"/>
  <c r="C75" i="23"/>
  <c r="C76" i="23"/>
  <c r="F75" i="23"/>
  <c r="F74" i="23"/>
  <c r="F73" i="23"/>
  <c r="D60" i="23"/>
  <c r="I63" i="23"/>
  <c r="C60" i="23"/>
  <c r="H63" i="23"/>
  <c r="B60" i="23"/>
  <c r="G63" i="23"/>
  <c r="D62" i="23"/>
  <c r="I62" i="23"/>
  <c r="C62" i="23"/>
  <c r="H62" i="23"/>
  <c r="B62" i="23"/>
  <c r="G62" i="23"/>
  <c r="D61" i="23"/>
  <c r="I61" i="23"/>
  <c r="C61" i="23"/>
  <c r="H61" i="23"/>
  <c r="B61" i="23"/>
  <c r="G61" i="23"/>
  <c r="D59" i="23"/>
  <c r="I60" i="23"/>
  <c r="C59" i="23"/>
  <c r="H60" i="23"/>
  <c r="B59" i="23"/>
  <c r="G60" i="23"/>
  <c r="D54" i="23"/>
  <c r="D41" i="23"/>
  <c r="D47" i="23"/>
  <c r="D55" i="23"/>
  <c r="C54" i="23"/>
  <c r="C41" i="23"/>
  <c r="C47" i="23"/>
  <c r="C55" i="23"/>
  <c r="B54" i="23"/>
  <c r="B41" i="23"/>
  <c r="B47" i="23"/>
  <c r="B55" i="23"/>
  <c r="H34" i="23"/>
  <c r="G34" i="23"/>
  <c r="E34" i="23"/>
  <c r="C34" i="23"/>
  <c r="H33" i="23"/>
  <c r="G33" i="23"/>
  <c r="E33" i="23"/>
  <c r="C33" i="23"/>
  <c r="H32" i="23"/>
  <c r="G32" i="23"/>
  <c r="E32" i="23"/>
  <c r="C32" i="23"/>
  <c r="H31" i="23"/>
  <c r="G31" i="23"/>
  <c r="E31" i="23"/>
  <c r="C31" i="23"/>
  <c r="H30" i="23"/>
  <c r="G30" i="23"/>
  <c r="E30" i="23"/>
  <c r="C30" i="23"/>
  <c r="H29" i="23"/>
  <c r="G29" i="23"/>
  <c r="E29" i="23"/>
  <c r="C29" i="23"/>
  <c r="H28" i="23"/>
  <c r="G28" i="23"/>
  <c r="E28" i="23"/>
  <c r="C28" i="23"/>
  <c r="H27" i="23"/>
  <c r="G27" i="23"/>
  <c r="E27" i="23"/>
  <c r="C27" i="23"/>
  <c r="H26" i="23"/>
  <c r="G26" i="23"/>
  <c r="E26" i="23"/>
  <c r="C26" i="23"/>
  <c r="H25" i="23"/>
  <c r="G25" i="23"/>
  <c r="E25" i="23"/>
  <c r="C25" i="23"/>
  <c r="H24" i="23"/>
  <c r="G24" i="23"/>
  <c r="E24" i="23"/>
  <c r="C24" i="23"/>
  <c r="H23" i="23"/>
  <c r="G23" i="23"/>
  <c r="E23" i="23"/>
  <c r="C23" i="23"/>
  <c r="H22" i="23"/>
  <c r="G22" i="23"/>
  <c r="E22" i="23"/>
  <c r="C22" i="23"/>
  <c r="H21" i="23"/>
  <c r="G21" i="23"/>
  <c r="E21" i="23"/>
  <c r="C21" i="23"/>
  <c r="H20" i="23"/>
  <c r="G20" i="23"/>
  <c r="E20" i="23"/>
  <c r="C20" i="23"/>
  <c r="H19" i="23"/>
  <c r="G19" i="23"/>
  <c r="E19" i="23"/>
  <c r="C19" i="23"/>
  <c r="H18" i="23"/>
  <c r="G18" i="23"/>
  <c r="E18" i="23"/>
  <c r="C18" i="23"/>
  <c r="H17" i="23"/>
  <c r="G17" i="23"/>
  <c r="E17" i="23"/>
  <c r="C17" i="23"/>
  <c r="H16" i="23"/>
  <c r="G16" i="23"/>
  <c r="E16" i="23"/>
  <c r="C16" i="23"/>
  <c r="H15" i="23"/>
  <c r="G15" i="23"/>
  <c r="E15" i="23"/>
  <c r="C15" i="23"/>
  <c r="H14" i="23"/>
  <c r="G14" i="23"/>
  <c r="E14" i="23"/>
  <c r="C14" i="23"/>
  <c r="H13" i="23"/>
  <c r="G13" i="23"/>
  <c r="E13" i="23"/>
  <c r="C13" i="23"/>
  <c r="H12" i="23"/>
  <c r="G12" i="23"/>
  <c r="E12" i="23"/>
  <c r="C12" i="23"/>
  <c r="C3" i="23"/>
  <c r="C85" i="19"/>
  <c r="C86" i="19"/>
  <c r="C88" i="19"/>
  <c r="D85" i="19"/>
  <c r="D86" i="19"/>
  <c r="D88" i="19"/>
  <c r="E85" i="19"/>
  <c r="E86" i="19"/>
  <c r="E88" i="19"/>
  <c r="F85" i="19"/>
  <c r="F86" i="19"/>
  <c r="F88" i="19"/>
  <c r="G85" i="19"/>
  <c r="G86" i="19"/>
  <c r="G88" i="19"/>
  <c r="G76" i="19"/>
  <c r="H85" i="19"/>
  <c r="H86" i="19"/>
  <c r="H88" i="19"/>
  <c r="H76" i="19"/>
  <c r="I85" i="19"/>
  <c r="I86" i="19"/>
  <c r="I88" i="19"/>
  <c r="I76" i="19"/>
  <c r="J85" i="19"/>
  <c r="J86" i="19"/>
  <c r="J88" i="19"/>
  <c r="J76" i="19"/>
  <c r="K85" i="19"/>
  <c r="K86" i="19"/>
  <c r="K88" i="19"/>
  <c r="K76" i="19"/>
  <c r="L85" i="19"/>
  <c r="L86" i="19"/>
  <c r="L88" i="19"/>
  <c r="L76" i="19"/>
  <c r="M85" i="19"/>
  <c r="M86" i="19"/>
  <c r="M88" i="19"/>
  <c r="M76" i="19"/>
  <c r="N85" i="19"/>
  <c r="N86" i="19"/>
  <c r="N88" i="19"/>
  <c r="N76" i="19"/>
  <c r="O85" i="19"/>
  <c r="O86" i="19"/>
  <c r="O88" i="19"/>
  <c r="O76" i="19"/>
  <c r="P85" i="19"/>
  <c r="P86" i="19"/>
  <c r="P88" i="19"/>
  <c r="P76" i="19"/>
  <c r="Q85" i="19"/>
  <c r="Q86" i="19"/>
  <c r="Q88" i="19"/>
  <c r="Q76" i="19"/>
  <c r="R85" i="19"/>
  <c r="R86" i="19"/>
  <c r="R88" i="19"/>
  <c r="R76" i="19"/>
  <c r="L21" i="22"/>
  <c r="C118" i="19"/>
  <c r="C119" i="19"/>
  <c r="C121" i="19"/>
  <c r="D118" i="19"/>
  <c r="D119" i="19"/>
  <c r="D121" i="19"/>
  <c r="E118" i="19"/>
  <c r="E119" i="19"/>
  <c r="E121" i="19"/>
  <c r="F118" i="19"/>
  <c r="F119" i="19"/>
  <c r="F121" i="19"/>
  <c r="G118" i="19"/>
  <c r="G119" i="19"/>
  <c r="G121" i="19"/>
  <c r="G109" i="19"/>
  <c r="H118" i="19"/>
  <c r="H119" i="19"/>
  <c r="H121" i="19"/>
  <c r="H109" i="19"/>
  <c r="I118" i="19"/>
  <c r="I119" i="19"/>
  <c r="I121" i="19"/>
  <c r="I109" i="19"/>
  <c r="J118" i="19"/>
  <c r="J119" i="19"/>
  <c r="J121" i="19"/>
  <c r="J109" i="19"/>
  <c r="K118" i="19"/>
  <c r="K119" i="19"/>
  <c r="K121" i="19"/>
  <c r="K109" i="19"/>
  <c r="L118" i="19"/>
  <c r="L119" i="19"/>
  <c r="L121" i="19"/>
  <c r="L109" i="19"/>
  <c r="M118" i="19"/>
  <c r="M119" i="19"/>
  <c r="M121" i="19"/>
  <c r="M109" i="19"/>
  <c r="N118" i="19"/>
  <c r="N119" i="19"/>
  <c r="N121" i="19"/>
  <c r="N109" i="19"/>
  <c r="O118" i="19"/>
  <c r="O119" i="19"/>
  <c r="O121" i="19"/>
  <c r="O109" i="19"/>
  <c r="P118" i="19"/>
  <c r="P119" i="19"/>
  <c r="P121" i="19"/>
  <c r="P109" i="19"/>
  <c r="Q118" i="19"/>
  <c r="Q119" i="19"/>
  <c r="Q121" i="19"/>
  <c r="Q109" i="19"/>
  <c r="R118" i="19"/>
  <c r="R119" i="19"/>
  <c r="R121" i="19"/>
  <c r="R109" i="19"/>
  <c r="L22" i="22"/>
  <c r="C151" i="19"/>
  <c r="C152" i="19"/>
  <c r="C154" i="19"/>
  <c r="D151" i="19"/>
  <c r="D152" i="19"/>
  <c r="D154" i="19"/>
  <c r="E151" i="19"/>
  <c r="E152" i="19"/>
  <c r="E154" i="19"/>
  <c r="F151" i="19"/>
  <c r="F152" i="19"/>
  <c r="F154" i="19"/>
  <c r="G151" i="19"/>
  <c r="G152" i="19"/>
  <c r="G154" i="19"/>
  <c r="G142" i="19"/>
  <c r="H151" i="19"/>
  <c r="H152" i="19"/>
  <c r="H154" i="19"/>
  <c r="H142" i="19"/>
  <c r="I151" i="19"/>
  <c r="I152" i="19"/>
  <c r="I154" i="19"/>
  <c r="I142" i="19"/>
  <c r="J151" i="19"/>
  <c r="J152" i="19"/>
  <c r="J154" i="19"/>
  <c r="J142" i="19"/>
  <c r="K151" i="19"/>
  <c r="K152" i="19"/>
  <c r="K154" i="19"/>
  <c r="K142" i="19"/>
  <c r="L151" i="19"/>
  <c r="L152" i="19"/>
  <c r="L154" i="19"/>
  <c r="L142" i="19"/>
  <c r="M151" i="19"/>
  <c r="M152" i="19"/>
  <c r="M154" i="19"/>
  <c r="M142" i="19"/>
  <c r="N151" i="19"/>
  <c r="N152" i="19"/>
  <c r="N154" i="19"/>
  <c r="N142" i="19"/>
  <c r="O151" i="19"/>
  <c r="O152" i="19"/>
  <c r="O154" i="19"/>
  <c r="O142" i="19"/>
  <c r="P151" i="19"/>
  <c r="P152" i="19"/>
  <c r="P154" i="19"/>
  <c r="P142" i="19"/>
  <c r="Q151" i="19"/>
  <c r="Q152" i="19"/>
  <c r="Q154" i="19"/>
  <c r="Q142" i="19"/>
  <c r="R151" i="19"/>
  <c r="R152" i="19"/>
  <c r="R154" i="19"/>
  <c r="R142" i="19"/>
  <c r="L23" i="22"/>
  <c r="C184" i="19"/>
  <c r="C185" i="19"/>
  <c r="C187" i="19"/>
  <c r="D184" i="19"/>
  <c r="D185" i="19"/>
  <c r="D187" i="19"/>
  <c r="E184" i="19"/>
  <c r="E185" i="19"/>
  <c r="E187" i="19"/>
  <c r="F184" i="19"/>
  <c r="F185" i="19"/>
  <c r="F187" i="19"/>
  <c r="G184" i="19"/>
  <c r="G185" i="19"/>
  <c r="G187" i="19"/>
  <c r="G175" i="19"/>
  <c r="H184" i="19"/>
  <c r="H185" i="19"/>
  <c r="H187" i="19"/>
  <c r="H175" i="19"/>
  <c r="I184" i="19"/>
  <c r="I185" i="19"/>
  <c r="I187" i="19"/>
  <c r="I175" i="19"/>
  <c r="J184" i="19"/>
  <c r="J185" i="19"/>
  <c r="J187" i="19"/>
  <c r="J175" i="19"/>
  <c r="K184" i="19"/>
  <c r="K185" i="19"/>
  <c r="K187" i="19"/>
  <c r="K175" i="19"/>
  <c r="L184" i="19"/>
  <c r="L185" i="19"/>
  <c r="L187" i="19"/>
  <c r="L175" i="19"/>
  <c r="M184" i="19"/>
  <c r="M185" i="19"/>
  <c r="M187" i="19"/>
  <c r="M175" i="19"/>
  <c r="N184" i="19"/>
  <c r="N185" i="19"/>
  <c r="N187" i="19"/>
  <c r="N175" i="19"/>
  <c r="O184" i="19"/>
  <c r="O185" i="19"/>
  <c r="O187" i="19"/>
  <c r="O175" i="19"/>
  <c r="P184" i="19"/>
  <c r="P185" i="19"/>
  <c r="P187" i="19"/>
  <c r="P175" i="19"/>
  <c r="Q184" i="19"/>
  <c r="Q185" i="19"/>
  <c r="Q187" i="19"/>
  <c r="Q175" i="19"/>
  <c r="R184" i="19"/>
  <c r="R185" i="19"/>
  <c r="R187" i="19"/>
  <c r="R175" i="19"/>
  <c r="L24" i="22"/>
  <c r="C217" i="19"/>
  <c r="C218" i="19"/>
  <c r="C220" i="19"/>
  <c r="D217" i="19"/>
  <c r="D218" i="19"/>
  <c r="D220" i="19"/>
  <c r="E217" i="19"/>
  <c r="E218" i="19"/>
  <c r="E220" i="19"/>
  <c r="F217" i="19"/>
  <c r="F218" i="19"/>
  <c r="F220" i="19"/>
  <c r="G217" i="19"/>
  <c r="G218" i="19"/>
  <c r="G220" i="19"/>
  <c r="G208" i="19"/>
  <c r="H217" i="19"/>
  <c r="H218" i="19"/>
  <c r="H220" i="19"/>
  <c r="H208" i="19"/>
  <c r="I217" i="19"/>
  <c r="I218" i="19"/>
  <c r="I220" i="19"/>
  <c r="I208" i="19"/>
  <c r="J217" i="19"/>
  <c r="J218" i="19"/>
  <c r="J220" i="19"/>
  <c r="J208" i="19"/>
  <c r="K217" i="19"/>
  <c r="K218" i="19"/>
  <c r="K220" i="19"/>
  <c r="K208" i="19"/>
  <c r="L217" i="19"/>
  <c r="L218" i="19"/>
  <c r="L220" i="19"/>
  <c r="L208" i="19"/>
  <c r="M217" i="19"/>
  <c r="M218" i="19"/>
  <c r="M220" i="19"/>
  <c r="M208" i="19"/>
  <c r="N217" i="19"/>
  <c r="N218" i="19"/>
  <c r="N220" i="19"/>
  <c r="N208" i="19"/>
  <c r="O217" i="19"/>
  <c r="O218" i="19"/>
  <c r="O220" i="19"/>
  <c r="O208" i="19"/>
  <c r="P217" i="19"/>
  <c r="P218" i="19"/>
  <c r="P220" i="19"/>
  <c r="P208" i="19"/>
  <c r="Q217" i="19"/>
  <c r="Q218" i="19"/>
  <c r="Q220" i="19"/>
  <c r="Q208" i="19"/>
  <c r="R217" i="19"/>
  <c r="R218" i="19"/>
  <c r="R220" i="19"/>
  <c r="R208" i="19"/>
  <c r="L25" i="22"/>
  <c r="C26" i="7"/>
  <c r="V54" i="19"/>
  <c r="C250" i="19"/>
  <c r="C253" i="19"/>
  <c r="D26" i="7"/>
  <c r="W54" i="19"/>
  <c r="D250" i="19"/>
  <c r="D253" i="19"/>
  <c r="E26" i="7"/>
  <c r="X54" i="19"/>
  <c r="E250" i="19"/>
  <c r="E253" i="19"/>
  <c r="F26" i="7"/>
  <c r="Y54" i="19"/>
  <c r="F250" i="19"/>
  <c r="F253" i="19"/>
  <c r="G26" i="7"/>
  <c r="Z54" i="19"/>
  <c r="G250" i="19"/>
  <c r="G253" i="19"/>
  <c r="H253" i="19"/>
  <c r="I253" i="19"/>
  <c r="J253" i="19"/>
  <c r="K253" i="19"/>
  <c r="L253" i="19"/>
  <c r="M253" i="19"/>
  <c r="N253" i="19"/>
  <c r="O253" i="19"/>
  <c r="P253" i="19"/>
  <c r="Q253" i="19"/>
  <c r="R253" i="19"/>
  <c r="L26" i="22"/>
  <c r="F286" i="19"/>
  <c r="G274" i="19"/>
  <c r="G286" i="19"/>
  <c r="H274" i="19"/>
  <c r="H286" i="19"/>
  <c r="I274" i="19"/>
  <c r="I286" i="19"/>
  <c r="J274" i="19"/>
  <c r="J286" i="19"/>
  <c r="K274" i="19"/>
  <c r="K286" i="19"/>
  <c r="L274" i="19"/>
  <c r="L286" i="19"/>
  <c r="M274" i="19"/>
  <c r="M286" i="19"/>
  <c r="N274" i="19"/>
  <c r="N286" i="19"/>
  <c r="O274" i="19"/>
  <c r="O286" i="19"/>
  <c r="P274" i="19"/>
  <c r="P286" i="19"/>
  <c r="Q274" i="19"/>
  <c r="Q286" i="19"/>
  <c r="R274" i="19"/>
  <c r="R286" i="19"/>
  <c r="L27" i="22"/>
  <c r="C316" i="19"/>
  <c r="C317" i="19"/>
  <c r="C319" i="19"/>
  <c r="D316" i="19"/>
  <c r="D317" i="19"/>
  <c r="D319" i="19"/>
  <c r="E316" i="19"/>
  <c r="E317" i="19"/>
  <c r="E319" i="19"/>
  <c r="F316" i="19"/>
  <c r="F317" i="19"/>
  <c r="F319" i="19"/>
  <c r="G316" i="19"/>
  <c r="G317" i="19"/>
  <c r="G319" i="19"/>
  <c r="G307" i="19"/>
  <c r="H316" i="19"/>
  <c r="H317" i="19"/>
  <c r="H319" i="19"/>
  <c r="H307" i="19"/>
  <c r="I316" i="19"/>
  <c r="I317" i="19"/>
  <c r="I319" i="19"/>
  <c r="I307" i="19"/>
  <c r="J316" i="19"/>
  <c r="J317" i="19"/>
  <c r="J319" i="19"/>
  <c r="J307" i="19"/>
  <c r="K316" i="19"/>
  <c r="K317" i="19"/>
  <c r="K319" i="19"/>
  <c r="K307" i="19"/>
  <c r="L316" i="19"/>
  <c r="L317" i="19"/>
  <c r="L319" i="19"/>
  <c r="L307" i="19"/>
  <c r="M316" i="19"/>
  <c r="M317" i="19"/>
  <c r="M319" i="19"/>
  <c r="M307" i="19"/>
  <c r="N316" i="19"/>
  <c r="N317" i="19"/>
  <c r="N319" i="19"/>
  <c r="N307" i="19"/>
  <c r="O316" i="19"/>
  <c r="O317" i="19"/>
  <c r="O319" i="19"/>
  <c r="O307" i="19"/>
  <c r="P316" i="19"/>
  <c r="P317" i="19"/>
  <c r="P319" i="19"/>
  <c r="P307" i="19"/>
  <c r="Q316" i="19"/>
  <c r="Q317" i="19"/>
  <c r="Q319" i="19"/>
  <c r="Q307" i="19"/>
  <c r="R316" i="19"/>
  <c r="R317" i="19"/>
  <c r="R319" i="19"/>
  <c r="R307" i="19"/>
  <c r="L29" i="22"/>
  <c r="C349" i="19"/>
  <c r="C350" i="19"/>
  <c r="C352" i="19"/>
  <c r="D349" i="19"/>
  <c r="D350" i="19"/>
  <c r="D352" i="19"/>
  <c r="E349" i="19"/>
  <c r="E350" i="19"/>
  <c r="E352" i="19"/>
  <c r="F349" i="19"/>
  <c r="F350" i="19"/>
  <c r="F352" i="19"/>
  <c r="G349" i="19"/>
  <c r="G350" i="19"/>
  <c r="G352" i="19"/>
  <c r="G340" i="19"/>
  <c r="H349" i="19"/>
  <c r="H350" i="19"/>
  <c r="H352" i="19"/>
  <c r="H340" i="19"/>
  <c r="I349" i="19"/>
  <c r="I350" i="19"/>
  <c r="I352" i="19"/>
  <c r="I340" i="19"/>
  <c r="J349" i="19"/>
  <c r="J350" i="19"/>
  <c r="J352" i="19"/>
  <c r="J340" i="19"/>
  <c r="K349" i="19"/>
  <c r="K350" i="19"/>
  <c r="K352" i="19"/>
  <c r="K340" i="19"/>
  <c r="L349" i="19"/>
  <c r="L350" i="19"/>
  <c r="L352" i="19"/>
  <c r="L340" i="19"/>
  <c r="M349" i="19"/>
  <c r="M350" i="19"/>
  <c r="M352" i="19"/>
  <c r="M340" i="19"/>
  <c r="N349" i="19"/>
  <c r="N350" i="19"/>
  <c r="N352" i="19"/>
  <c r="N340" i="19"/>
  <c r="O349" i="19"/>
  <c r="O350" i="19"/>
  <c r="O352" i="19"/>
  <c r="O340" i="19"/>
  <c r="P349" i="19"/>
  <c r="P350" i="19"/>
  <c r="P352" i="19"/>
  <c r="P340" i="19"/>
  <c r="Q349" i="19"/>
  <c r="Q350" i="19"/>
  <c r="Q352" i="19"/>
  <c r="Q340" i="19"/>
  <c r="R349" i="19"/>
  <c r="R350" i="19"/>
  <c r="R352" i="19"/>
  <c r="R340" i="19"/>
  <c r="L30" i="22"/>
  <c r="C382" i="19"/>
  <c r="C383" i="19"/>
  <c r="C385" i="19"/>
  <c r="D382" i="19"/>
  <c r="D383" i="19"/>
  <c r="D385" i="19"/>
  <c r="E382" i="19"/>
  <c r="E383" i="19"/>
  <c r="E385" i="19"/>
  <c r="F382" i="19"/>
  <c r="F383" i="19"/>
  <c r="F385" i="19"/>
  <c r="G382" i="19"/>
  <c r="G383" i="19"/>
  <c r="G385" i="19"/>
  <c r="G373" i="19"/>
  <c r="H382" i="19"/>
  <c r="H383" i="19"/>
  <c r="H385" i="19"/>
  <c r="H373" i="19"/>
  <c r="I382" i="19"/>
  <c r="I383" i="19"/>
  <c r="I385" i="19"/>
  <c r="I373" i="19"/>
  <c r="J382" i="19"/>
  <c r="J383" i="19"/>
  <c r="J385" i="19"/>
  <c r="J373" i="19"/>
  <c r="K382" i="19"/>
  <c r="K383" i="19"/>
  <c r="K385" i="19"/>
  <c r="K373" i="19"/>
  <c r="L382" i="19"/>
  <c r="L383" i="19"/>
  <c r="L385" i="19"/>
  <c r="L373" i="19"/>
  <c r="M382" i="19"/>
  <c r="M383" i="19"/>
  <c r="M385" i="19"/>
  <c r="M373" i="19"/>
  <c r="N382" i="19"/>
  <c r="N383" i="19"/>
  <c r="N385" i="19"/>
  <c r="N373" i="19"/>
  <c r="O382" i="19"/>
  <c r="O383" i="19"/>
  <c r="O385" i="19"/>
  <c r="O373" i="19"/>
  <c r="P382" i="19"/>
  <c r="P383" i="19"/>
  <c r="P385" i="19"/>
  <c r="P373" i="19"/>
  <c r="Q382" i="19"/>
  <c r="Q383" i="19"/>
  <c r="Q385" i="19"/>
  <c r="Q373" i="19"/>
  <c r="R382" i="19"/>
  <c r="R383" i="19"/>
  <c r="R385" i="19"/>
  <c r="R373" i="19"/>
  <c r="L31" i="22"/>
  <c r="C415" i="19"/>
  <c r="C416" i="19"/>
  <c r="C418" i="19"/>
  <c r="D415" i="19"/>
  <c r="D416" i="19"/>
  <c r="D418" i="19"/>
  <c r="E415" i="19"/>
  <c r="E416" i="19"/>
  <c r="E418" i="19"/>
  <c r="F415" i="19"/>
  <c r="F416" i="19"/>
  <c r="F418" i="19"/>
  <c r="G415" i="19"/>
  <c r="G416" i="19"/>
  <c r="G418" i="19"/>
  <c r="G406" i="19"/>
  <c r="H415" i="19"/>
  <c r="H416" i="19"/>
  <c r="H418" i="19"/>
  <c r="H406" i="19"/>
  <c r="I415" i="19"/>
  <c r="I416" i="19"/>
  <c r="I418" i="19"/>
  <c r="I406" i="19"/>
  <c r="J415" i="19"/>
  <c r="J416" i="19"/>
  <c r="J418" i="19"/>
  <c r="J406" i="19"/>
  <c r="K415" i="19"/>
  <c r="K416" i="19"/>
  <c r="K418" i="19"/>
  <c r="K406" i="19"/>
  <c r="L415" i="19"/>
  <c r="L416" i="19"/>
  <c r="L418" i="19"/>
  <c r="L406" i="19"/>
  <c r="M415" i="19"/>
  <c r="M416" i="19"/>
  <c r="M418" i="19"/>
  <c r="M406" i="19"/>
  <c r="N415" i="19"/>
  <c r="N416" i="19"/>
  <c r="N418" i="19"/>
  <c r="N406" i="19"/>
  <c r="O415" i="19"/>
  <c r="O416" i="19"/>
  <c r="O418" i="19"/>
  <c r="O406" i="19"/>
  <c r="P415" i="19"/>
  <c r="P416" i="19"/>
  <c r="P418" i="19"/>
  <c r="P406" i="19"/>
  <c r="Q415" i="19"/>
  <c r="Q416" i="19"/>
  <c r="Q418" i="19"/>
  <c r="Q406" i="19"/>
  <c r="R415" i="19"/>
  <c r="R416" i="19"/>
  <c r="R418" i="19"/>
  <c r="R406" i="19"/>
  <c r="L32" i="22"/>
  <c r="C448" i="19"/>
  <c r="C449" i="19"/>
  <c r="C451" i="19"/>
  <c r="D448" i="19"/>
  <c r="D449" i="19"/>
  <c r="D451" i="19"/>
  <c r="E448" i="19"/>
  <c r="E449" i="19"/>
  <c r="E451" i="19"/>
  <c r="F448" i="19"/>
  <c r="F449" i="19"/>
  <c r="F451" i="19"/>
  <c r="G448" i="19"/>
  <c r="G449" i="19"/>
  <c r="G451" i="19"/>
  <c r="G439" i="19"/>
  <c r="H448" i="19"/>
  <c r="H449" i="19"/>
  <c r="H451" i="19"/>
  <c r="H439" i="19"/>
  <c r="I448" i="19"/>
  <c r="I449" i="19"/>
  <c r="I451" i="19"/>
  <c r="I439" i="19"/>
  <c r="J448" i="19"/>
  <c r="J449" i="19"/>
  <c r="J451" i="19"/>
  <c r="J439" i="19"/>
  <c r="K448" i="19"/>
  <c r="K449" i="19"/>
  <c r="K451" i="19"/>
  <c r="K439" i="19"/>
  <c r="L448" i="19"/>
  <c r="L449" i="19"/>
  <c r="L451" i="19"/>
  <c r="L439" i="19"/>
  <c r="M448" i="19"/>
  <c r="M449" i="19"/>
  <c r="M451" i="19"/>
  <c r="M439" i="19"/>
  <c r="N448" i="19"/>
  <c r="N449" i="19"/>
  <c r="N451" i="19"/>
  <c r="N439" i="19"/>
  <c r="O448" i="19"/>
  <c r="O449" i="19"/>
  <c r="O451" i="19"/>
  <c r="O439" i="19"/>
  <c r="P448" i="19"/>
  <c r="P449" i="19"/>
  <c r="P451" i="19"/>
  <c r="P439" i="19"/>
  <c r="Q448" i="19"/>
  <c r="Q449" i="19"/>
  <c r="Q451" i="19"/>
  <c r="Q439" i="19"/>
  <c r="R448" i="19"/>
  <c r="R449" i="19"/>
  <c r="R451" i="19"/>
  <c r="R439" i="19"/>
  <c r="L33" i="22"/>
  <c r="C481" i="19"/>
  <c r="C482" i="19"/>
  <c r="C484" i="19"/>
  <c r="D481" i="19"/>
  <c r="D482" i="19"/>
  <c r="D484" i="19"/>
  <c r="E481" i="19"/>
  <c r="E482" i="19"/>
  <c r="E484" i="19"/>
  <c r="F481" i="19"/>
  <c r="F482" i="19"/>
  <c r="F484" i="19"/>
  <c r="G481" i="19"/>
  <c r="G482" i="19"/>
  <c r="G484" i="19"/>
  <c r="G472" i="19"/>
  <c r="H481" i="19"/>
  <c r="H482" i="19"/>
  <c r="H484" i="19"/>
  <c r="H472" i="19"/>
  <c r="I481" i="19"/>
  <c r="I482" i="19"/>
  <c r="I484" i="19"/>
  <c r="I472" i="19"/>
  <c r="J481" i="19"/>
  <c r="J482" i="19"/>
  <c r="J484" i="19"/>
  <c r="J472" i="19"/>
  <c r="K481" i="19"/>
  <c r="K482" i="19"/>
  <c r="K484" i="19"/>
  <c r="K472" i="19"/>
  <c r="L481" i="19"/>
  <c r="L482" i="19"/>
  <c r="L484" i="19"/>
  <c r="L472" i="19"/>
  <c r="M481" i="19"/>
  <c r="M482" i="19"/>
  <c r="M484" i="19"/>
  <c r="M472" i="19"/>
  <c r="N481" i="19"/>
  <c r="N482" i="19"/>
  <c r="N484" i="19"/>
  <c r="N472" i="19"/>
  <c r="O481" i="19"/>
  <c r="O482" i="19"/>
  <c r="O484" i="19"/>
  <c r="O472" i="19"/>
  <c r="P481" i="19"/>
  <c r="P482" i="19"/>
  <c r="P484" i="19"/>
  <c r="P472" i="19"/>
  <c r="Q481" i="19"/>
  <c r="Q482" i="19"/>
  <c r="Q484" i="19"/>
  <c r="Q472" i="19"/>
  <c r="R481" i="19"/>
  <c r="R482" i="19"/>
  <c r="R484" i="19"/>
  <c r="R472" i="19"/>
  <c r="L34" i="22"/>
  <c r="C514" i="19"/>
  <c r="C515" i="19"/>
  <c r="C517" i="19"/>
  <c r="D514" i="19"/>
  <c r="D515" i="19"/>
  <c r="D517" i="19"/>
  <c r="E514" i="19"/>
  <c r="E515" i="19"/>
  <c r="E517" i="19"/>
  <c r="F514" i="19"/>
  <c r="F515" i="19"/>
  <c r="F517" i="19"/>
  <c r="G514" i="19"/>
  <c r="G515" i="19"/>
  <c r="G517" i="19"/>
  <c r="G505" i="19"/>
  <c r="H514" i="19"/>
  <c r="H515" i="19"/>
  <c r="H517" i="19"/>
  <c r="H505" i="19"/>
  <c r="I514" i="19"/>
  <c r="I515" i="19"/>
  <c r="I517" i="19"/>
  <c r="I505" i="19"/>
  <c r="J514" i="19"/>
  <c r="J515" i="19"/>
  <c r="J517" i="19"/>
  <c r="J505" i="19"/>
  <c r="K514" i="19"/>
  <c r="K515" i="19"/>
  <c r="K517" i="19"/>
  <c r="K505" i="19"/>
  <c r="L514" i="19"/>
  <c r="L515" i="19"/>
  <c r="L517" i="19"/>
  <c r="L505" i="19"/>
  <c r="M514" i="19"/>
  <c r="M515" i="19"/>
  <c r="M517" i="19"/>
  <c r="M505" i="19"/>
  <c r="N514" i="19"/>
  <c r="N515" i="19"/>
  <c r="N517" i="19"/>
  <c r="N505" i="19"/>
  <c r="O514" i="19"/>
  <c r="O515" i="19"/>
  <c r="O517" i="19"/>
  <c r="O505" i="19"/>
  <c r="P514" i="19"/>
  <c r="P515" i="19"/>
  <c r="P517" i="19"/>
  <c r="P505" i="19"/>
  <c r="Q514" i="19"/>
  <c r="Q515" i="19"/>
  <c r="Q517" i="19"/>
  <c r="Q505" i="19"/>
  <c r="R514" i="19"/>
  <c r="R515" i="19"/>
  <c r="R517" i="19"/>
  <c r="R505" i="19"/>
  <c r="L35" i="22"/>
  <c r="C547" i="19"/>
  <c r="C548" i="19"/>
  <c r="C550" i="19"/>
  <c r="D547" i="19"/>
  <c r="D548" i="19"/>
  <c r="D550" i="19"/>
  <c r="E547" i="19"/>
  <c r="E548" i="19"/>
  <c r="E550" i="19"/>
  <c r="F547" i="19"/>
  <c r="F548" i="19"/>
  <c r="F550" i="19"/>
  <c r="G547" i="19"/>
  <c r="G548" i="19"/>
  <c r="G550" i="19"/>
  <c r="G538" i="19"/>
  <c r="H547" i="19"/>
  <c r="H548" i="19"/>
  <c r="H550" i="19"/>
  <c r="H538" i="19"/>
  <c r="I547" i="19"/>
  <c r="I548" i="19"/>
  <c r="I550" i="19"/>
  <c r="I538" i="19"/>
  <c r="J547" i="19"/>
  <c r="J548" i="19"/>
  <c r="J550" i="19"/>
  <c r="J538" i="19"/>
  <c r="K547" i="19"/>
  <c r="K548" i="19"/>
  <c r="K550" i="19"/>
  <c r="K538" i="19"/>
  <c r="L547" i="19"/>
  <c r="L548" i="19"/>
  <c r="L550" i="19"/>
  <c r="L538" i="19"/>
  <c r="M547" i="19"/>
  <c r="M548" i="19"/>
  <c r="M550" i="19"/>
  <c r="M538" i="19"/>
  <c r="N547" i="19"/>
  <c r="N548" i="19"/>
  <c r="N550" i="19"/>
  <c r="N538" i="19"/>
  <c r="O547" i="19"/>
  <c r="O548" i="19"/>
  <c r="O550" i="19"/>
  <c r="O538" i="19"/>
  <c r="P547" i="19"/>
  <c r="P548" i="19"/>
  <c r="P550" i="19"/>
  <c r="P538" i="19"/>
  <c r="Q547" i="19"/>
  <c r="Q548" i="19"/>
  <c r="Q550" i="19"/>
  <c r="Q538" i="19"/>
  <c r="R547" i="19"/>
  <c r="R548" i="19"/>
  <c r="R550" i="19"/>
  <c r="R538" i="19"/>
  <c r="L36" i="22"/>
  <c r="C580" i="19"/>
  <c r="C581" i="19"/>
  <c r="C583" i="19"/>
  <c r="D580" i="19"/>
  <c r="D581" i="19"/>
  <c r="D583" i="19"/>
  <c r="E580" i="19"/>
  <c r="E583" i="19"/>
  <c r="E571" i="19"/>
  <c r="F580" i="19"/>
  <c r="F583" i="19"/>
  <c r="F571" i="19"/>
  <c r="G580" i="19"/>
  <c r="G583" i="19"/>
  <c r="G571" i="19"/>
  <c r="H580" i="19"/>
  <c r="H583" i="19"/>
  <c r="H571" i="19"/>
  <c r="I580" i="19"/>
  <c r="I583" i="19"/>
  <c r="I571" i="19"/>
  <c r="J580" i="19"/>
  <c r="J583" i="19"/>
  <c r="J571" i="19"/>
  <c r="K580" i="19"/>
  <c r="K583" i="19"/>
  <c r="K571" i="19"/>
  <c r="L580" i="19"/>
  <c r="L583" i="19"/>
  <c r="L571" i="19"/>
  <c r="M580" i="19"/>
  <c r="M583" i="19"/>
  <c r="M571" i="19"/>
  <c r="N580" i="19"/>
  <c r="N583" i="19"/>
  <c r="N571" i="19"/>
  <c r="O580" i="19"/>
  <c r="O583" i="19"/>
  <c r="O571" i="19"/>
  <c r="P580" i="19"/>
  <c r="P583" i="19"/>
  <c r="P571" i="19"/>
  <c r="Q580" i="19"/>
  <c r="Q583" i="19"/>
  <c r="Q571" i="19"/>
  <c r="R580" i="19"/>
  <c r="R583" i="19"/>
  <c r="R571" i="19"/>
  <c r="L37" i="22"/>
  <c r="C613" i="19"/>
  <c r="C614" i="19"/>
  <c r="C616" i="19"/>
  <c r="D613" i="19"/>
  <c r="D614" i="19"/>
  <c r="D616" i="19"/>
  <c r="E613" i="19"/>
  <c r="E614" i="19"/>
  <c r="E616" i="19"/>
  <c r="F613" i="19"/>
  <c r="F614" i="19"/>
  <c r="F616" i="19"/>
  <c r="G613" i="19"/>
  <c r="G614" i="19"/>
  <c r="G616" i="19"/>
  <c r="G604" i="19"/>
  <c r="H613" i="19"/>
  <c r="H614" i="19"/>
  <c r="H616" i="19"/>
  <c r="H604" i="19"/>
  <c r="I613" i="19"/>
  <c r="I614" i="19"/>
  <c r="I616" i="19"/>
  <c r="I604" i="19"/>
  <c r="J613" i="19"/>
  <c r="J614" i="19"/>
  <c r="J616" i="19"/>
  <c r="J604" i="19"/>
  <c r="K613" i="19"/>
  <c r="K614" i="19"/>
  <c r="K616" i="19"/>
  <c r="K604" i="19"/>
  <c r="L613" i="19"/>
  <c r="L614" i="19"/>
  <c r="L616" i="19"/>
  <c r="L604" i="19"/>
  <c r="M613" i="19"/>
  <c r="M614" i="19"/>
  <c r="M616" i="19"/>
  <c r="M604" i="19"/>
  <c r="N613" i="19"/>
  <c r="N614" i="19"/>
  <c r="N616" i="19"/>
  <c r="N604" i="19"/>
  <c r="O613" i="19"/>
  <c r="O614" i="19"/>
  <c r="O616" i="19"/>
  <c r="O604" i="19"/>
  <c r="P613" i="19"/>
  <c r="P614" i="19"/>
  <c r="P616" i="19"/>
  <c r="P604" i="19"/>
  <c r="Q613" i="19"/>
  <c r="Q614" i="19"/>
  <c r="Q616" i="19"/>
  <c r="Q604" i="19"/>
  <c r="R613" i="19"/>
  <c r="R614" i="19"/>
  <c r="R616" i="19"/>
  <c r="R604" i="19"/>
  <c r="L38" i="22"/>
  <c r="C646" i="19"/>
  <c r="C647" i="19"/>
  <c r="C649" i="19"/>
  <c r="D646" i="19"/>
  <c r="D647" i="19"/>
  <c r="D649" i="19"/>
  <c r="E646" i="19"/>
  <c r="E647" i="19"/>
  <c r="E649" i="19"/>
  <c r="F646" i="19"/>
  <c r="F647" i="19"/>
  <c r="F649" i="19"/>
  <c r="G646" i="19"/>
  <c r="G647" i="19"/>
  <c r="G649" i="19"/>
  <c r="G637" i="19"/>
  <c r="H646" i="19"/>
  <c r="H647" i="19"/>
  <c r="H649" i="19"/>
  <c r="H637" i="19"/>
  <c r="I646" i="19"/>
  <c r="I647" i="19"/>
  <c r="I649" i="19"/>
  <c r="I637" i="19"/>
  <c r="J646" i="19"/>
  <c r="J647" i="19"/>
  <c r="J649" i="19"/>
  <c r="J637" i="19"/>
  <c r="K646" i="19"/>
  <c r="K647" i="19"/>
  <c r="K649" i="19"/>
  <c r="K637" i="19"/>
  <c r="L646" i="19"/>
  <c r="L647" i="19"/>
  <c r="L649" i="19"/>
  <c r="L637" i="19"/>
  <c r="M646" i="19"/>
  <c r="M647" i="19"/>
  <c r="M649" i="19"/>
  <c r="M637" i="19"/>
  <c r="N646" i="19"/>
  <c r="N647" i="19"/>
  <c r="N649" i="19"/>
  <c r="N637" i="19"/>
  <c r="O646" i="19"/>
  <c r="O647" i="19"/>
  <c r="O649" i="19"/>
  <c r="O637" i="19"/>
  <c r="P646" i="19"/>
  <c r="P647" i="19"/>
  <c r="P649" i="19"/>
  <c r="P637" i="19"/>
  <c r="Q646" i="19"/>
  <c r="Q647" i="19"/>
  <c r="Q649" i="19"/>
  <c r="Q637" i="19"/>
  <c r="R646" i="19"/>
  <c r="R647" i="19"/>
  <c r="R649" i="19"/>
  <c r="R637" i="19"/>
  <c r="L39" i="22"/>
  <c r="C679" i="19"/>
  <c r="C680" i="19"/>
  <c r="C682" i="19"/>
  <c r="D679" i="19"/>
  <c r="D680" i="19"/>
  <c r="D682" i="19"/>
  <c r="E679" i="19"/>
  <c r="E680" i="19"/>
  <c r="E682" i="19"/>
  <c r="F679" i="19"/>
  <c r="F680" i="19"/>
  <c r="F682" i="19"/>
  <c r="G679" i="19"/>
  <c r="G680" i="19"/>
  <c r="G682" i="19"/>
  <c r="G670" i="19"/>
  <c r="H679" i="19"/>
  <c r="H680" i="19"/>
  <c r="H682" i="19"/>
  <c r="H670" i="19"/>
  <c r="I679" i="19"/>
  <c r="I680" i="19"/>
  <c r="I682" i="19"/>
  <c r="I670" i="19"/>
  <c r="J679" i="19"/>
  <c r="J680" i="19"/>
  <c r="J682" i="19"/>
  <c r="J670" i="19"/>
  <c r="K679" i="19"/>
  <c r="K680" i="19"/>
  <c r="K682" i="19"/>
  <c r="K670" i="19"/>
  <c r="L679" i="19"/>
  <c r="L680" i="19"/>
  <c r="L682" i="19"/>
  <c r="L670" i="19"/>
  <c r="M679" i="19"/>
  <c r="M680" i="19"/>
  <c r="M682" i="19"/>
  <c r="M670" i="19"/>
  <c r="N679" i="19"/>
  <c r="N680" i="19"/>
  <c r="N682" i="19"/>
  <c r="N670" i="19"/>
  <c r="O679" i="19"/>
  <c r="O680" i="19"/>
  <c r="O682" i="19"/>
  <c r="O670" i="19"/>
  <c r="P679" i="19"/>
  <c r="P680" i="19"/>
  <c r="P682" i="19"/>
  <c r="P670" i="19"/>
  <c r="Q679" i="19"/>
  <c r="Q680" i="19"/>
  <c r="Q682" i="19"/>
  <c r="Q670" i="19"/>
  <c r="R679" i="19"/>
  <c r="R680" i="19"/>
  <c r="R682" i="19"/>
  <c r="R670" i="19"/>
  <c r="L40" i="22"/>
  <c r="C712" i="19"/>
  <c r="C715" i="19"/>
  <c r="D712" i="19"/>
  <c r="D715" i="19"/>
  <c r="E712" i="19"/>
  <c r="E715" i="19"/>
  <c r="F712" i="19"/>
  <c r="F715" i="19"/>
  <c r="G712" i="19"/>
  <c r="G715" i="19"/>
  <c r="H715" i="19"/>
  <c r="I715" i="19"/>
  <c r="J715" i="19"/>
  <c r="K715" i="19"/>
  <c r="L715" i="19"/>
  <c r="M715" i="19"/>
  <c r="N715" i="19"/>
  <c r="O715" i="19"/>
  <c r="P715" i="19"/>
  <c r="Q715" i="19"/>
  <c r="R715" i="19"/>
  <c r="L41" i="22"/>
  <c r="C745" i="19"/>
  <c r="C748" i="19"/>
  <c r="D745" i="19"/>
  <c r="D748" i="19"/>
  <c r="E745" i="19"/>
  <c r="E748" i="19"/>
  <c r="F745" i="19"/>
  <c r="F748" i="19"/>
  <c r="G745" i="19"/>
  <c r="G748" i="19"/>
  <c r="H748" i="19"/>
  <c r="I748" i="19"/>
  <c r="J748" i="19"/>
  <c r="K748" i="19"/>
  <c r="L748" i="19"/>
  <c r="M748" i="19"/>
  <c r="N748" i="19"/>
  <c r="O748" i="19"/>
  <c r="P748" i="19"/>
  <c r="Q748" i="19"/>
  <c r="R748" i="19"/>
  <c r="L42" i="22"/>
  <c r="C778" i="19"/>
  <c r="C781" i="19"/>
  <c r="D778" i="19"/>
  <c r="D781" i="19"/>
  <c r="E778" i="19"/>
  <c r="E781" i="19"/>
  <c r="F778" i="19"/>
  <c r="F781" i="19"/>
  <c r="G778" i="19"/>
  <c r="G781" i="19"/>
  <c r="H781" i="19"/>
  <c r="I781" i="19"/>
  <c r="J781" i="19"/>
  <c r="K781" i="19"/>
  <c r="L781" i="19"/>
  <c r="M781" i="19"/>
  <c r="N781" i="19"/>
  <c r="O781" i="19"/>
  <c r="P781" i="19"/>
  <c r="Q781" i="19"/>
  <c r="R781" i="19"/>
  <c r="L43" i="22"/>
  <c r="C811" i="19"/>
  <c r="C814" i="19"/>
  <c r="D811" i="19"/>
  <c r="D814" i="19"/>
  <c r="E811" i="19"/>
  <c r="E814" i="19"/>
  <c r="E802" i="19"/>
  <c r="F811" i="19"/>
  <c r="F814" i="19"/>
  <c r="F802" i="19"/>
  <c r="G811" i="19"/>
  <c r="G814" i="19"/>
  <c r="G802" i="19"/>
  <c r="H802" i="19"/>
  <c r="H814" i="19"/>
  <c r="I802" i="19"/>
  <c r="I814" i="19"/>
  <c r="J802" i="19"/>
  <c r="J814" i="19"/>
  <c r="K802" i="19"/>
  <c r="K814" i="19"/>
  <c r="L802" i="19"/>
  <c r="L814" i="19"/>
  <c r="M802" i="19"/>
  <c r="M814" i="19"/>
  <c r="N802" i="19"/>
  <c r="N814" i="19"/>
  <c r="O802" i="19"/>
  <c r="O814" i="19"/>
  <c r="P802" i="19"/>
  <c r="P814" i="19"/>
  <c r="Q802" i="19"/>
  <c r="Q814" i="19"/>
  <c r="R802" i="19"/>
  <c r="R814" i="19"/>
  <c r="L44" i="22"/>
  <c r="C844" i="19"/>
  <c r="C847" i="19"/>
  <c r="D844" i="19"/>
  <c r="D847" i="19"/>
  <c r="E844" i="19"/>
  <c r="E847" i="19"/>
  <c r="F844" i="19"/>
  <c r="F847" i="19"/>
  <c r="G844" i="19"/>
  <c r="G847" i="19"/>
  <c r="H847" i="19"/>
  <c r="I847" i="19"/>
  <c r="J847" i="19"/>
  <c r="K847" i="19"/>
  <c r="L847" i="19"/>
  <c r="M847" i="19"/>
  <c r="N847" i="19"/>
  <c r="O847" i="19"/>
  <c r="P847" i="19"/>
  <c r="Q847" i="19"/>
  <c r="R847" i="19"/>
  <c r="L45" i="22"/>
  <c r="C877" i="19"/>
  <c r="C880" i="19"/>
  <c r="D877" i="19"/>
  <c r="D880" i="19"/>
  <c r="E877" i="19"/>
  <c r="E880" i="19"/>
  <c r="F877" i="19"/>
  <c r="F880" i="19"/>
  <c r="G877" i="19"/>
  <c r="G880" i="19"/>
  <c r="H880" i="19"/>
  <c r="I880" i="19"/>
  <c r="J880" i="19"/>
  <c r="K880" i="19"/>
  <c r="L880" i="19"/>
  <c r="M880" i="19"/>
  <c r="N880" i="19"/>
  <c r="O880" i="19"/>
  <c r="P880" i="19"/>
  <c r="Q880" i="19"/>
  <c r="R880" i="19"/>
  <c r="L46" i="22"/>
  <c r="F913" i="19"/>
  <c r="G901" i="19"/>
  <c r="G913" i="19"/>
  <c r="H901" i="19"/>
  <c r="H913" i="19"/>
  <c r="I901" i="19"/>
  <c r="I913" i="19"/>
  <c r="J901" i="19"/>
  <c r="J913" i="19"/>
  <c r="K901" i="19"/>
  <c r="K913" i="19"/>
  <c r="L901" i="19"/>
  <c r="L913" i="19"/>
  <c r="M901" i="19"/>
  <c r="M913" i="19"/>
  <c r="N901" i="19"/>
  <c r="N913" i="19"/>
  <c r="O901" i="19"/>
  <c r="O913" i="19"/>
  <c r="P901" i="19"/>
  <c r="P913" i="19"/>
  <c r="Q901" i="19"/>
  <c r="Q913" i="19"/>
  <c r="R901" i="19"/>
  <c r="R913" i="19"/>
  <c r="L47" i="22"/>
  <c r="F946" i="19"/>
  <c r="G934" i="19"/>
  <c r="G946" i="19"/>
  <c r="H934" i="19"/>
  <c r="H946" i="19"/>
  <c r="I934" i="19"/>
  <c r="I946" i="19"/>
  <c r="J934" i="19"/>
  <c r="J946" i="19"/>
  <c r="K934" i="19"/>
  <c r="K946" i="19"/>
  <c r="L934" i="19"/>
  <c r="L946" i="19"/>
  <c r="M934" i="19"/>
  <c r="M946" i="19"/>
  <c r="N934" i="19"/>
  <c r="N946" i="19"/>
  <c r="O934" i="19"/>
  <c r="O946" i="19"/>
  <c r="P934" i="19"/>
  <c r="P946" i="19"/>
  <c r="Q934" i="19"/>
  <c r="Q946" i="19"/>
  <c r="R934" i="19"/>
  <c r="R946" i="19"/>
  <c r="L48" i="22"/>
  <c r="F979" i="19"/>
  <c r="G967" i="19"/>
  <c r="G979" i="19"/>
  <c r="H967" i="19"/>
  <c r="H979" i="19"/>
  <c r="I967" i="19"/>
  <c r="I979" i="19"/>
  <c r="J967" i="19"/>
  <c r="J979" i="19"/>
  <c r="K967" i="19"/>
  <c r="K979" i="19"/>
  <c r="L967" i="19"/>
  <c r="L979" i="19"/>
  <c r="M967" i="19"/>
  <c r="M979" i="19"/>
  <c r="N967" i="19"/>
  <c r="N979" i="19"/>
  <c r="O967" i="19"/>
  <c r="O979" i="19"/>
  <c r="P967" i="19"/>
  <c r="P979" i="19"/>
  <c r="Q967" i="19"/>
  <c r="Q979" i="19"/>
  <c r="R967" i="19"/>
  <c r="R979" i="19"/>
  <c r="L49" i="22"/>
  <c r="F1012" i="19"/>
  <c r="G1000" i="19"/>
  <c r="G1012" i="19"/>
  <c r="H1000" i="19"/>
  <c r="H1012" i="19"/>
  <c r="I1000" i="19"/>
  <c r="I1012" i="19"/>
  <c r="J1000" i="19"/>
  <c r="J1012" i="19"/>
  <c r="K1000" i="19"/>
  <c r="K1012" i="19"/>
  <c r="L1000" i="19"/>
  <c r="L1012" i="19"/>
  <c r="M1000" i="19"/>
  <c r="M1012" i="19"/>
  <c r="N1000" i="19"/>
  <c r="N1012" i="19"/>
  <c r="O1000" i="19"/>
  <c r="O1012" i="19"/>
  <c r="P1000" i="19"/>
  <c r="P1012" i="19"/>
  <c r="Q1000" i="19"/>
  <c r="Q1012" i="19"/>
  <c r="R1000" i="19"/>
  <c r="R1012" i="19"/>
  <c r="L50" i="22"/>
  <c r="F1045" i="19"/>
  <c r="G1033" i="19"/>
  <c r="G1045" i="19"/>
  <c r="H1033" i="19"/>
  <c r="H1045" i="19"/>
  <c r="I1033" i="19"/>
  <c r="I1045" i="19"/>
  <c r="J1033" i="19"/>
  <c r="J1045" i="19"/>
  <c r="K1033" i="19"/>
  <c r="K1045" i="19"/>
  <c r="L1033" i="19"/>
  <c r="L1045" i="19"/>
  <c r="M1033" i="19"/>
  <c r="M1045" i="19"/>
  <c r="N1033" i="19"/>
  <c r="N1045" i="19"/>
  <c r="O1033" i="19"/>
  <c r="O1045" i="19"/>
  <c r="P1033" i="19"/>
  <c r="P1045" i="19"/>
  <c r="Q1033" i="19"/>
  <c r="Q1045" i="19"/>
  <c r="R1033" i="19"/>
  <c r="R1045" i="19"/>
  <c r="L51" i="22"/>
  <c r="F1078" i="19"/>
  <c r="G1066" i="19"/>
  <c r="G1078" i="19"/>
  <c r="H1066" i="19"/>
  <c r="H1078" i="19"/>
  <c r="I1066" i="19"/>
  <c r="I1078" i="19"/>
  <c r="J1066" i="19"/>
  <c r="J1078" i="19"/>
  <c r="K1066" i="19"/>
  <c r="K1078" i="19"/>
  <c r="L1066" i="19"/>
  <c r="L1078" i="19"/>
  <c r="M1066" i="19"/>
  <c r="M1078" i="19"/>
  <c r="N1066" i="19"/>
  <c r="N1078" i="19"/>
  <c r="O1066" i="19"/>
  <c r="O1078" i="19"/>
  <c r="P1066" i="19"/>
  <c r="P1078" i="19"/>
  <c r="Q1066" i="19"/>
  <c r="Q1078" i="19"/>
  <c r="R1066" i="19"/>
  <c r="R1078" i="19"/>
  <c r="L52" i="22"/>
  <c r="L20" i="22"/>
  <c r="E2" i="4"/>
  <c r="D2" i="4"/>
  <c r="G18" i="4"/>
  <c r="G4" i="4"/>
  <c r="G5" i="4"/>
  <c r="G6" i="4"/>
  <c r="G7" i="4"/>
  <c r="G8" i="4"/>
  <c r="G9" i="4"/>
  <c r="G10" i="4"/>
  <c r="G11" i="4"/>
  <c r="G12" i="4"/>
  <c r="G13" i="4"/>
  <c r="G14" i="4"/>
  <c r="G15" i="4"/>
  <c r="G16" i="4"/>
  <c r="G17"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8" i="22"/>
  <c r="E8" i="22"/>
  <c r="I8" i="22"/>
  <c r="E27" i="21"/>
  <c r="F27" i="21"/>
  <c r="G27" i="21"/>
  <c r="E23" i="21"/>
  <c r="F23" i="21"/>
  <c r="G23" i="21"/>
  <c r="H23" i="21"/>
  <c r="I23" i="21"/>
  <c r="J23" i="21"/>
  <c r="K23" i="21"/>
  <c r="L23" i="21"/>
  <c r="M23" i="21"/>
  <c r="N23" i="21"/>
  <c r="O23" i="21"/>
  <c r="P23" i="21"/>
  <c r="Q23" i="21"/>
  <c r="R23" i="21"/>
  <c r="S23" i="21"/>
  <c r="D23" i="21"/>
  <c r="G43" i="19"/>
  <c r="G8" i="8"/>
  <c r="G7" i="8"/>
  <c r="G10" i="8"/>
  <c r="G15" i="8"/>
  <c r="G16" i="8"/>
  <c r="G18" i="8"/>
  <c r="G19" i="8"/>
  <c r="G21" i="8"/>
  <c r="Z63" i="19"/>
  <c r="G285" i="19"/>
  <c r="G290" i="19"/>
  <c r="AA14" i="19"/>
  <c r="G912" i="19"/>
  <c r="G917" i="19"/>
  <c r="AA33" i="19"/>
  <c r="G945" i="19"/>
  <c r="G950" i="19"/>
  <c r="AA34" i="19"/>
  <c r="G978" i="19"/>
  <c r="G983" i="19"/>
  <c r="AA35" i="19"/>
  <c r="G1011" i="19"/>
  <c r="G1016" i="19"/>
  <c r="AA36" i="19"/>
  <c r="G1044" i="19"/>
  <c r="G1049" i="19"/>
  <c r="AA37" i="19"/>
  <c r="G1077" i="19"/>
  <c r="G1082" i="19"/>
  <c r="AA38" i="19"/>
  <c r="AA63" i="19"/>
  <c r="H285" i="19"/>
  <c r="H290" i="19"/>
  <c r="AB14" i="19"/>
  <c r="H912" i="19"/>
  <c r="H917" i="19"/>
  <c r="AB33" i="19"/>
  <c r="H945" i="19"/>
  <c r="H950" i="19"/>
  <c r="AB34" i="19"/>
  <c r="H978" i="19"/>
  <c r="H983" i="19"/>
  <c r="AB35" i="19"/>
  <c r="H1011" i="19"/>
  <c r="H1016" i="19"/>
  <c r="AB36" i="19"/>
  <c r="H1044" i="19"/>
  <c r="H1049" i="19"/>
  <c r="AB37" i="19"/>
  <c r="H1077" i="19"/>
  <c r="H1082" i="19"/>
  <c r="AB38" i="19"/>
  <c r="I285" i="19"/>
  <c r="I290" i="19"/>
  <c r="AC14" i="19"/>
  <c r="I912" i="19"/>
  <c r="I917" i="19"/>
  <c r="AC33" i="19"/>
  <c r="I945" i="19"/>
  <c r="I950" i="19"/>
  <c r="AC34" i="19"/>
  <c r="I978" i="19"/>
  <c r="I983" i="19"/>
  <c r="AC35" i="19"/>
  <c r="I1011" i="19"/>
  <c r="I1016" i="19"/>
  <c r="AC36" i="19"/>
  <c r="I1044" i="19"/>
  <c r="I1049" i="19"/>
  <c r="AC37" i="19"/>
  <c r="I1077" i="19"/>
  <c r="I1082" i="19"/>
  <c r="AC38" i="19"/>
  <c r="J285" i="19"/>
  <c r="J290" i="19"/>
  <c r="AD14" i="19"/>
  <c r="J912" i="19"/>
  <c r="J917" i="19"/>
  <c r="AD33" i="19"/>
  <c r="J945" i="19"/>
  <c r="J950" i="19"/>
  <c r="AD34" i="19"/>
  <c r="J978" i="19"/>
  <c r="J983" i="19"/>
  <c r="AD35" i="19"/>
  <c r="J1011" i="19"/>
  <c r="J1016" i="19"/>
  <c r="AD36" i="19"/>
  <c r="J1044" i="19"/>
  <c r="J1049" i="19"/>
  <c r="AD37" i="19"/>
  <c r="J1077" i="19"/>
  <c r="J1082" i="19"/>
  <c r="AD38" i="19"/>
  <c r="K285" i="19"/>
  <c r="K290" i="19"/>
  <c r="AE14" i="19"/>
  <c r="K912" i="19"/>
  <c r="K917" i="19"/>
  <c r="AE33" i="19"/>
  <c r="K945" i="19"/>
  <c r="K950" i="19"/>
  <c r="AE34" i="19"/>
  <c r="K978" i="19"/>
  <c r="K983" i="19"/>
  <c r="AE35" i="19"/>
  <c r="K1011" i="19"/>
  <c r="K1016" i="19"/>
  <c r="AE36" i="19"/>
  <c r="K1044" i="19"/>
  <c r="K1049" i="19"/>
  <c r="AE37" i="19"/>
  <c r="K1077" i="19"/>
  <c r="K1082" i="19"/>
  <c r="AE38" i="19"/>
  <c r="L285" i="19"/>
  <c r="L290" i="19"/>
  <c r="AF14" i="19"/>
  <c r="L912" i="19"/>
  <c r="L917" i="19"/>
  <c r="AF33" i="19"/>
  <c r="L945" i="19"/>
  <c r="L950" i="19"/>
  <c r="AF34" i="19"/>
  <c r="L978" i="19"/>
  <c r="L983" i="19"/>
  <c r="AF35" i="19"/>
  <c r="L1011" i="19"/>
  <c r="L1016" i="19"/>
  <c r="AF36" i="19"/>
  <c r="L1044" i="19"/>
  <c r="L1049" i="19"/>
  <c r="AF37" i="19"/>
  <c r="L1077" i="19"/>
  <c r="L1082" i="19"/>
  <c r="AF38" i="19"/>
  <c r="M285" i="19"/>
  <c r="M290" i="19"/>
  <c r="AG14" i="19"/>
  <c r="M912" i="19"/>
  <c r="M917" i="19"/>
  <c r="AG33" i="19"/>
  <c r="M945" i="19"/>
  <c r="M950" i="19"/>
  <c r="AG34" i="19"/>
  <c r="M978" i="19"/>
  <c r="M983" i="19"/>
  <c r="AG35" i="19"/>
  <c r="M1011" i="19"/>
  <c r="M1016" i="19"/>
  <c r="AG36" i="19"/>
  <c r="M1044" i="19"/>
  <c r="M1049" i="19"/>
  <c r="AG37" i="19"/>
  <c r="M1077" i="19"/>
  <c r="M1082" i="19"/>
  <c r="AG38" i="19"/>
  <c r="N285" i="19"/>
  <c r="N290" i="19"/>
  <c r="AH14" i="19"/>
  <c r="N912" i="19"/>
  <c r="N917" i="19"/>
  <c r="AH33" i="19"/>
  <c r="N945" i="19"/>
  <c r="N950" i="19"/>
  <c r="AH34" i="19"/>
  <c r="N978" i="19"/>
  <c r="N983" i="19"/>
  <c r="AH35" i="19"/>
  <c r="N1011" i="19"/>
  <c r="N1016" i="19"/>
  <c r="AH36" i="19"/>
  <c r="N1044" i="19"/>
  <c r="N1049" i="19"/>
  <c r="AH37" i="19"/>
  <c r="N1077" i="19"/>
  <c r="N1082" i="19"/>
  <c r="AH38" i="19"/>
  <c r="O285" i="19"/>
  <c r="O290" i="19"/>
  <c r="AI14" i="19"/>
  <c r="O912" i="19"/>
  <c r="O917" i="19"/>
  <c r="AI33" i="19"/>
  <c r="O945" i="19"/>
  <c r="O950" i="19"/>
  <c r="AI34" i="19"/>
  <c r="O978" i="19"/>
  <c r="O983" i="19"/>
  <c r="AI35" i="19"/>
  <c r="O1011" i="19"/>
  <c r="O1016" i="19"/>
  <c r="AI36" i="19"/>
  <c r="O1044" i="19"/>
  <c r="O1049" i="19"/>
  <c r="AI37" i="19"/>
  <c r="O1077" i="19"/>
  <c r="O1082" i="19"/>
  <c r="AI38" i="19"/>
  <c r="P285" i="19"/>
  <c r="P290" i="19"/>
  <c r="AJ14" i="19"/>
  <c r="P912" i="19"/>
  <c r="P917" i="19"/>
  <c r="AJ33" i="19"/>
  <c r="P945" i="19"/>
  <c r="P950" i="19"/>
  <c r="AJ34" i="19"/>
  <c r="P978" i="19"/>
  <c r="P983" i="19"/>
  <c r="AJ35" i="19"/>
  <c r="P1011" i="19"/>
  <c r="P1016" i="19"/>
  <c r="AJ36" i="19"/>
  <c r="P1044" i="19"/>
  <c r="P1049" i="19"/>
  <c r="AJ37" i="19"/>
  <c r="P1077" i="19"/>
  <c r="P1082" i="19"/>
  <c r="AJ38" i="19"/>
  <c r="Q285" i="19"/>
  <c r="Q290" i="19"/>
  <c r="AK14" i="19"/>
  <c r="Q912" i="19"/>
  <c r="Q917" i="19"/>
  <c r="AK33" i="19"/>
  <c r="Q945" i="19"/>
  <c r="Q950" i="19"/>
  <c r="AK34" i="19"/>
  <c r="Q978" i="19"/>
  <c r="Q983" i="19"/>
  <c r="AK35" i="19"/>
  <c r="Q1011" i="19"/>
  <c r="Q1016" i="19"/>
  <c r="AK36" i="19"/>
  <c r="Q1044" i="19"/>
  <c r="Q1049" i="19"/>
  <c r="AK37" i="19"/>
  <c r="Q1077" i="19"/>
  <c r="Q1082" i="19"/>
  <c r="AK38" i="19"/>
  <c r="R285" i="19"/>
  <c r="R290" i="19"/>
  <c r="AL14" i="19"/>
  <c r="R912" i="19"/>
  <c r="R917" i="19"/>
  <c r="AL33" i="19"/>
  <c r="R945" i="19"/>
  <c r="R950" i="19"/>
  <c r="AL34" i="19"/>
  <c r="R978" i="19"/>
  <c r="R983" i="19"/>
  <c r="AL35" i="19"/>
  <c r="R1011" i="19"/>
  <c r="R1016" i="19"/>
  <c r="AL36" i="19"/>
  <c r="R1044" i="19"/>
  <c r="R1049" i="19"/>
  <c r="AL37" i="19"/>
  <c r="R1077" i="19"/>
  <c r="R1082" i="19"/>
  <c r="AL38" i="19"/>
  <c r="C22" i="21"/>
  <c r="C21" i="21"/>
  <c r="C18" i="21"/>
  <c r="C17" i="2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G3"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L6" i="4"/>
  <c r="K12" i="4"/>
  <c r="L12" i="4"/>
  <c r="L16" i="4"/>
  <c r="K12" i="11"/>
  <c r="L12" i="11"/>
  <c r="L13" i="11"/>
  <c r="L14" i="11"/>
  <c r="L15" i="11"/>
  <c r="L16" i="11"/>
  <c r="L17" i="11"/>
  <c r="L18" i="11"/>
  <c r="L19" i="11"/>
  <c r="L21" i="11"/>
  <c r="L22" i="11"/>
  <c r="L23" i="11"/>
  <c r="L24" i="11"/>
  <c r="M12" i="11"/>
  <c r="M13" i="11"/>
  <c r="M14" i="11"/>
  <c r="G12" i="11"/>
  <c r="M15" i="11"/>
  <c r="M16" i="11"/>
  <c r="L25" i="11"/>
  <c r="K26" i="11"/>
  <c r="L26" i="11"/>
  <c r="L27" i="11"/>
  <c r="AR45" i="12"/>
  <c r="M17" i="11"/>
  <c r="M18" i="11"/>
  <c r="M19" i="11"/>
  <c r="M20" i="11"/>
  <c r="M21" i="11"/>
  <c r="M22" i="11"/>
  <c r="M23" i="11"/>
  <c r="M24" i="11"/>
  <c r="N12" i="11"/>
  <c r="N13" i="11"/>
  <c r="N14" i="11"/>
  <c r="N15" i="11"/>
  <c r="N16" i="11"/>
  <c r="M25" i="11"/>
  <c r="M26" i="11"/>
  <c r="M27" i="11"/>
  <c r="AS45" i="12"/>
  <c r="N17" i="11"/>
  <c r="N18" i="11"/>
  <c r="N19" i="11"/>
  <c r="N20" i="11"/>
  <c r="N21" i="11"/>
  <c r="N22" i="11"/>
  <c r="N23" i="11"/>
  <c r="N24" i="11"/>
  <c r="O12" i="11"/>
  <c r="O13" i="11"/>
  <c r="O14" i="11"/>
  <c r="O15" i="11"/>
  <c r="O16" i="11"/>
  <c r="N25" i="11"/>
  <c r="N26" i="11"/>
  <c r="N27" i="11"/>
  <c r="AT45" i="12"/>
  <c r="O17" i="11"/>
  <c r="O18" i="11"/>
  <c r="O19" i="11"/>
  <c r="O20" i="11"/>
  <c r="O21" i="11"/>
  <c r="O22" i="11"/>
  <c r="O23" i="11"/>
  <c r="O24" i="11"/>
  <c r="P12" i="11"/>
  <c r="P13" i="11"/>
  <c r="P14" i="11"/>
  <c r="P15" i="11"/>
  <c r="P16" i="11"/>
  <c r="O25" i="11"/>
  <c r="O26" i="11"/>
  <c r="O27" i="11"/>
  <c r="AU45" i="12"/>
  <c r="P17" i="11"/>
  <c r="P18" i="11"/>
  <c r="P19" i="11"/>
  <c r="P20" i="11"/>
  <c r="P21" i="11"/>
  <c r="P22" i="11"/>
  <c r="P23" i="11"/>
  <c r="P24" i="11"/>
  <c r="Q12" i="11"/>
  <c r="Q13" i="11"/>
  <c r="Q14" i="11"/>
  <c r="Q15" i="11"/>
  <c r="Q16" i="11"/>
  <c r="P25" i="11"/>
  <c r="P26" i="11"/>
  <c r="P27" i="11"/>
  <c r="AV45" i="12"/>
  <c r="Q17" i="11"/>
  <c r="Q18" i="11"/>
  <c r="Q19" i="11"/>
  <c r="Q20" i="11"/>
  <c r="Q21" i="11"/>
  <c r="Q22" i="11"/>
  <c r="Q23" i="11"/>
  <c r="Q24" i="11"/>
  <c r="R12" i="11"/>
  <c r="R13" i="11"/>
  <c r="R14" i="11"/>
  <c r="R15" i="11"/>
  <c r="R16" i="11"/>
  <c r="Q25" i="11"/>
  <c r="Q26" i="11"/>
  <c r="Q27" i="11"/>
  <c r="AW45" i="12"/>
  <c r="R17" i="11"/>
  <c r="R18" i="11"/>
  <c r="R19" i="11"/>
  <c r="R20" i="11"/>
  <c r="R21" i="11"/>
  <c r="R22" i="11"/>
  <c r="R23" i="11"/>
  <c r="R24" i="11"/>
  <c r="S12" i="11"/>
  <c r="S13" i="11"/>
  <c r="S14" i="11"/>
  <c r="S15" i="11"/>
  <c r="S16" i="11"/>
  <c r="R25" i="11"/>
  <c r="R26" i="11"/>
  <c r="R27" i="11"/>
  <c r="AX45" i="12"/>
  <c r="S17" i="11"/>
  <c r="S18" i="11"/>
  <c r="S19" i="11"/>
  <c r="S20" i="11"/>
  <c r="S21" i="11"/>
  <c r="S22" i="11"/>
  <c r="S23" i="11"/>
  <c r="S24" i="11"/>
  <c r="T12" i="11"/>
  <c r="T13" i="11"/>
  <c r="T14" i="11"/>
  <c r="T15" i="11"/>
  <c r="T16" i="11"/>
  <c r="S25" i="11"/>
  <c r="S26" i="11"/>
  <c r="S27" i="11"/>
  <c r="AY45" i="12"/>
  <c r="T17" i="11"/>
  <c r="T18" i="11"/>
  <c r="T19" i="11"/>
  <c r="T20" i="11"/>
  <c r="T21" i="11"/>
  <c r="T22" i="11"/>
  <c r="T23" i="11"/>
  <c r="T24" i="11"/>
  <c r="U12" i="11"/>
  <c r="U13" i="11"/>
  <c r="U14" i="11"/>
  <c r="U15" i="11"/>
  <c r="U16" i="11"/>
  <c r="T25" i="11"/>
  <c r="T26" i="11"/>
  <c r="T27" i="11"/>
  <c r="AZ45" i="12"/>
  <c r="U17" i="11"/>
  <c r="U18" i="11"/>
  <c r="U19" i="11"/>
  <c r="U20" i="11"/>
  <c r="U21" i="11"/>
  <c r="U22" i="11"/>
  <c r="U23" i="11"/>
  <c r="U24" i="11"/>
  <c r="V12" i="11"/>
  <c r="V13" i="11"/>
  <c r="V14" i="11"/>
  <c r="V15" i="11"/>
  <c r="V16" i="11"/>
  <c r="U25" i="11"/>
  <c r="U26" i="11"/>
  <c r="U27" i="11"/>
  <c r="BA45" i="12"/>
  <c r="V17" i="11"/>
  <c r="V18" i="11"/>
  <c r="V19" i="11"/>
  <c r="V20" i="11"/>
  <c r="V21" i="11"/>
  <c r="V22" i="11"/>
  <c r="V23" i="11"/>
  <c r="V24" i="11"/>
  <c r="V25" i="11"/>
  <c r="V26" i="11"/>
  <c r="V27" i="11"/>
  <c r="BB45" i="12"/>
  <c r="K36" i="11"/>
  <c r="L36" i="11"/>
  <c r="L37" i="11"/>
  <c r="L38" i="11"/>
  <c r="L39" i="11"/>
  <c r="L40" i="11"/>
  <c r="L41" i="11"/>
  <c r="L42" i="11"/>
  <c r="L43" i="11"/>
  <c r="L45" i="11"/>
  <c r="L46" i="11"/>
  <c r="L47" i="11"/>
  <c r="L48" i="11"/>
  <c r="M36" i="11"/>
  <c r="M37" i="11"/>
  <c r="M38" i="11"/>
  <c r="M39" i="11"/>
  <c r="M40" i="11"/>
  <c r="L49" i="11"/>
  <c r="K50" i="11"/>
  <c r="L50" i="11"/>
  <c r="L51" i="11"/>
  <c r="AR46" i="12"/>
  <c r="M41" i="11"/>
  <c r="M42" i="11"/>
  <c r="M43" i="11"/>
  <c r="M44" i="11"/>
  <c r="M45" i="11"/>
  <c r="M46" i="11"/>
  <c r="M47" i="11"/>
  <c r="M48" i="11"/>
  <c r="N36" i="11"/>
  <c r="N37" i="11"/>
  <c r="N38" i="11"/>
  <c r="N39" i="11"/>
  <c r="N40" i="11"/>
  <c r="M49" i="11"/>
  <c r="M50" i="11"/>
  <c r="M51" i="11"/>
  <c r="AS46" i="12"/>
  <c r="N41" i="11"/>
  <c r="N42" i="11"/>
  <c r="N43" i="11"/>
  <c r="N44" i="11"/>
  <c r="N45" i="11"/>
  <c r="N46" i="11"/>
  <c r="N47" i="11"/>
  <c r="N48" i="11"/>
  <c r="O36" i="11"/>
  <c r="O37" i="11"/>
  <c r="O38" i="11"/>
  <c r="O39" i="11"/>
  <c r="O40" i="11"/>
  <c r="N49" i="11"/>
  <c r="N50" i="11"/>
  <c r="N51" i="11"/>
  <c r="AT46" i="12"/>
  <c r="O41" i="11"/>
  <c r="O42" i="11"/>
  <c r="O43" i="11"/>
  <c r="O44" i="11"/>
  <c r="O45" i="11"/>
  <c r="O46" i="11"/>
  <c r="O47" i="11"/>
  <c r="O48" i="11"/>
  <c r="P36" i="11"/>
  <c r="P37" i="11"/>
  <c r="P38" i="11"/>
  <c r="P39" i="11"/>
  <c r="P40" i="11"/>
  <c r="O49" i="11"/>
  <c r="O50" i="11"/>
  <c r="O51" i="11"/>
  <c r="AU46" i="12"/>
  <c r="P41" i="11"/>
  <c r="P42" i="11"/>
  <c r="P43" i="11"/>
  <c r="P44" i="11"/>
  <c r="P45" i="11"/>
  <c r="P46" i="11"/>
  <c r="P47" i="11"/>
  <c r="P48" i="11"/>
  <c r="Q36" i="11"/>
  <c r="Q37" i="11"/>
  <c r="Q38" i="11"/>
  <c r="Q39" i="11"/>
  <c r="Q40" i="11"/>
  <c r="P49" i="11"/>
  <c r="P50" i="11"/>
  <c r="P51" i="11"/>
  <c r="AV46" i="12"/>
  <c r="Q41" i="11"/>
  <c r="Q42" i="11"/>
  <c r="Q43" i="11"/>
  <c r="Q44" i="11"/>
  <c r="Q45" i="11"/>
  <c r="Q46" i="11"/>
  <c r="Q47" i="11"/>
  <c r="Q48" i="11"/>
  <c r="R36" i="11"/>
  <c r="R37" i="11"/>
  <c r="R38" i="11"/>
  <c r="R39" i="11"/>
  <c r="R40" i="11"/>
  <c r="Q49" i="11"/>
  <c r="Q50" i="11"/>
  <c r="Q51" i="11"/>
  <c r="AW46" i="12"/>
  <c r="R41" i="11"/>
  <c r="R42" i="11"/>
  <c r="R43" i="11"/>
  <c r="R44" i="11"/>
  <c r="R45" i="11"/>
  <c r="R46" i="11"/>
  <c r="R47" i="11"/>
  <c r="R48" i="11"/>
  <c r="S36" i="11"/>
  <c r="S37" i="11"/>
  <c r="S38" i="11"/>
  <c r="S39" i="11"/>
  <c r="S40" i="11"/>
  <c r="R49" i="11"/>
  <c r="R50" i="11"/>
  <c r="R51" i="11"/>
  <c r="AX46" i="12"/>
  <c r="S41" i="11"/>
  <c r="S42" i="11"/>
  <c r="S43" i="11"/>
  <c r="S44" i="11"/>
  <c r="S45" i="11"/>
  <c r="S46" i="11"/>
  <c r="S47" i="11"/>
  <c r="S48" i="11"/>
  <c r="T36" i="11"/>
  <c r="T37" i="11"/>
  <c r="T38" i="11"/>
  <c r="T39" i="11"/>
  <c r="T40" i="11"/>
  <c r="S49" i="11"/>
  <c r="S50" i="11"/>
  <c r="S51" i="11"/>
  <c r="AY46" i="12"/>
  <c r="T41" i="11"/>
  <c r="T42" i="11"/>
  <c r="T43" i="11"/>
  <c r="T44" i="11"/>
  <c r="T45" i="11"/>
  <c r="T46" i="11"/>
  <c r="T47" i="11"/>
  <c r="T48" i="11"/>
  <c r="U36" i="11"/>
  <c r="U37" i="11"/>
  <c r="U38" i="11"/>
  <c r="U39" i="11"/>
  <c r="U40" i="11"/>
  <c r="T49" i="11"/>
  <c r="T50" i="11"/>
  <c r="T51" i="11"/>
  <c r="AZ46" i="12"/>
  <c r="U41" i="11"/>
  <c r="U42" i="11"/>
  <c r="U43" i="11"/>
  <c r="U44" i="11"/>
  <c r="U45" i="11"/>
  <c r="U46" i="11"/>
  <c r="U47" i="11"/>
  <c r="U48" i="11"/>
  <c r="V36" i="11"/>
  <c r="V37" i="11"/>
  <c r="V38" i="11"/>
  <c r="V39" i="11"/>
  <c r="V40" i="11"/>
  <c r="U49" i="11"/>
  <c r="U50" i="11"/>
  <c r="U51" i="11"/>
  <c r="BA46" i="12"/>
  <c r="V41" i="11"/>
  <c r="V42" i="11"/>
  <c r="V43" i="11"/>
  <c r="V44" i="11"/>
  <c r="V45" i="11"/>
  <c r="V46" i="11"/>
  <c r="V47" i="11"/>
  <c r="V48" i="11"/>
  <c r="V49" i="11"/>
  <c r="V50" i="11"/>
  <c r="V51" i="11"/>
  <c r="BB46" i="12"/>
  <c r="K60" i="11"/>
  <c r="L60" i="11"/>
  <c r="L61" i="11"/>
  <c r="L62" i="11"/>
  <c r="L63" i="11"/>
  <c r="L64" i="11"/>
  <c r="L65" i="11"/>
  <c r="L66" i="11"/>
  <c r="L67" i="11"/>
  <c r="L69" i="11"/>
  <c r="L70" i="11"/>
  <c r="L71" i="11"/>
  <c r="L72" i="11"/>
  <c r="M60" i="11"/>
  <c r="M61" i="11"/>
  <c r="M62" i="11"/>
  <c r="M63" i="11"/>
  <c r="M64" i="11"/>
  <c r="L73" i="11"/>
  <c r="K74" i="11"/>
  <c r="L74" i="11"/>
  <c r="L75" i="11"/>
  <c r="AR47" i="12"/>
  <c r="M65" i="11"/>
  <c r="M66" i="11"/>
  <c r="M67" i="11"/>
  <c r="M68" i="11"/>
  <c r="M69" i="11"/>
  <c r="M70" i="11"/>
  <c r="M71" i="11"/>
  <c r="M72" i="11"/>
  <c r="N60" i="11"/>
  <c r="N61" i="11"/>
  <c r="N62" i="11"/>
  <c r="N63" i="11"/>
  <c r="N64" i="11"/>
  <c r="M73" i="11"/>
  <c r="M74" i="11"/>
  <c r="M75" i="11"/>
  <c r="AS47" i="12"/>
  <c r="N65" i="11"/>
  <c r="N66" i="11"/>
  <c r="N67" i="11"/>
  <c r="N68" i="11"/>
  <c r="N69" i="11"/>
  <c r="N70" i="11"/>
  <c r="N71" i="11"/>
  <c r="N72" i="11"/>
  <c r="O60" i="11"/>
  <c r="O61" i="11"/>
  <c r="O62" i="11"/>
  <c r="O63" i="11"/>
  <c r="O64" i="11"/>
  <c r="N73" i="11"/>
  <c r="N74" i="11"/>
  <c r="N75" i="11"/>
  <c r="AT47" i="12"/>
  <c r="O65" i="11"/>
  <c r="O66" i="11"/>
  <c r="O67" i="11"/>
  <c r="O68" i="11"/>
  <c r="O69" i="11"/>
  <c r="O70" i="11"/>
  <c r="O71" i="11"/>
  <c r="O72" i="11"/>
  <c r="P60" i="11"/>
  <c r="P61" i="11"/>
  <c r="P62" i="11"/>
  <c r="P63" i="11"/>
  <c r="P64" i="11"/>
  <c r="O73" i="11"/>
  <c r="O74" i="11"/>
  <c r="O75" i="11"/>
  <c r="AU47" i="12"/>
  <c r="P65" i="11"/>
  <c r="P66" i="11"/>
  <c r="P67" i="11"/>
  <c r="P68" i="11"/>
  <c r="P69" i="11"/>
  <c r="P70" i="11"/>
  <c r="P71" i="11"/>
  <c r="P72" i="11"/>
  <c r="Q60" i="11"/>
  <c r="Q61" i="11"/>
  <c r="Q62" i="11"/>
  <c r="Q63" i="11"/>
  <c r="Q64" i="11"/>
  <c r="P73" i="11"/>
  <c r="P74" i="11"/>
  <c r="P75" i="11"/>
  <c r="AV47" i="12"/>
  <c r="Q65" i="11"/>
  <c r="Q66" i="11"/>
  <c r="Q67" i="11"/>
  <c r="Q68" i="11"/>
  <c r="Q69" i="11"/>
  <c r="Q70" i="11"/>
  <c r="Q71" i="11"/>
  <c r="Q72" i="11"/>
  <c r="R60" i="11"/>
  <c r="R61" i="11"/>
  <c r="R62" i="11"/>
  <c r="R63" i="11"/>
  <c r="R64" i="11"/>
  <c r="Q73" i="11"/>
  <c r="Q74" i="11"/>
  <c r="Q75" i="11"/>
  <c r="AW47" i="12"/>
  <c r="R65" i="11"/>
  <c r="R66" i="11"/>
  <c r="R67" i="11"/>
  <c r="R68" i="11"/>
  <c r="R69" i="11"/>
  <c r="R70" i="11"/>
  <c r="R71" i="11"/>
  <c r="R72" i="11"/>
  <c r="S60" i="11"/>
  <c r="S61" i="11"/>
  <c r="S62" i="11"/>
  <c r="S63" i="11"/>
  <c r="S64" i="11"/>
  <c r="R73" i="11"/>
  <c r="R74" i="11"/>
  <c r="R75" i="11"/>
  <c r="AX47" i="12"/>
  <c r="S65" i="11"/>
  <c r="S66" i="11"/>
  <c r="S67" i="11"/>
  <c r="S68" i="11"/>
  <c r="S69" i="11"/>
  <c r="S70" i="11"/>
  <c r="S71" i="11"/>
  <c r="S72" i="11"/>
  <c r="T60" i="11"/>
  <c r="T61" i="11"/>
  <c r="T62" i="11"/>
  <c r="T63" i="11"/>
  <c r="T64" i="11"/>
  <c r="S73" i="11"/>
  <c r="S74" i="11"/>
  <c r="S75" i="11"/>
  <c r="AY47" i="12"/>
  <c r="T65" i="11"/>
  <c r="T66" i="11"/>
  <c r="T67" i="11"/>
  <c r="T68" i="11"/>
  <c r="T69" i="11"/>
  <c r="T70" i="11"/>
  <c r="T71" i="11"/>
  <c r="T72" i="11"/>
  <c r="U60" i="11"/>
  <c r="U61" i="11"/>
  <c r="U62" i="11"/>
  <c r="U63" i="11"/>
  <c r="U64" i="11"/>
  <c r="T73" i="11"/>
  <c r="T74" i="11"/>
  <c r="T75" i="11"/>
  <c r="AZ47" i="12"/>
  <c r="U65" i="11"/>
  <c r="U66" i="11"/>
  <c r="U67" i="11"/>
  <c r="U68" i="11"/>
  <c r="U69" i="11"/>
  <c r="U70" i="11"/>
  <c r="U71" i="11"/>
  <c r="U72" i="11"/>
  <c r="V60" i="11"/>
  <c r="V61" i="11"/>
  <c r="V62" i="11"/>
  <c r="V63" i="11"/>
  <c r="V64" i="11"/>
  <c r="U73" i="11"/>
  <c r="U74" i="11"/>
  <c r="U75" i="11"/>
  <c r="BA47" i="12"/>
  <c r="V65" i="11"/>
  <c r="V66" i="11"/>
  <c r="V67" i="11"/>
  <c r="V68" i="11"/>
  <c r="V69" i="11"/>
  <c r="V70" i="11"/>
  <c r="V71" i="11"/>
  <c r="V72" i="11"/>
  <c r="V73" i="11"/>
  <c r="V74" i="11"/>
  <c r="V75" i="11"/>
  <c r="BB47" i="12"/>
  <c r="K84" i="11"/>
  <c r="L84" i="11"/>
  <c r="L85" i="11"/>
  <c r="L86" i="11"/>
  <c r="L87" i="11"/>
  <c r="L88" i="11"/>
  <c r="L89" i="11"/>
  <c r="L90" i="11"/>
  <c r="L91" i="11"/>
  <c r="L93" i="11"/>
  <c r="L94" i="11"/>
  <c r="L95" i="11"/>
  <c r="L96" i="11"/>
  <c r="M84" i="11"/>
  <c r="M85" i="11"/>
  <c r="M86" i="11"/>
  <c r="M87" i="11"/>
  <c r="M88" i="11"/>
  <c r="L97" i="11"/>
  <c r="K98" i="11"/>
  <c r="L98" i="11"/>
  <c r="L99" i="11"/>
  <c r="AR48" i="12"/>
  <c r="M89" i="11"/>
  <c r="M90" i="11"/>
  <c r="M91" i="11"/>
  <c r="M92" i="11"/>
  <c r="M93" i="11"/>
  <c r="M94" i="11"/>
  <c r="M95" i="11"/>
  <c r="M96" i="11"/>
  <c r="N84" i="11"/>
  <c r="N85" i="11"/>
  <c r="N86" i="11"/>
  <c r="N87" i="11"/>
  <c r="N88" i="11"/>
  <c r="M97" i="11"/>
  <c r="M98" i="11"/>
  <c r="M99" i="11"/>
  <c r="AS48" i="12"/>
  <c r="N89" i="11"/>
  <c r="N90" i="11"/>
  <c r="N91" i="11"/>
  <c r="N92" i="11"/>
  <c r="N93" i="11"/>
  <c r="N94" i="11"/>
  <c r="N95" i="11"/>
  <c r="N96" i="11"/>
  <c r="O84" i="11"/>
  <c r="O85" i="11"/>
  <c r="O86" i="11"/>
  <c r="O87" i="11"/>
  <c r="O88" i="11"/>
  <c r="N97" i="11"/>
  <c r="N98" i="11"/>
  <c r="N99" i="11"/>
  <c r="AT48" i="12"/>
  <c r="O89" i="11"/>
  <c r="O90" i="11"/>
  <c r="O91" i="11"/>
  <c r="O92" i="11"/>
  <c r="O93" i="11"/>
  <c r="O94" i="11"/>
  <c r="O95" i="11"/>
  <c r="O96" i="11"/>
  <c r="P84" i="11"/>
  <c r="P85" i="11"/>
  <c r="P86" i="11"/>
  <c r="P87" i="11"/>
  <c r="P88" i="11"/>
  <c r="O97" i="11"/>
  <c r="O98" i="11"/>
  <c r="O99" i="11"/>
  <c r="AU48" i="12"/>
  <c r="P89" i="11"/>
  <c r="P90" i="11"/>
  <c r="P91" i="11"/>
  <c r="P92" i="11"/>
  <c r="P93" i="11"/>
  <c r="P94" i="11"/>
  <c r="P95" i="11"/>
  <c r="P96" i="11"/>
  <c r="Q84" i="11"/>
  <c r="Q85" i="11"/>
  <c r="Q86" i="11"/>
  <c r="Q87" i="11"/>
  <c r="Q88" i="11"/>
  <c r="P97" i="11"/>
  <c r="P98" i="11"/>
  <c r="P99" i="11"/>
  <c r="AV48" i="12"/>
  <c r="Q89" i="11"/>
  <c r="Q90" i="11"/>
  <c r="Q91" i="11"/>
  <c r="Q92" i="11"/>
  <c r="Q93" i="11"/>
  <c r="Q94" i="11"/>
  <c r="Q95" i="11"/>
  <c r="Q96" i="11"/>
  <c r="R84" i="11"/>
  <c r="R85" i="11"/>
  <c r="R86" i="11"/>
  <c r="R87" i="11"/>
  <c r="R88" i="11"/>
  <c r="Q97" i="11"/>
  <c r="Q98" i="11"/>
  <c r="Q99" i="11"/>
  <c r="AW48" i="12"/>
  <c r="R89" i="11"/>
  <c r="R90" i="11"/>
  <c r="R91" i="11"/>
  <c r="R92" i="11"/>
  <c r="R93" i="11"/>
  <c r="R94" i="11"/>
  <c r="R95" i="11"/>
  <c r="R96" i="11"/>
  <c r="S84" i="11"/>
  <c r="S85" i="11"/>
  <c r="S86" i="11"/>
  <c r="S87" i="11"/>
  <c r="S88" i="11"/>
  <c r="R97" i="11"/>
  <c r="R98" i="11"/>
  <c r="R99" i="11"/>
  <c r="AX48" i="12"/>
  <c r="S89" i="11"/>
  <c r="S90" i="11"/>
  <c r="S91" i="11"/>
  <c r="S92" i="11"/>
  <c r="S93" i="11"/>
  <c r="S94" i="11"/>
  <c r="S95" i="11"/>
  <c r="S96" i="11"/>
  <c r="T84" i="11"/>
  <c r="T85" i="11"/>
  <c r="T86" i="11"/>
  <c r="T87" i="11"/>
  <c r="T88" i="11"/>
  <c r="S97" i="11"/>
  <c r="S98" i="11"/>
  <c r="S99" i="11"/>
  <c r="AY48" i="12"/>
  <c r="T89" i="11"/>
  <c r="T90" i="11"/>
  <c r="T91" i="11"/>
  <c r="T92" i="11"/>
  <c r="T93" i="11"/>
  <c r="T94" i="11"/>
  <c r="T95" i="11"/>
  <c r="T96" i="11"/>
  <c r="U84" i="11"/>
  <c r="U85" i="11"/>
  <c r="U86" i="11"/>
  <c r="U87" i="11"/>
  <c r="U88" i="11"/>
  <c r="T97" i="11"/>
  <c r="T98" i="11"/>
  <c r="T99" i="11"/>
  <c r="AZ48" i="12"/>
  <c r="U89" i="11"/>
  <c r="U90" i="11"/>
  <c r="U91" i="11"/>
  <c r="U92" i="11"/>
  <c r="U93" i="11"/>
  <c r="U94" i="11"/>
  <c r="U95" i="11"/>
  <c r="U96" i="11"/>
  <c r="V84" i="11"/>
  <c r="V85" i="11"/>
  <c r="V86" i="11"/>
  <c r="V87" i="11"/>
  <c r="V88" i="11"/>
  <c r="U97" i="11"/>
  <c r="U98" i="11"/>
  <c r="U99" i="11"/>
  <c r="BA48" i="12"/>
  <c r="V89" i="11"/>
  <c r="V90" i="11"/>
  <c r="V91" i="11"/>
  <c r="V92" i="11"/>
  <c r="V93" i="11"/>
  <c r="V94" i="11"/>
  <c r="V95" i="11"/>
  <c r="V96" i="11"/>
  <c r="V97" i="11"/>
  <c r="V98" i="11"/>
  <c r="V99" i="11"/>
  <c r="BB48" i="12"/>
  <c r="K108" i="11"/>
  <c r="L108" i="11"/>
  <c r="L109" i="11"/>
  <c r="L110" i="11"/>
  <c r="L111" i="11"/>
  <c r="L112" i="11"/>
  <c r="L113" i="11"/>
  <c r="L114" i="11"/>
  <c r="L115" i="11"/>
  <c r="L117" i="11"/>
  <c r="L118" i="11"/>
  <c r="L119" i="11"/>
  <c r="L120" i="11"/>
  <c r="M108" i="11"/>
  <c r="M109" i="11"/>
  <c r="M110" i="11"/>
  <c r="M111" i="11"/>
  <c r="M112" i="11"/>
  <c r="L121" i="11"/>
  <c r="K122" i="11"/>
  <c r="L122" i="11"/>
  <c r="L123" i="11"/>
  <c r="AR49" i="12"/>
  <c r="M113" i="11"/>
  <c r="M114" i="11"/>
  <c r="M115" i="11"/>
  <c r="M116" i="11"/>
  <c r="M117" i="11"/>
  <c r="M118" i="11"/>
  <c r="M119" i="11"/>
  <c r="M120" i="11"/>
  <c r="N108" i="11"/>
  <c r="N109" i="11"/>
  <c r="N110" i="11"/>
  <c r="N111" i="11"/>
  <c r="N112" i="11"/>
  <c r="M121" i="11"/>
  <c r="M122" i="11"/>
  <c r="M123" i="11"/>
  <c r="AS49" i="12"/>
  <c r="N113" i="11"/>
  <c r="N114" i="11"/>
  <c r="N115" i="11"/>
  <c r="N116" i="11"/>
  <c r="N117" i="11"/>
  <c r="N118" i="11"/>
  <c r="N119" i="11"/>
  <c r="N120" i="11"/>
  <c r="O108" i="11"/>
  <c r="O109" i="11"/>
  <c r="O110" i="11"/>
  <c r="O111" i="11"/>
  <c r="O112" i="11"/>
  <c r="N121" i="11"/>
  <c r="N122" i="11"/>
  <c r="N123" i="11"/>
  <c r="AT49" i="12"/>
  <c r="O113" i="11"/>
  <c r="O114" i="11"/>
  <c r="O115" i="11"/>
  <c r="O116" i="11"/>
  <c r="O117" i="11"/>
  <c r="O118" i="11"/>
  <c r="O119" i="11"/>
  <c r="O120" i="11"/>
  <c r="P108" i="11"/>
  <c r="P109" i="11"/>
  <c r="P110" i="11"/>
  <c r="P111" i="11"/>
  <c r="P112" i="11"/>
  <c r="O121" i="11"/>
  <c r="O122" i="11"/>
  <c r="O123" i="11"/>
  <c r="AU49" i="12"/>
  <c r="P113" i="11"/>
  <c r="P114" i="11"/>
  <c r="P115" i="11"/>
  <c r="P116" i="11"/>
  <c r="P117" i="11"/>
  <c r="P118" i="11"/>
  <c r="P119" i="11"/>
  <c r="P120" i="11"/>
  <c r="Q108" i="11"/>
  <c r="Q109" i="11"/>
  <c r="Q110" i="11"/>
  <c r="Q111" i="11"/>
  <c r="Q112" i="11"/>
  <c r="P121" i="11"/>
  <c r="P122" i="11"/>
  <c r="P123" i="11"/>
  <c r="AV49" i="12"/>
  <c r="Q113" i="11"/>
  <c r="Q114" i="11"/>
  <c r="Q115" i="11"/>
  <c r="Q116" i="11"/>
  <c r="Q117" i="11"/>
  <c r="Q118" i="11"/>
  <c r="Q119" i="11"/>
  <c r="Q120" i="11"/>
  <c r="R108" i="11"/>
  <c r="R109" i="11"/>
  <c r="R110" i="11"/>
  <c r="R111" i="11"/>
  <c r="R112" i="11"/>
  <c r="Q121" i="11"/>
  <c r="Q122" i="11"/>
  <c r="Q123" i="11"/>
  <c r="AW49" i="12"/>
  <c r="R113" i="11"/>
  <c r="R114" i="11"/>
  <c r="R115" i="11"/>
  <c r="R116" i="11"/>
  <c r="R117" i="11"/>
  <c r="R118" i="11"/>
  <c r="R119" i="11"/>
  <c r="R120" i="11"/>
  <c r="S108" i="11"/>
  <c r="S109" i="11"/>
  <c r="S110" i="11"/>
  <c r="S111" i="11"/>
  <c r="S112" i="11"/>
  <c r="R121" i="11"/>
  <c r="R122" i="11"/>
  <c r="R123" i="11"/>
  <c r="AX49" i="12"/>
  <c r="S113" i="11"/>
  <c r="S114" i="11"/>
  <c r="S115" i="11"/>
  <c r="S116" i="11"/>
  <c r="S117" i="11"/>
  <c r="S118" i="11"/>
  <c r="S119" i="11"/>
  <c r="S120" i="11"/>
  <c r="T108" i="11"/>
  <c r="T109" i="11"/>
  <c r="T110" i="11"/>
  <c r="T111" i="11"/>
  <c r="T112" i="11"/>
  <c r="S121" i="11"/>
  <c r="S122" i="11"/>
  <c r="S123" i="11"/>
  <c r="AY49" i="12"/>
  <c r="T113" i="11"/>
  <c r="T114" i="11"/>
  <c r="T115" i="11"/>
  <c r="T116" i="11"/>
  <c r="T117" i="11"/>
  <c r="T118" i="11"/>
  <c r="T119" i="11"/>
  <c r="T120" i="11"/>
  <c r="U108" i="11"/>
  <c r="U109" i="11"/>
  <c r="U110" i="11"/>
  <c r="U111" i="11"/>
  <c r="U112" i="11"/>
  <c r="T121" i="11"/>
  <c r="T122" i="11"/>
  <c r="T123" i="11"/>
  <c r="AZ49" i="12"/>
  <c r="U113" i="11"/>
  <c r="U114" i="11"/>
  <c r="U115" i="11"/>
  <c r="U116" i="11"/>
  <c r="U117" i="11"/>
  <c r="U118" i="11"/>
  <c r="U119" i="11"/>
  <c r="U120" i="11"/>
  <c r="V108" i="11"/>
  <c r="V109" i="11"/>
  <c r="V110" i="11"/>
  <c r="V111" i="11"/>
  <c r="V112" i="11"/>
  <c r="U121" i="11"/>
  <c r="U122" i="11"/>
  <c r="U123" i="11"/>
  <c r="BA49" i="12"/>
  <c r="V113" i="11"/>
  <c r="V114" i="11"/>
  <c r="V115" i="11"/>
  <c r="V116" i="11"/>
  <c r="V117" i="11"/>
  <c r="V118" i="11"/>
  <c r="V119" i="11"/>
  <c r="V120" i="11"/>
  <c r="V121" i="11"/>
  <c r="V122" i="11"/>
  <c r="V123" i="11"/>
  <c r="BB49" i="12"/>
  <c r="K132" i="11"/>
  <c r="L132" i="11"/>
  <c r="L133" i="11"/>
  <c r="L134" i="11"/>
  <c r="L135" i="11"/>
  <c r="L136" i="11"/>
  <c r="L137" i="11"/>
  <c r="L138" i="11"/>
  <c r="L139" i="11"/>
  <c r="L141" i="11"/>
  <c r="L142" i="11"/>
  <c r="L143" i="11"/>
  <c r="L144" i="11"/>
  <c r="M132" i="11"/>
  <c r="M133" i="11"/>
  <c r="M134" i="11"/>
  <c r="M135" i="11"/>
  <c r="M136" i="11"/>
  <c r="L145" i="11"/>
  <c r="K146" i="11"/>
  <c r="L146" i="11"/>
  <c r="L147" i="11"/>
  <c r="AR50" i="12"/>
  <c r="M137" i="11"/>
  <c r="M138" i="11"/>
  <c r="M139" i="11"/>
  <c r="M140" i="11"/>
  <c r="M141" i="11"/>
  <c r="M142" i="11"/>
  <c r="M143" i="11"/>
  <c r="M144" i="11"/>
  <c r="N132" i="11"/>
  <c r="N133" i="11"/>
  <c r="N134" i="11"/>
  <c r="N135" i="11"/>
  <c r="N136" i="11"/>
  <c r="M145" i="11"/>
  <c r="M146" i="11"/>
  <c r="M147" i="11"/>
  <c r="AS50" i="12"/>
  <c r="N137" i="11"/>
  <c r="N138" i="11"/>
  <c r="N139" i="11"/>
  <c r="N140" i="11"/>
  <c r="N141" i="11"/>
  <c r="N142" i="11"/>
  <c r="N143" i="11"/>
  <c r="N144" i="11"/>
  <c r="O132" i="11"/>
  <c r="O133" i="11"/>
  <c r="O134" i="11"/>
  <c r="O135" i="11"/>
  <c r="O136" i="11"/>
  <c r="N145" i="11"/>
  <c r="N146" i="11"/>
  <c r="N147" i="11"/>
  <c r="AT50" i="12"/>
  <c r="O137" i="11"/>
  <c r="O138" i="11"/>
  <c r="O139" i="11"/>
  <c r="O140" i="11"/>
  <c r="O141" i="11"/>
  <c r="O142" i="11"/>
  <c r="O143" i="11"/>
  <c r="O144" i="11"/>
  <c r="P132" i="11"/>
  <c r="P133" i="11"/>
  <c r="P134" i="11"/>
  <c r="P135" i="11"/>
  <c r="P136" i="11"/>
  <c r="O145" i="11"/>
  <c r="O146" i="11"/>
  <c r="O147" i="11"/>
  <c r="AU50" i="12"/>
  <c r="P137" i="11"/>
  <c r="P138" i="11"/>
  <c r="P139" i="11"/>
  <c r="P140" i="11"/>
  <c r="P141" i="11"/>
  <c r="P142" i="11"/>
  <c r="P143" i="11"/>
  <c r="P144" i="11"/>
  <c r="Q132" i="11"/>
  <c r="Q133" i="11"/>
  <c r="Q134" i="11"/>
  <c r="Q135" i="11"/>
  <c r="Q136" i="11"/>
  <c r="P145" i="11"/>
  <c r="P146" i="11"/>
  <c r="P147" i="11"/>
  <c r="AV50" i="12"/>
  <c r="Q137" i="11"/>
  <c r="Q138" i="11"/>
  <c r="Q139" i="11"/>
  <c r="Q140" i="11"/>
  <c r="Q141" i="11"/>
  <c r="Q142" i="11"/>
  <c r="Q143" i="11"/>
  <c r="Q144" i="11"/>
  <c r="R132" i="11"/>
  <c r="R133" i="11"/>
  <c r="R134" i="11"/>
  <c r="R135" i="11"/>
  <c r="R136" i="11"/>
  <c r="Q145" i="11"/>
  <c r="Q146" i="11"/>
  <c r="Q147" i="11"/>
  <c r="AW50" i="12"/>
  <c r="R137" i="11"/>
  <c r="R138" i="11"/>
  <c r="R139" i="11"/>
  <c r="R140" i="11"/>
  <c r="R141" i="11"/>
  <c r="R142" i="11"/>
  <c r="R143" i="11"/>
  <c r="R144" i="11"/>
  <c r="S132" i="11"/>
  <c r="S133" i="11"/>
  <c r="S134" i="11"/>
  <c r="S135" i="11"/>
  <c r="S136" i="11"/>
  <c r="R145" i="11"/>
  <c r="R146" i="11"/>
  <c r="R147" i="11"/>
  <c r="AX50" i="12"/>
  <c r="S137" i="11"/>
  <c r="S138" i="11"/>
  <c r="S139" i="11"/>
  <c r="S140" i="11"/>
  <c r="S141" i="11"/>
  <c r="S142" i="11"/>
  <c r="S143" i="11"/>
  <c r="S144" i="11"/>
  <c r="T132" i="11"/>
  <c r="T133" i="11"/>
  <c r="T134" i="11"/>
  <c r="T135" i="11"/>
  <c r="T136" i="11"/>
  <c r="S145" i="11"/>
  <c r="S146" i="11"/>
  <c r="S147" i="11"/>
  <c r="AY50" i="12"/>
  <c r="T137" i="11"/>
  <c r="T138" i="11"/>
  <c r="T139" i="11"/>
  <c r="T140" i="11"/>
  <c r="T141" i="11"/>
  <c r="T142" i="11"/>
  <c r="T143" i="11"/>
  <c r="T144" i="11"/>
  <c r="U132" i="11"/>
  <c r="U133" i="11"/>
  <c r="U134" i="11"/>
  <c r="U135" i="11"/>
  <c r="U136" i="11"/>
  <c r="T145" i="11"/>
  <c r="T146" i="11"/>
  <c r="T147" i="11"/>
  <c r="AZ50" i="12"/>
  <c r="U137" i="11"/>
  <c r="U138" i="11"/>
  <c r="U139" i="11"/>
  <c r="U140" i="11"/>
  <c r="U141" i="11"/>
  <c r="U142" i="11"/>
  <c r="U143" i="11"/>
  <c r="U144" i="11"/>
  <c r="V132" i="11"/>
  <c r="V133" i="11"/>
  <c r="V134" i="11"/>
  <c r="V135" i="11"/>
  <c r="V136" i="11"/>
  <c r="U145" i="11"/>
  <c r="U146" i="11"/>
  <c r="U147" i="11"/>
  <c r="BA50" i="12"/>
  <c r="V137" i="11"/>
  <c r="V138" i="11"/>
  <c r="V139" i="11"/>
  <c r="V140" i="11"/>
  <c r="V141" i="11"/>
  <c r="V142" i="11"/>
  <c r="V143" i="11"/>
  <c r="V144" i="11"/>
  <c r="V145" i="11"/>
  <c r="V146" i="11"/>
  <c r="V147" i="11"/>
  <c r="BB50" i="12"/>
  <c r="K156" i="11"/>
  <c r="L156" i="11"/>
  <c r="L157" i="11"/>
  <c r="L158" i="11"/>
  <c r="L159" i="11"/>
  <c r="L160" i="11"/>
  <c r="L161" i="11"/>
  <c r="L162" i="11"/>
  <c r="L163" i="11"/>
  <c r="L165" i="11"/>
  <c r="L166" i="11"/>
  <c r="L167" i="11"/>
  <c r="L168" i="11"/>
  <c r="M156" i="11"/>
  <c r="M157" i="11"/>
  <c r="M158" i="11"/>
  <c r="M159" i="11"/>
  <c r="M160" i="11"/>
  <c r="L169" i="11"/>
  <c r="K170" i="11"/>
  <c r="L170" i="11"/>
  <c r="L171" i="11"/>
  <c r="AR51" i="12"/>
  <c r="M161" i="11"/>
  <c r="M162" i="11"/>
  <c r="M163" i="11"/>
  <c r="M164" i="11"/>
  <c r="M165" i="11"/>
  <c r="M166" i="11"/>
  <c r="M167" i="11"/>
  <c r="M168" i="11"/>
  <c r="N156" i="11"/>
  <c r="N157" i="11"/>
  <c r="N158" i="11"/>
  <c r="N159" i="11"/>
  <c r="N160" i="11"/>
  <c r="M169" i="11"/>
  <c r="M170" i="11"/>
  <c r="M171" i="11"/>
  <c r="AS51" i="12"/>
  <c r="N161" i="11"/>
  <c r="N162" i="11"/>
  <c r="N163" i="11"/>
  <c r="N164" i="11"/>
  <c r="N165" i="11"/>
  <c r="N166" i="11"/>
  <c r="N167" i="11"/>
  <c r="N168" i="11"/>
  <c r="O156" i="11"/>
  <c r="O157" i="11"/>
  <c r="O158" i="11"/>
  <c r="O159" i="11"/>
  <c r="O160" i="11"/>
  <c r="N169" i="11"/>
  <c r="N170" i="11"/>
  <c r="N171" i="11"/>
  <c r="AT51" i="12"/>
  <c r="O161" i="11"/>
  <c r="O162" i="11"/>
  <c r="O163" i="11"/>
  <c r="O164" i="11"/>
  <c r="O165" i="11"/>
  <c r="O166" i="11"/>
  <c r="O167" i="11"/>
  <c r="O168" i="11"/>
  <c r="P156" i="11"/>
  <c r="P157" i="11"/>
  <c r="P158" i="11"/>
  <c r="P159" i="11"/>
  <c r="P160" i="11"/>
  <c r="O169" i="11"/>
  <c r="O170" i="11"/>
  <c r="O171" i="11"/>
  <c r="AU51" i="12"/>
  <c r="P161" i="11"/>
  <c r="P162" i="11"/>
  <c r="P163" i="11"/>
  <c r="P164" i="11"/>
  <c r="P165" i="11"/>
  <c r="P166" i="11"/>
  <c r="P167" i="11"/>
  <c r="P168" i="11"/>
  <c r="Q156" i="11"/>
  <c r="Q157" i="11"/>
  <c r="Q158" i="11"/>
  <c r="Q159" i="11"/>
  <c r="Q160" i="11"/>
  <c r="P169" i="11"/>
  <c r="P170" i="11"/>
  <c r="P171" i="11"/>
  <c r="AV51" i="12"/>
  <c r="Q161" i="11"/>
  <c r="Q162" i="11"/>
  <c r="Q163" i="11"/>
  <c r="Q164" i="11"/>
  <c r="Q165" i="11"/>
  <c r="Q166" i="11"/>
  <c r="Q167" i="11"/>
  <c r="Q168" i="11"/>
  <c r="R156" i="11"/>
  <c r="R157" i="11"/>
  <c r="R158" i="11"/>
  <c r="R159" i="11"/>
  <c r="R160" i="11"/>
  <c r="Q169" i="11"/>
  <c r="Q170" i="11"/>
  <c r="Q171" i="11"/>
  <c r="AW51" i="12"/>
  <c r="R161" i="11"/>
  <c r="R162" i="11"/>
  <c r="R163" i="11"/>
  <c r="R164" i="11"/>
  <c r="R165" i="11"/>
  <c r="R166" i="11"/>
  <c r="R167" i="11"/>
  <c r="R168" i="11"/>
  <c r="S156" i="11"/>
  <c r="S157" i="11"/>
  <c r="S158" i="11"/>
  <c r="S159" i="11"/>
  <c r="S160" i="11"/>
  <c r="R169" i="11"/>
  <c r="R170" i="11"/>
  <c r="R171" i="11"/>
  <c r="AX51" i="12"/>
  <c r="S161" i="11"/>
  <c r="S162" i="11"/>
  <c r="S163" i="11"/>
  <c r="S164" i="11"/>
  <c r="S165" i="11"/>
  <c r="S166" i="11"/>
  <c r="S167" i="11"/>
  <c r="S168" i="11"/>
  <c r="T156" i="11"/>
  <c r="T157" i="11"/>
  <c r="T158" i="11"/>
  <c r="T159" i="11"/>
  <c r="T160" i="11"/>
  <c r="S169" i="11"/>
  <c r="S170" i="11"/>
  <c r="S171" i="11"/>
  <c r="AY51" i="12"/>
  <c r="T161" i="11"/>
  <c r="T162" i="11"/>
  <c r="T163" i="11"/>
  <c r="T164" i="11"/>
  <c r="T165" i="11"/>
  <c r="T166" i="11"/>
  <c r="T167" i="11"/>
  <c r="T168" i="11"/>
  <c r="U156" i="11"/>
  <c r="U157" i="11"/>
  <c r="U158" i="11"/>
  <c r="U159" i="11"/>
  <c r="U160" i="11"/>
  <c r="T169" i="11"/>
  <c r="T170" i="11"/>
  <c r="T171" i="11"/>
  <c r="AZ51" i="12"/>
  <c r="U161" i="11"/>
  <c r="U162" i="11"/>
  <c r="U163" i="11"/>
  <c r="U164" i="11"/>
  <c r="U165" i="11"/>
  <c r="U166" i="11"/>
  <c r="U167" i="11"/>
  <c r="U168" i="11"/>
  <c r="V156" i="11"/>
  <c r="V157" i="11"/>
  <c r="V158" i="11"/>
  <c r="V159" i="11"/>
  <c r="V160" i="11"/>
  <c r="U169" i="11"/>
  <c r="U170" i="11"/>
  <c r="U171" i="11"/>
  <c r="BA51" i="12"/>
  <c r="V161" i="11"/>
  <c r="V162" i="11"/>
  <c r="V163" i="11"/>
  <c r="V164" i="11"/>
  <c r="V165" i="11"/>
  <c r="V166" i="11"/>
  <c r="V167" i="11"/>
  <c r="V168" i="11"/>
  <c r="V169" i="11"/>
  <c r="V170" i="11"/>
  <c r="V171" i="11"/>
  <c r="BB51" i="12"/>
  <c r="K180" i="11"/>
  <c r="L180" i="11"/>
  <c r="L181" i="11"/>
  <c r="L182" i="11"/>
  <c r="L183" i="11"/>
  <c r="L184" i="11"/>
  <c r="L185" i="11"/>
  <c r="L186" i="11"/>
  <c r="L187" i="11"/>
  <c r="L189" i="11"/>
  <c r="L190" i="11"/>
  <c r="L191" i="11"/>
  <c r="L192" i="11"/>
  <c r="M180" i="11"/>
  <c r="M181" i="11"/>
  <c r="M182" i="11"/>
  <c r="M183" i="11"/>
  <c r="M184" i="11"/>
  <c r="L193" i="11"/>
  <c r="K194" i="11"/>
  <c r="L194" i="11"/>
  <c r="L195" i="11"/>
  <c r="AR52" i="12"/>
  <c r="M185" i="11"/>
  <c r="M186" i="11"/>
  <c r="M187" i="11"/>
  <c r="M188" i="11"/>
  <c r="M189" i="11"/>
  <c r="M190" i="11"/>
  <c r="M191" i="11"/>
  <c r="M192" i="11"/>
  <c r="N180" i="11"/>
  <c r="N181" i="11"/>
  <c r="N182" i="11"/>
  <c r="N183" i="11"/>
  <c r="N184" i="11"/>
  <c r="M193" i="11"/>
  <c r="M194" i="11"/>
  <c r="M195" i="11"/>
  <c r="AS52" i="12"/>
  <c r="N185" i="11"/>
  <c r="N186" i="11"/>
  <c r="N187" i="11"/>
  <c r="N188" i="11"/>
  <c r="N189" i="11"/>
  <c r="N190" i="11"/>
  <c r="N191" i="11"/>
  <c r="N192" i="11"/>
  <c r="O180" i="11"/>
  <c r="O181" i="11"/>
  <c r="O182" i="11"/>
  <c r="O183" i="11"/>
  <c r="O184" i="11"/>
  <c r="N193" i="11"/>
  <c r="N194" i="11"/>
  <c r="N195" i="11"/>
  <c r="AT52" i="12"/>
  <c r="O185" i="11"/>
  <c r="O186" i="11"/>
  <c r="O187" i="11"/>
  <c r="O188" i="11"/>
  <c r="O189" i="11"/>
  <c r="O190" i="11"/>
  <c r="O191" i="11"/>
  <c r="O192" i="11"/>
  <c r="P180" i="11"/>
  <c r="P181" i="11"/>
  <c r="P182" i="11"/>
  <c r="P183" i="11"/>
  <c r="P184" i="11"/>
  <c r="O193" i="11"/>
  <c r="O194" i="11"/>
  <c r="O195" i="11"/>
  <c r="AU52" i="12"/>
  <c r="P185" i="11"/>
  <c r="P186" i="11"/>
  <c r="P187" i="11"/>
  <c r="P188" i="11"/>
  <c r="P189" i="11"/>
  <c r="P190" i="11"/>
  <c r="P191" i="11"/>
  <c r="P192" i="11"/>
  <c r="Q180" i="11"/>
  <c r="Q181" i="11"/>
  <c r="Q182" i="11"/>
  <c r="Q183" i="11"/>
  <c r="Q184" i="11"/>
  <c r="P193" i="11"/>
  <c r="P194" i="11"/>
  <c r="P195" i="11"/>
  <c r="AV52" i="12"/>
  <c r="Q185" i="11"/>
  <c r="Q186" i="11"/>
  <c r="Q187" i="11"/>
  <c r="Q188" i="11"/>
  <c r="Q189" i="11"/>
  <c r="Q190" i="11"/>
  <c r="Q191" i="11"/>
  <c r="Q192" i="11"/>
  <c r="R180" i="11"/>
  <c r="R181" i="11"/>
  <c r="R182" i="11"/>
  <c r="R183" i="11"/>
  <c r="R184" i="11"/>
  <c r="Q193" i="11"/>
  <c r="Q194" i="11"/>
  <c r="Q195" i="11"/>
  <c r="AW52" i="12"/>
  <c r="R185" i="11"/>
  <c r="R186" i="11"/>
  <c r="R187" i="11"/>
  <c r="R188" i="11"/>
  <c r="R189" i="11"/>
  <c r="R190" i="11"/>
  <c r="R191" i="11"/>
  <c r="R192" i="11"/>
  <c r="S180" i="11"/>
  <c r="S181" i="11"/>
  <c r="S182" i="11"/>
  <c r="S183" i="11"/>
  <c r="S184" i="11"/>
  <c r="R193" i="11"/>
  <c r="R194" i="11"/>
  <c r="R195" i="11"/>
  <c r="AX52" i="12"/>
  <c r="S185" i="11"/>
  <c r="S186" i="11"/>
  <c r="S187" i="11"/>
  <c r="S188" i="11"/>
  <c r="S189" i="11"/>
  <c r="S190" i="11"/>
  <c r="S191" i="11"/>
  <c r="S192" i="11"/>
  <c r="T180" i="11"/>
  <c r="T181" i="11"/>
  <c r="T182" i="11"/>
  <c r="T183" i="11"/>
  <c r="T184" i="11"/>
  <c r="S193" i="11"/>
  <c r="S194" i="11"/>
  <c r="S195" i="11"/>
  <c r="AY52" i="12"/>
  <c r="T185" i="11"/>
  <c r="T186" i="11"/>
  <c r="T187" i="11"/>
  <c r="T188" i="11"/>
  <c r="T189" i="11"/>
  <c r="T190" i="11"/>
  <c r="T191" i="11"/>
  <c r="T192" i="11"/>
  <c r="U180" i="11"/>
  <c r="U181" i="11"/>
  <c r="U182" i="11"/>
  <c r="U183" i="11"/>
  <c r="U184" i="11"/>
  <c r="T193" i="11"/>
  <c r="T194" i="11"/>
  <c r="T195" i="11"/>
  <c r="AZ52" i="12"/>
  <c r="U185" i="11"/>
  <c r="U186" i="11"/>
  <c r="U187" i="11"/>
  <c r="U188" i="11"/>
  <c r="U189" i="11"/>
  <c r="U190" i="11"/>
  <c r="U191" i="11"/>
  <c r="U192" i="11"/>
  <c r="V180" i="11"/>
  <c r="V181" i="11"/>
  <c r="V182" i="11"/>
  <c r="V183" i="11"/>
  <c r="V184" i="11"/>
  <c r="U193" i="11"/>
  <c r="U194" i="11"/>
  <c r="U195" i="11"/>
  <c r="BA52" i="12"/>
  <c r="V185" i="11"/>
  <c r="V186" i="11"/>
  <c r="V187" i="11"/>
  <c r="V188" i="11"/>
  <c r="V189" i="11"/>
  <c r="V190" i="11"/>
  <c r="V191" i="11"/>
  <c r="V192" i="11"/>
  <c r="V193" i="11"/>
  <c r="V194" i="11"/>
  <c r="V195" i="11"/>
  <c r="BB52" i="12"/>
  <c r="K204" i="11"/>
  <c r="L204" i="11"/>
  <c r="L205" i="11"/>
  <c r="L206" i="11"/>
  <c r="L207" i="11"/>
  <c r="L208" i="11"/>
  <c r="L209" i="11"/>
  <c r="L210" i="11"/>
  <c r="L211" i="11"/>
  <c r="L213" i="11"/>
  <c r="L214" i="11"/>
  <c r="L215" i="11"/>
  <c r="L216" i="11"/>
  <c r="M204" i="11"/>
  <c r="M205" i="11"/>
  <c r="M206" i="11"/>
  <c r="M207" i="11"/>
  <c r="M208" i="11"/>
  <c r="L217" i="11"/>
  <c r="K218" i="11"/>
  <c r="L218" i="11"/>
  <c r="L219" i="11"/>
  <c r="AR53" i="12"/>
  <c r="M209" i="11"/>
  <c r="M210" i="11"/>
  <c r="M211" i="11"/>
  <c r="M212" i="11"/>
  <c r="M213" i="11"/>
  <c r="M214" i="11"/>
  <c r="M215" i="11"/>
  <c r="M216" i="11"/>
  <c r="N204" i="11"/>
  <c r="N205" i="11"/>
  <c r="N206" i="11"/>
  <c r="N207" i="11"/>
  <c r="N208" i="11"/>
  <c r="M217" i="11"/>
  <c r="M218" i="11"/>
  <c r="M219" i="11"/>
  <c r="AS53" i="12"/>
  <c r="N209" i="11"/>
  <c r="N210" i="11"/>
  <c r="N211" i="11"/>
  <c r="N212" i="11"/>
  <c r="N213" i="11"/>
  <c r="N214" i="11"/>
  <c r="N215" i="11"/>
  <c r="N216" i="11"/>
  <c r="O204" i="11"/>
  <c r="O205" i="11"/>
  <c r="O206" i="11"/>
  <c r="O207" i="11"/>
  <c r="O208" i="11"/>
  <c r="N217" i="11"/>
  <c r="N218" i="11"/>
  <c r="N219" i="11"/>
  <c r="AT53" i="12"/>
  <c r="O209" i="11"/>
  <c r="O210" i="11"/>
  <c r="O211" i="11"/>
  <c r="O212" i="11"/>
  <c r="O213" i="11"/>
  <c r="O214" i="11"/>
  <c r="O215" i="11"/>
  <c r="O216" i="11"/>
  <c r="P204" i="11"/>
  <c r="P205" i="11"/>
  <c r="P206" i="11"/>
  <c r="P207" i="11"/>
  <c r="P208" i="11"/>
  <c r="O217" i="11"/>
  <c r="O218" i="11"/>
  <c r="O219" i="11"/>
  <c r="AU53" i="12"/>
  <c r="P209" i="11"/>
  <c r="P210" i="11"/>
  <c r="P211" i="11"/>
  <c r="P212" i="11"/>
  <c r="P213" i="11"/>
  <c r="P214" i="11"/>
  <c r="P215" i="11"/>
  <c r="P216" i="11"/>
  <c r="Q204" i="11"/>
  <c r="Q205" i="11"/>
  <c r="Q206" i="11"/>
  <c r="Q207" i="11"/>
  <c r="Q208" i="11"/>
  <c r="P217" i="11"/>
  <c r="P218" i="11"/>
  <c r="P219" i="11"/>
  <c r="AV53" i="12"/>
  <c r="Q209" i="11"/>
  <c r="Q210" i="11"/>
  <c r="Q211" i="11"/>
  <c r="Q212" i="11"/>
  <c r="Q213" i="11"/>
  <c r="Q214" i="11"/>
  <c r="Q215" i="11"/>
  <c r="Q216" i="11"/>
  <c r="R204" i="11"/>
  <c r="R205" i="11"/>
  <c r="R206" i="11"/>
  <c r="R207" i="11"/>
  <c r="R208" i="11"/>
  <c r="Q217" i="11"/>
  <c r="Q218" i="11"/>
  <c r="Q219" i="11"/>
  <c r="AW53" i="12"/>
  <c r="R209" i="11"/>
  <c r="R210" i="11"/>
  <c r="R211" i="11"/>
  <c r="R212" i="11"/>
  <c r="R213" i="11"/>
  <c r="R214" i="11"/>
  <c r="R215" i="11"/>
  <c r="R216" i="11"/>
  <c r="S204" i="11"/>
  <c r="S205" i="11"/>
  <c r="S206" i="11"/>
  <c r="S207" i="11"/>
  <c r="S208" i="11"/>
  <c r="R217" i="11"/>
  <c r="R218" i="11"/>
  <c r="R219" i="11"/>
  <c r="AX53" i="12"/>
  <c r="S209" i="11"/>
  <c r="S210" i="11"/>
  <c r="S211" i="11"/>
  <c r="S212" i="11"/>
  <c r="S213" i="11"/>
  <c r="S214" i="11"/>
  <c r="S215" i="11"/>
  <c r="S216" i="11"/>
  <c r="T204" i="11"/>
  <c r="T205" i="11"/>
  <c r="T206" i="11"/>
  <c r="T207" i="11"/>
  <c r="T208" i="11"/>
  <c r="S217" i="11"/>
  <c r="S218" i="11"/>
  <c r="S219" i="11"/>
  <c r="AY53" i="12"/>
  <c r="T209" i="11"/>
  <c r="T210" i="11"/>
  <c r="T211" i="11"/>
  <c r="T212" i="11"/>
  <c r="T213" i="11"/>
  <c r="T214" i="11"/>
  <c r="T215" i="11"/>
  <c r="T216" i="11"/>
  <c r="U204" i="11"/>
  <c r="U205" i="11"/>
  <c r="U206" i="11"/>
  <c r="U207" i="11"/>
  <c r="U208" i="11"/>
  <c r="T217" i="11"/>
  <c r="T218" i="11"/>
  <c r="T219" i="11"/>
  <c r="AZ53" i="12"/>
  <c r="U209" i="11"/>
  <c r="U210" i="11"/>
  <c r="U211" i="11"/>
  <c r="U212" i="11"/>
  <c r="U213" i="11"/>
  <c r="U214" i="11"/>
  <c r="U215" i="11"/>
  <c r="U216" i="11"/>
  <c r="V204" i="11"/>
  <c r="V205" i="11"/>
  <c r="V206" i="11"/>
  <c r="V207" i="11"/>
  <c r="V208" i="11"/>
  <c r="U217" i="11"/>
  <c r="U218" i="11"/>
  <c r="U219" i="11"/>
  <c r="BA53" i="12"/>
  <c r="V209" i="11"/>
  <c r="V210" i="11"/>
  <c r="V211" i="11"/>
  <c r="V212" i="11"/>
  <c r="V213" i="11"/>
  <c r="V214" i="11"/>
  <c r="V215" i="11"/>
  <c r="V216" i="11"/>
  <c r="V217" i="11"/>
  <c r="V218" i="11"/>
  <c r="V219" i="11"/>
  <c r="BB53" i="12"/>
  <c r="K228" i="11"/>
  <c r="L228" i="11"/>
  <c r="L229" i="11"/>
  <c r="L230" i="11"/>
  <c r="L231" i="11"/>
  <c r="L232" i="11"/>
  <c r="L233" i="11"/>
  <c r="L234" i="11"/>
  <c r="L235" i="11"/>
  <c r="L237" i="11"/>
  <c r="L238" i="11"/>
  <c r="L239" i="11"/>
  <c r="L240" i="11"/>
  <c r="M228" i="11"/>
  <c r="M229" i="11"/>
  <c r="M230" i="11"/>
  <c r="M231" i="11"/>
  <c r="M232" i="11"/>
  <c r="L241" i="11"/>
  <c r="K242" i="11"/>
  <c r="L242" i="11"/>
  <c r="L243" i="11"/>
  <c r="AR54" i="12"/>
  <c r="M233" i="11"/>
  <c r="M234" i="11"/>
  <c r="M235" i="11"/>
  <c r="M236" i="11"/>
  <c r="M237" i="11"/>
  <c r="M238" i="11"/>
  <c r="M239" i="11"/>
  <c r="M240" i="11"/>
  <c r="N228" i="11"/>
  <c r="N229" i="11"/>
  <c r="N230" i="11"/>
  <c r="N231" i="11"/>
  <c r="N232" i="11"/>
  <c r="M241" i="11"/>
  <c r="M242" i="11"/>
  <c r="M243" i="11"/>
  <c r="AS54" i="12"/>
  <c r="N233" i="11"/>
  <c r="N234" i="11"/>
  <c r="N235" i="11"/>
  <c r="N236" i="11"/>
  <c r="N237" i="11"/>
  <c r="N238" i="11"/>
  <c r="N239" i="11"/>
  <c r="N240" i="11"/>
  <c r="O228" i="11"/>
  <c r="O229" i="11"/>
  <c r="O230" i="11"/>
  <c r="O231" i="11"/>
  <c r="O232" i="11"/>
  <c r="N241" i="11"/>
  <c r="N242" i="11"/>
  <c r="N243" i="11"/>
  <c r="AT54" i="12"/>
  <c r="O233" i="11"/>
  <c r="O234" i="11"/>
  <c r="O235" i="11"/>
  <c r="O236" i="11"/>
  <c r="O237" i="11"/>
  <c r="O238" i="11"/>
  <c r="O239" i="11"/>
  <c r="O240" i="11"/>
  <c r="P228" i="11"/>
  <c r="P229" i="11"/>
  <c r="P230" i="11"/>
  <c r="P231" i="11"/>
  <c r="P232" i="11"/>
  <c r="O241" i="11"/>
  <c r="O242" i="11"/>
  <c r="O243" i="11"/>
  <c r="AU54" i="12"/>
  <c r="P233" i="11"/>
  <c r="P234" i="11"/>
  <c r="P235" i="11"/>
  <c r="P236" i="11"/>
  <c r="P237" i="11"/>
  <c r="P238" i="11"/>
  <c r="P239" i="11"/>
  <c r="P240" i="11"/>
  <c r="Q228" i="11"/>
  <c r="Q229" i="11"/>
  <c r="Q230" i="11"/>
  <c r="Q231" i="11"/>
  <c r="Q232" i="11"/>
  <c r="P241" i="11"/>
  <c r="P242" i="11"/>
  <c r="P243" i="11"/>
  <c r="AV54" i="12"/>
  <c r="Q233" i="11"/>
  <c r="Q234" i="11"/>
  <c r="Q235" i="11"/>
  <c r="Q236" i="11"/>
  <c r="Q237" i="11"/>
  <c r="Q238" i="11"/>
  <c r="Q239" i="11"/>
  <c r="Q240" i="11"/>
  <c r="R228" i="11"/>
  <c r="R229" i="11"/>
  <c r="R230" i="11"/>
  <c r="R231" i="11"/>
  <c r="R232" i="11"/>
  <c r="Q241" i="11"/>
  <c r="Q242" i="11"/>
  <c r="Q243" i="11"/>
  <c r="AW54" i="12"/>
  <c r="R233" i="11"/>
  <c r="R234" i="11"/>
  <c r="R235" i="11"/>
  <c r="R236" i="11"/>
  <c r="R237" i="11"/>
  <c r="R238" i="11"/>
  <c r="R239" i="11"/>
  <c r="R240" i="11"/>
  <c r="S228" i="11"/>
  <c r="S229" i="11"/>
  <c r="S230" i="11"/>
  <c r="S231" i="11"/>
  <c r="S232" i="11"/>
  <c r="R241" i="11"/>
  <c r="R242" i="11"/>
  <c r="R243" i="11"/>
  <c r="AX54" i="12"/>
  <c r="S233" i="11"/>
  <c r="S234" i="11"/>
  <c r="S235" i="11"/>
  <c r="S236" i="11"/>
  <c r="S237" i="11"/>
  <c r="S238" i="11"/>
  <c r="S239" i="11"/>
  <c r="S240" i="11"/>
  <c r="T228" i="11"/>
  <c r="T229" i="11"/>
  <c r="T230" i="11"/>
  <c r="T231" i="11"/>
  <c r="T232" i="11"/>
  <c r="S241" i="11"/>
  <c r="S242" i="11"/>
  <c r="S243" i="11"/>
  <c r="AY54" i="12"/>
  <c r="T233" i="11"/>
  <c r="T234" i="11"/>
  <c r="T235" i="11"/>
  <c r="T236" i="11"/>
  <c r="T237" i="11"/>
  <c r="T238" i="11"/>
  <c r="T239" i="11"/>
  <c r="T240" i="11"/>
  <c r="U228" i="11"/>
  <c r="U229" i="11"/>
  <c r="U230" i="11"/>
  <c r="U231" i="11"/>
  <c r="U232" i="11"/>
  <c r="T241" i="11"/>
  <c r="T242" i="11"/>
  <c r="T243" i="11"/>
  <c r="AZ54" i="12"/>
  <c r="U233" i="11"/>
  <c r="U234" i="11"/>
  <c r="U235" i="11"/>
  <c r="U236" i="11"/>
  <c r="U237" i="11"/>
  <c r="U238" i="11"/>
  <c r="U239" i="11"/>
  <c r="U240" i="11"/>
  <c r="V228" i="11"/>
  <c r="V229" i="11"/>
  <c r="V230" i="11"/>
  <c r="V231" i="11"/>
  <c r="V232" i="11"/>
  <c r="U241" i="11"/>
  <c r="U242" i="11"/>
  <c r="U243" i="11"/>
  <c r="BA54" i="12"/>
  <c r="V233" i="11"/>
  <c r="V234" i="11"/>
  <c r="V235" i="11"/>
  <c r="V236" i="11"/>
  <c r="V237" i="11"/>
  <c r="V238" i="11"/>
  <c r="V239" i="11"/>
  <c r="V240" i="11"/>
  <c r="V241" i="11"/>
  <c r="V242" i="11"/>
  <c r="V243" i="11"/>
  <c r="BB54" i="12"/>
  <c r="K252" i="11"/>
  <c r="L252" i="11"/>
  <c r="L253" i="11"/>
  <c r="L254" i="11"/>
  <c r="L255" i="11"/>
  <c r="L256" i="11"/>
  <c r="L257" i="11"/>
  <c r="L258" i="11"/>
  <c r="L259" i="11"/>
  <c r="L261" i="11"/>
  <c r="L262" i="11"/>
  <c r="L263" i="11"/>
  <c r="L264" i="11"/>
  <c r="M252" i="11"/>
  <c r="M253" i="11"/>
  <c r="M254" i="11"/>
  <c r="M255" i="11"/>
  <c r="M256" i="11"/>
  <c r="L265" i="11"/>
  <c r="K266" i="11"/>
  <c r="L266" i="11"/>
  <c r="L267" i="11"/>
  <c r="AR55" i="12"/>
  <c r="M257" i="11"/>
  <c r="M258" i="11"/>
  <c r="M259" i="11"/>
  <c r="M260" i="11"/>
  <c r="M261" i="11"/>
  <c r="M262" i="11"/>
  <c r="M263" i="11"/>
  <c r="M264" i="11"/>
  <c r="N252" i="11"/>
  <c r="N253" i="11"/>
  <c r="N254" i="11"/>
  <c r="N255" i="11"/>
  <c r="N256" i="11"/>
  <c r="M265" i="11"/>
  <c r="M266" i="11"/>
  <c r="M267" i="11"/>
  <c r="AS55" i="12"/>
  <c r="N257" i="11"/>
  <c r="N258" i="11"/>
  <c r="N259" i="11"/>
  <c r="N260" i="11"/>
  <c r="N261" i="11"/>
  <c r="N262" i="11"/>
  <c r="N263" i="11"/>
  <c r="N264" i="11"/>
  <c r="O252" i="11"/>
  <c r="O253" i="11"/>
  <c r="O254" i="11"/>
  <c r="O255" i="11"/>
  <c r="O256" i="11"/>
  <c r="N265" i="11"/>
  <c r="N266" i="11"/>
  <c r="N267" i="11"/>
  <c r="AT55" i="12"/>
  <c r="O257" i="11"/>
  <c r="O258" i="11"/>
  <c r="O259" i="11"/>
  <c r="O260" i="11"/>
  <c r="O261" i="11"/>
  <c r="O262" i="11"/>
  <c r="O263" i="11"/>
  <c r="O264" i="11"/>
  <c r="P252" i="11"/>
  <c r="P253" i="11"/>
  <c r="P254" i="11"/>
  <c r="P255" i="11"/>
  <c r="P256" i="11"/>
  <c r="O265" i="11"/>
  <c r="O266" i="11"/>
  <c r="O267" i="11"/>
  <c r="AU55" i="12"/>
  <c r="P257" i="11"/>
  <c r="P258" i="11"/>
  <c r="P259" i="11"/>
  <c r="P260" i="11"/>
  <c r="P261" i="11"/>
  <c r="P262" i="11"/>
  <c r="P263" i="11"/>
  <c r="P264" i="11"/>
  <c r="Q252" i="11"/>
  <c r="Q253" i="11"/>
  <c r="Q254" i="11"/>
  <c r="Q255" i="11"/>
  <c r="Q256" i="11"/>
  <c r="P265" i="11"/>
  <c r="P266" i="11"/>
  <c r="P267" i="11"/>
  <c r="AV55" i="12"/>
  <c r="Q257" i="11"/>
  <c r="Q258" i="11"/>
  <c r="Q259" i="11"/>
  <c r="Q260" i="11"/>
  <c r="Q261" i="11"/>
  <c r="Q262" i="11"/>
  <c r="Q263" i="11"/>
  <c r="Q264" i="11"/>
  <c r="R252" i="11"/>
  <c r="R253" i="11"/>
  <c r="R254" i="11"/>
  <c r="R255" i="11"/>
  <c r="R256" i="11"/>
  <c r="Q265" i="11"/>
  <c r="Q266" i="11"/>
  <c r="Q267" i="11"/>
  <c r="AW55" i="12"/>
  <c r="R257" i="11"/>
  <c r="R258" i="11"/>
  <c r="R259" i="11"/>
  <c r="R260" i="11"/>
  <c r="R261" i="11"/>
  <c r="R262" i="11"/>
  <c r="R263" i="11"/>
  <c r="R264" i="11"/>
  <c r="S252" i="11"/>
  <c r="S253" i="11"/>
  <c r="S254" i="11"/>
  <c r="S255" i="11"/>
  <c r="S256" i="11"/>
  <c r="R265" i="11"/>
  <c r="R266" i="11"/>
  <c r="R267" i="11"/>
  <c r="AX55" i="12"/>
  <c r="S257" i="11"/>
  <c r="S258" i="11"/>
  <c r="S259" i="11"/>
  <c r="S260" i="11"/>
  <c r="S261" i="11"/>
  <c r="S262" i="11"/>
  <c r="S263" i="11"/>
  <c r="S264" i="11"/>
  <c r="T252" i="11"/>
  <c r="T253" i="11"/>
  <c r="T254" i="11"/>
  <c r="T255" i="11"/>
  <c r="T256" i="11"/>
  <c r="S265" i="11"/>
  <c r="S266" i="11"/>
  <c r="S267" i="11"/>
  <c r="AY55" i="12"/>
  <c r="T257" i="11"/>
  <c r="T258" i="11"/>
  <c r="T259" i="11"/>
  <c r="T260" i="11"/>
  <c r="T261" i="11"/>
  <c r="T262" i="11"/>
  <c r="T263" i="11"/>
  <c r="T264" i="11"/>
  <c r="U252" i="11"/>
  <c r="U253" i="11"/>
  <c r="U254" i="11"/>
  <c r="U255" i="11"/>
  <c r="U256" i="11"/>
  <c r="T265" i="11"/>
  <c r="T266" i="11"/>
  <c r="T267" i="11"/>
  <c r="AZ55" i="12"/>
  <c r="U257" i="11"/>
  <c r="U258" i="11"/>
  <c r="U259" i="11"/>
  <c r="U260" i="11"/>
  <c r="U261" i="11"/>
  <c r="U262" i="11"/>
  <c r="U263" i="11"/>
  <c r="U264" i="11"/>
  <c r="V252" i="11"/>
  <c r="V253" i="11"/>
  <c r="V254" i="11"/>
  <c r="V255" i="11"/>
  <c r="V256" i="11"/>
  <c r="U265" i="11"/>
  <c r="U266" i="11"/>
  <c r="U267" i="11"/>
  <c r="BA55" i="12"/>
  <c r="V257" i="11"/>
  <c r="V258" i="11"/>
  <c r="V259" i="11"/>
  <c r="V260" i="11"/>
  <c r="V261" i="11"/>
  <c r="V262" i="11"/>
  <c r="V263" i="11"/>
  <c r="V264" i="11"/>
  <c r="V265" i="11"/>
  <c r="V266" i="11"/>
  <c r="V267" i="11"/>
  <c r="BB55" i="12"/>
  <c r="K277" i="11"/>
  <c r="L277" i="11"/>
  <c r="L278" i="11"/>
  <c r="L279" i="11"/>
  <c r="L280" i="11"/>
  <c r="L281" i="11"/>
  <c r="L282" i="11"/>
  <c r="L283" i="11"/>
  <c r="L284" i="11"/>
  <c r="L286" i="11"/>
  <c r="L287" i="11"/>
  <c r="L288" i="11"/>
  <c r="L289" i="11"/>
  <c r="M277" i="11"/>
  <c r="M278" i="11"/>
  <c r="M279" i="11"/>
  <c r="M280" i="11"/>
  <c r="M281" i="11"/>
  <c r="L290" i="11"/>
  <c r="K291" i="11"/>
  <c r="L291" i="11"/>
  <c r="L292" i="11"/>
  <c r="AR56" i="12"/>
  <c r="M282" i="11"/>
  <c r="M283" i="11"/>
  <c r="M284" i="11"/>
  <c r="M285" i="11"/>
  <c r="M286" i="11"/>
  <c r="M287" i="11"/>
  <c r="M288" i="11"/>
  <c r="M289" i="11"/>
  <c r="N277" i="11"/>
  <c r="N278" i="11"/>
  <c r="N279" i="11"/>
  <c r="N280" i="11"/>
  <c r="N281" i="11"/>
  <c r="M290" i="11"/>
  <c r="M291" i="11"/>
  <c r="M292" i="11"/>
  <c r="AS56" i="12"/>
  <c r="N282" i="11"/>
  <c r="N283" i="11"/>
  <c r="N284" i="11"/>
  <c r="N285" i="11"/>
  <c r="N286" i="11"/>
  <c r="N287" i="11"/>
  <c r="N288" i="11"/>
  <c r="N289" i="11"/>
  <c r="O277" i="11"/>
  <c r="O278" i="11"/>
  <c r="O279" i="11"/>
  <c r="O280" i="11"/>
  <c r="O281" i="11"/>
  <c r="N290" i="11"/>
  <c r="N291" i="11"/>
  <c r="N292" i="11"/>
  <c r="AT56" i="12"/>
  <c r="O282" i="11"/>
  <c r="O283" i="11"/>
  <c r="O284" i="11"/>
  <c r="O285" i="11"/>
  <c r="O286" i="11"/>
  <c r="O287" i="11"/>
  <c r="O288" i="11"/>
  <c r="O289" i="11"/>
  <c r="P277" i="11"/>
  <c r="P278" i="11"/>
  <c r="P279" i="11"/>
  <c r="P280" i="11"/>
  <c r="P281" i="11"/>
  <c r="O290" i="11"/>
  <c r="O291" i="11"/>
  <c r="O292" i="11"/>
  <c r="AU56" i="12"/>
  <c r="P282" i="11"/>
  <c r="P283" i="11"/>
  <c r="P284" i="11"/>
  <c r="P285" i="11"/>
  <c r="P286" i="11"/>
  <c r="P287" i="11"/>
  <c r="P288" i="11"/>
  <c r="P289" i="11"/>
  <c r="Q277" i="11"/>
  <c r="Q278" i="11"/>
  <c r="Q279" i="11"/>
  <c r="Q280" i="11"/>
  <c r="Q281" i="11"/>
  <c r="P290" i="11"/>
  <c r="P291" i="11"/>
  <c r="P292" i="11"/>
  <c r="AV56" i="12"/>
  <c r="Q282" i="11"/>
  <c r="Q283" i="11"/>
  <c r="Q284" i="11"/>
  <c r="Q285" i="11"/>
  <c r="Q286" i="11"/>
  <c r="Q287" i="11"/>
  <c r="Q288" i="11"/>
  <c r="Q289" i="11"/>
  <c r="R277" i="11"/>
  <c r="R278" i="11"/>
  <c r="R279" i="11"/>
  <c r="R280" i="11"/>
  <c r="R281" i="11"/>
  <c r="Q290" i="11"/>
  <c r="Q291" i="11"/>
  <c r="Q292" i="11"/>
  <c r="AW56" i="12"/>
  <c r="R282" i="11"/>
  <c r="R283" i="11"/>
  <c r="R284" i="11"/>
  <c r="R285" i="11"/>
  <c r="R286" i="11"/>
  <c r="R287" i="11"/>
  <c r="R288" i="11"/>
  <c r="R289" i="11"/>
  <c r="S277" i="11"/>
  <c r="S278" i="11"/>
  <c r="S279" i="11"/>
  <c r="S280" i="11"/>
  <c r="S281" i="11"/>
  <c r="R290" i="11"/>
  <c r="R291" i="11"/>
  <c r="R292" i="11"/>
  <c r="AX56" i="12"/>
  <c r="S282" i="11"/>
  <c r="S283" i="11"/>
  <c r="S284" i="11"/>
  <c r="S285" i="11"/>
  <c r="S286" i="11"/>
  <c r="S287" i="11"/>
  <c r="S288" i="11"/>
  <c r="S289" i="11"/>
  <c r="T277" i="11"/>
  <c r="T278" i="11"/>
  <c r="T279" i="11"/>
  <c r="T280" i="11"/>
  <c r="T281" i="11"/>
  <c r="S290" i="11"/>
  <c r="S291" i="11"/>
  <c r="S292" i="11"/>
  <c r="AY56" i="12"/>
  <c r="T282" i="11"/>
  <c r="T283" i="11"/>
  <c r="T284" i="11"/>
  <c r="T285" i="11"/>
  <c r="T286" i="11"/>
  <c r="T287" i="11"/>
  <c r="T288" i="11"/>
  <c r="T289" i="11"/>
  <c r="U277" i="11"/>
  <c r="U278" i="11"/>
  <c r="U279" i="11"/>
  <c r="U280" i="11"/>
  <c r="U281" i="11"/>
  <c r="T290" i="11"/>
  <c r="T291" i="11"/>
  <c r="T292" i="11"/>
  <c r="AZ56" i="12"/>
  <c r="U282" i="11"/>
  <c r="U283" i="11"/>
  <c r="U284" i="11"/>
  <c r="U285" i="11"/>
  <c r="U286" i="11"/>
  <c r="U287" i="11"/>
  <c r="U288" i="11"/>
  <c r="U289" i="11"/>
  <c r="V277" i="11"/>
  <c r="V278" i="11"/>
  <c r="V279" i="11"/>
  <c r="V280" i="11"/>
  <c r="V281" i="11"/>
  <c r="U290" i="11"/>
  <c r="U291" i="11"/>
  <c r="U292" i="11"/>
  <c r="BA56" i="12"/>
  <c r="V282" i="11"/>
  <c r="V283" i="11"/>
  <c r="V284" i="11"/>
  <c r="V285" i="11"/>
  <c r="V286" i="11"/>
  <c r="V287" i="11"/>
  <c r="V288" i="11"/>
  <c r="V289" i="11"/>
  <c r="V290" i="11"/>
  <c r="V291" i="11"/>
  <c r="V292" i="11"/>
  <c r="BB56" i="12"/>
  <c r="K301" i="11"/>
  <c r="L301" i="11"/>
  <c r="L302" i="11"/>
  <c r="L303" i="11"/>
  <c r="L304" i="11"/>
  <c r="L305" i="11"/>
  <c r="L306" i="11"/>
  <c r="L307" i="11"/>
  <c r="L308" i="11"/>
  <c r="L310" i="11"/>
  <c r="L311" i="11"/>
  <c r="L312" i="11"/>
  <c r="L313" i="11"/>
  <c r="M301" i="11"/>
  <c r="M302" i="11"/>
  <c r="M303" i="11"/>
  <c r="M304" i="11"/>
  <c r="M305" i="11"/>
  <c r="L314" i="11"/>
  <c r="K315" i="11"/>
  <c r="L315" i="11"/>
  <c r="L316" i="11"/>
  <c r="AR57" i="12"/>
  <c r="M306" i="11"/>
  <c r="M307" i="11"/>
  <c r="M308" i="11"/>
  <c r="M309" i="11"/>
  <c r="M310" i="11"/>
  <c r="M311" i="11"/>
  <c r="M312" i="11"/>
  <c r="M313" i="11"/>
  <c r="N301" i="11"/>
  <c r="N302" i="11"/>
  <c r="N303" i="11"/>
  <c r="N304" i="11"/>
  <c r="N305" i="11"/>
  <c r="M314" i="11"/>
  <c r="M315" i="11"/>
  <c r="M316" i="11"/>
  <c r="AS57" i="12"/>
  <c r="N306" i="11"/>
  <c r="N307" i="11"/>
  <c r="N308" i="11"/>
  <c r="N309" i="11"/>
  <c r="N310" i="11"/>
  <c r="N311" i="11"/>
  <c r="N312" i="11"/>
  <c r="N313" i="11"/>
  <c r="O301" i="11"/>
  <c r="O302" i="11"/>
  <c r="O303" i="11"/>
  <c r="O304" i="11"/>
  <c r="O305" i="11"/>
  <c r="N314" i="11"/>
  <c r="N315" i="11"/>
  <c r="N316" i="11"/>
  <c r="AT57" i="12"/>
  <c r="O306" i="11"/>
  <c r="O307" i="11"/>
  <c r="O308" i="11"/>
  <c r="O309" i="11"/>
  <c r="O310" i="11"/>
  <c r="O311" i="11"/>
  <c r="O312" i="11"/>
  <c r="O313" i="11"/>
  <c r="P301" i="11"/>
  <c r="P302" i="11"/>
  <c r="P303" i="11"/>
  <c r="P304" i="11"/>
  <c r="P305" i="11"/>
  <c r="O314" i="11"/>
  <c r="O315" i="11"/>
  <c r="O316" i="11"/>
  <c r="AU57" i="12"/>
  <c r="P306" i="11"/>
  <c r="P307" i="11"/>
  <c r="P308" i="11"/>
  <c r="P309" i="11"/>
  <c r="P310" i="11"/>
  <c r="P311" i="11"/>
  <c r="P312" i="11"/>
  <c r="P313" i="11"/>
  <c r="Q301" i="11"/>
  <c r="Q302" i="11"/>
  <c r="Q303" i="11"/>
  <c r="Q304" i="11"/>
  <c r="Q305" i="11"/>
  <c r="P314" i="11"/>
  <c r="P315" i="11"/>
  <c r="P316" i="11"/>
  <c r="AV57" i="12"/>
  <c r="Q306" i="11"/>
  <c r="Q307" i="11"/>
  <c r="Q308" i="11"/>
  <c r="Q309" i="11"/>
  <c r="Q310" i="11"/>
  <c r="Q311" i="11"/>
  <c r="Q312" i="11"/>
  <c r="Q313" i="11"/>
  <c r="R301" i="11"/>
  <c r="R302" i="11"/>
  <c r="R303" i="11"/>
  <c r="R304" i="11"/>
  <c r="R305" i="11"/>
  <c r="Q314" i="11"/>
  <c r="Q315" i="11"/>
  <c r="Q316" i="11"/>
  <c r="AW57" i="12"/>
  <c r="R306" i="11"/>
  <c r="R307" i="11"/>
  <c r="R308" i="11"/>
  <c r="R309" i="11"/>
  <c r="R310" i="11"/>
  <c r="R311" i="11"/>
  <c r="R312" i="11"/>
  <c r="R313" i="11"/>
  <c r="S301" i="11"/>
  <c r="S302" i="11"/>
  <c r="S303" i="11"/>
  <c r="S304" i="11"/>
  <c r="S305" i="11"/>
  <c r="R314" i="11"/>
  <c r="R315" i="11"/>
  <c r="R316" i="11"/>
  <c r="AX57" i="12"/>
  <c r="S306" i="11"/>
  <c r="S307" i="11"/>
  <c r="S308" i="11"/>
  <c r="S309" i="11"/>
  <c r="S310" i="11"/>
  <c r="S311" i="11"/>
  <c r="S312" i="11"/>
  <c r="S313" i="11"/>
  <c r="T301" i="11"/>
  <c r="T302" i="11"/>
  <c r="T303" i="11"/>
  <c r="T304" i="11"/>
  <c r="T305" i="11"/>
  <c r="S314" i="11"/>
  <c r="S315" i="11"/>
  <c r="S316" i="11"/>
  <c r="AY57" i="12"/>
  <c r="T306" i="11"/>
  <c r="T307" i="11"/>
  <c r="T308" i="11"/>
  <c r="T309" i="11"/>
  <c r="T310" i="11"/>
  <c r="T311" i="11"/>
  <c r="T312" i="11"/>
  <c r="T313" i="11"/>
  <c r="U301" i="11"/>
  <c r="U302" i="11"/>
  <c r="U303" i="11"/>
  <c r="U304" i="11"/>
  <c r="U305" i="11"/>
  <c r="T314" i="11"/>
  <c r="T315" i="11"/>
  <c r="T316" i="11"/>
  <c r="AZ57" i="12"/>
  <c r="U306" i="11"/>
  <c r="U307" i="11"/>
  <c r="U308" i="11"/>
  <c r="U309" i="11"/>
  <c r="U310" i="11"/>
  <c r="U311" i="11"/>
  <c r="U312" i="11"/>
  <c r="U313" i="11"/>
  <c r="V301" i="11"/>
  <c r="V302" i="11"/>
  <c r="V303" i="11"/>
  <c r="V304" i="11"/>
  <c r="V305" i="11"/>
  <c r="U314" i="11"/>
  <c r="U315" i="11"/>
  <c r="U316" i="11"/>
  <c r="BA57" i="12"/>
  <c r="V306" i="11"/>
  <c r="V307" i="11"/>
  <c r="V308" i="11"/>
  <c r="V309" i="11"/>
  <c r="V310" i="11"/>
  <c r="V311" i="11"/>
  <c r="V312" i="11"/>
  <c r="V313" i="11"/>
  <c r="V314" i="11"/>
  <c r="V315" i="11"/>
  <c r="V316" i="11"/>
  <c r="BB57" i="12"/>
  <c r="K325" i="11"/>
  <c r="L325" i="11"/>
  <c r="L326" i="11"/>
  <c r="L327" i="11"/>
  <c r="L328" i="11"/>
  <c r="L329" i="11"/>
  <c r="L330" i="11"/>
  <c r="L331" i="11"/>
  <c r="L332" i="11"/>
  <c r="L334" i="11"/>
  <c r="L335" i="11"/>
  <c r="L336" i="11"/>
  <c r="L337" i="11"/>
  <c r="M325" i="11"/>
  <c r="M326" i="11"/>
  <c r="M327" i="11"/>
  <c r="M328" i="11"/>
  <c r="M329" i="11"/>
  <c r="L338" i="11"/>
  <c r="K339" i="11"/>
  <c r="L339" i="11"/>
  <c r="L340" i="11"/>
  <c r="AR58" i="12"/>
  <c r="M330" i="11"/>
  <c r="M331" i="11"/>
  <c r="M332" i="11"/>
  <c r="M333" i="11"/>
  <c r="M334" i="11"/>
  <c r="M335" i="11"/>
  <c r="M336" i="11"/>
  <c r="M337" i="11"/>
  <c r="N325" i="11"/>
  <c r="N326" i="11"/>
  <c r="N327" i="11"/>
  <c r="N328" i="11"/>
  <c r="N329" i="11"/>
  <c r="M338" i="11"/>
  <c r="M339" i="11"/>
  <c r="M340" i="11"/>
  <c r="AS58" i="12"/>
  <c r="N330" i="11"/>
  <c r="N331" i="11"/>
  <c r="N332" i="11"/>
  <c r="N333" i="11"/>
  <c r="N334" i="11"/>
  <c r="N335" i="11"/>
  <c r="N336" i="11"/>
  <c r="N337" i="11"/>
  <c r="O325" i="11"/>
  <c r="O326" i="11"/>
  <c r="O327" i="11"/>
  <c r="O328" i="11"/>
  <c r="O329" i="11"/>
  <c r="N338" i="11"/>
  <c r="N339" i="11"/>
  <c r="N340" i="11"/>
  <c r="AT58" i="12"/>
  <c r="O330" i="11"/>
  <c r="O331" i="11"/>
  <c r="O332" i="11"/>
  <c r="O333" i="11"/>
  <c r="O334" i="11"/>
  <c r="O335" i="11"/>
  <c r="O336" i="11"/>
  <c r="O337" i="11"/>
  <c r="P325" i="11"/>
  <c r="P326" i="11"/>
  <c r="P327" i="11"/>
  <c r="P328" i="11"/>
  <c r="P329" i="11"/>
  <c r="O338" i="11"/>
  <c r="O339" i="11"/>
  <c r="O340" i="11"/>
  <c r="AU58" i="12"/>
  <c r="P330" i="11"/>
  <c r="P331" i="11"/>
  <c r="P332" i="11"/>
  <c r="P333" i="11"/>
  <c r="P334" i="11"/>
  <c r="P335" i="11"/>
  <c r="P336" i="11"/>
  <c r="P337" i="11"/>
  <c r="Q325" i="11"/>
  <c r="Q326" i="11"/>
  <c r="Q327" i="11"/>
  <c r="Q328" i="11"/>
  <c r="Q329" i="11"/>
  <c r="P338" i="11"/>
  <c r="P339" i="11"/>
  <c r="P340" i="11"/>
  <c r="AV58" i="12"/>
  <c r="Q330" i="11"/>
  <c r="Q331" i="11"/>
  <c r="Q332" i="11"/>
  <c r="Q333" i="11"/>
  <c r="Q334" i="11"/>
  <c r="Q335" i="11"/>
  <c r="Q336" i="11"/>
  <c r="Q337" i="11"/>
  <c r="R325" i="11"/>
  <c r="R326" i="11"/>
  <c r="R327" i="11"/>
  <c r="R328" i="11"/>
  <c r="R329" i="11"/>
  <c r="Q338" i="11"/>
  <c r="Q339" i="11"/>
  <c r="Q340" i="11"/>
  <c r="AW58" i="12"/>
  <c r="R330" i="11"/>
  <c r="R331" i="11"/>
  <c r="R332" i="11"/>
  <c r="R333" i="11"/>
  <c r="R334" i="11"/>
  <c r="R335" i="11"/>
  <c r="R336" i="11"/>
  <c r="R337" i="11"/>
  <c r="S325" i="11"/>
  <c r="S326" i="11"/>
  <c r="S327" i="11"/>
  <c r="S328" i="11"/>
  <c r="S329" i="11"/>
  <c r="R338" i="11"/>
  <c r="R339" i="11"/>
  <c r="R340" i="11"/>
  <c r="AX58" i="12"/>
  <c r="S330" i="11"/>
  <c r="S331" i="11"/>
  <c r="S332" i="11"/>
  <c r="S333" i="11"/>
  <c r="S334" i="11"/>
  <c r="S335" i="11"/>
  <c r="S336" i="11"/>
  <c r="S337" i="11"/>
  <c r="T325" i="11"/>
  <c r="T326" i="11"/>
  <c r="T327" i="11"/>
  <c r="T328" i="11"/>
  <c r="T329" i="11"/>
  <c r="S338" i="11"/>
  <c r="S339" i="11"/>
  <c r="S340" i="11"/>
  <c r="AY58" i="12"/>
  <c r="T330" i="11"/>
  <c r="T331" i="11"/>
  <c r="T332" i="11"/>
  <c r="T333" i="11"/>
  <c r="T334" i="11"/>
  <c r="T335" i="11"/>
  <c r="T336" i="11"/>
  <c r="T337" i="11"/>
  <c r="U325" i="11"/>
  <c r="U326" i="11"/>
  <c r="U327" i="11"/>
  <c r="U328" i="11"/>
  <c r="U329" i="11"/>
  <c r="T338" i="11"/>
  <c r="T339" i="11"/>
  <c r="T340" i="11"/>
  <c r="AZ58" i="12"/>
  <c r="U330" i="11"/>
  <c r="U331" i="11"/>
  <c r="U332" i="11"/>
  <c r="U333" i="11"/>
  <c r="U334" i="11"/>
  <c r="U335" i="11"/>
  <c r="U336" i="11"/>
  <c r="U337" i="11"/>
  <c r="V325" i="11"/>
  <c r="V326" i="11"/>
  <c r="V327" i="11"/>
  <c r="V328" i="11"/>
  <c r="V329" i="11"/>
  <c r="U338" i="11"/>
  <c r="U339" i="11"/>
  <c r="U340" i="11"/>
  <c r="BA58" i="12"/>
  <c r="V330" i="11"/>
  <c r="V331" i="11"/>
  <c r="V332" i="11"/>
  <c r="V333" i="11"/>
  <c r="V334" i="11"/>
  <c r="V335" i="11"/>
  <c r="V336" i="11"/>
  <c r="V337" i="11"/>
  <c r="V338" i="11"/>
  <c r="V339" i="11"/>
  <c r="V340" i="11"/>
  <c r="BB58" i="12"/>
  <c r="K349" i="11"/>
  <c r="L349" i="11"/>
  <c r="L350" i="11"/>
  <c r="L351" i="11"/>
  <c r="L352" i="11"/>
  <c r="L353" i="11"/>
  <c r="L354" i="11"/>
  <c r="L355" i="11"/>
  <c r="L356" i="11"/>
  <c r="L358" i="11"/>
  <c r="L359" i="11"/>
  <c r="L360" i="11"/>
  <c r="L361" i="11"/>
  <c r="M349" i="11"/>
  <c r="M350" i="11"/>
  <c r="M351" i="11"/>
  <c r="M352" i="11"/>
  <c r="M353" i="11"/>
  <c r="L362" i="11"/>
  <c r="K363" i="11"/>
  <c r="L363" i="11"/>
  <c r="L364" i="11"/>
  <c r="AR59" i="12"/>
  <c r="M354" i="11"/>
  <c r="M355" i="11"/>
  <c r="M356" i="11"/>
  <c r="M357" i="11"/>
  <c r="M358" i="11"/>
  <c r="M359" i="11"/>
  <c r="M360" i="11"/>
  <c r="M361" i="11"/>
  <c r="N349" i="11"/>
  <c r="N350" i="11"/>
  <c r="N351" i="11"/>
  <c r="N352" i="11"/>
  <c r="N353" i="11"/>
  <c r="M362" i="11"/>
  <c r="M363" i="11"/>
  <c r="M364" i="11"/>
  <c r="AS59" i="12"/>
  <c r="N354" i="11"/>
  <c r="N355" i="11"/>
  <c r="N356" i="11"/>
  <c r="N357" i="11"/>
  <c r="N358" i="11"/>
  <c r="N359" i="11"/>
  <c r="N360" i="11"/>
  <c r="N361" i="11"/>
  <c r="O349" i="11"/>
  <c r="O350" i="11"/>
  <c r="O351" i="11"/>
  <c r="O352" i="11"/>
  <c r="O353" i="11"/>
  <c r="N362" i="11"/>
  <c r="N363" i="11"/>
  <c r="N364" i="11"/>
  <c r="AT59" i="12"/>
  <c r="O354" i="11"/>
  <c r="O355" i="11"/>
  <c r="O356" i="11"/>
  <c r="O357" i="11"/>
  <c r="O358" i="11"/>
  <c r="O359" i="11"/>
  <c r="O360" i="11"/>
  <c r="O361" i="11"/>
  <c r="P349" i="11"/>
  <c r="P350" i="11"/>
  <c r="P351" i="11"/>
  <c r="P352" i="11"/>
  <c r="P353" i="11"/>
  <c r="O362" i="11"/>
  <c r="O363" i="11"/>
  <c r="O364" i="11"/>
  <c r="AU59" i="12"/>
  <c r="P354" i="11"/>
  <c r="P355" i="11"/>
  <c r="P356" i="11"/>
  <c r="P357" i="11"/>
  <c r="P358" i="11"/>
  <c r="P359" i="11"/>
  <c r="P360" i="11"/>
  <c r="P361" i="11"/>
  <c r="Q349" i="11"/>
  <c r="Q350" i="11"/>
  <c r="Q351" i="11"/>
  <c r="Q352" i="11"/>
  <c r="Q353" i="11"/>
  <c r="P362" i="11"/>
  <c r="P363" i="11"/>
  <c r="P364" i="11"/>
  <c r="AV59" i="12"/>
  <c r="Q354" i="11"/>
  <c r="Q355" i="11"/>
  <c r="Q356" i="11"/>
  <c r="Q357" i="11"/>
  <c r="Q358" i="11"/>
  <c r="Q359" i="11"/>
  <c r="Q360" i="11"/>
  <c r="Q361" i="11"/>
  <c r="R349" i="11"/>
  <c r="R350" i="11"/>
  <c r="R351" i="11"/>
  <c r="R352" i="11"/>
  <c r="R353" i="11"/>
  <c r="Q362" i="11"/>
  <c r="Q363" i="11"/>
  <c r="Q364" i="11"/>
  <c r="AW59" i="12"/>
  <c r="R354" i="11"/>
  <c r="R355" i="11"/>
  <c r="R356" i="11"/>
  <c r="R357" i="11"/>
  <c r="R358" i="11"/>
  <c r="R359" i="11"/>
  <c r="R360" i="11"/>
  <c r="R361" i="11"/>
  <c r="S349" i="11"/>
  <c r="S350" i="11"/>
  <c r="S351" i="11"/>
  <c r="S352" i="11"/>
  <c r="S353" i="11"/>
  <c r="R362" i="11"/>
  <c r="R363" i="11"/>
  <c r="R364" i="11"/>
  <c r="AX59" i="12"/>
  <c r="S354" i="11"/>
  <c r="S355" i="11"/>
  <c r="S356" i="11"/>
  <c r="S357" i="11"/>
  <c r="S358" i="11"/>
  <c r="S359" i="11"/>
  <c r="S360" i="11"/>
  <c r="S361" i="11"/>
  <c r="T349" i="11"/>
  <c r="T350" i="11"/>
  <c r="T351" i="11"/>
  <c r="T352" i="11"/>
  <c r="T353" i="11"/>
  <c r="S362" i="11"/>
  <c r="S363" i="11"/>
  <c r="S364" i="11"/>
  <c r="AY59" i="12"/>
  <c r="T354" i="11"/>
  <c r="T355" i="11"/>
  <c r="T356" i="11"/>
  <c r="T357" i="11"/>
  <c r="T358" i="11"/>
  <c r="T359" i="11"/>
  <c r="T360" i="11"/>
  <c r="T361" i="11"/>
  <c r="U349" i="11"/>
  <c r="U350" i="11"/>
  <c r="U351" i="11"/>
  <c r="U352" i="11"/>
  <c r="U353" i="11"/>
  <c r="T362" i="11"/>
  <c r="T363" i="11"/>
  <c r="T364" i="11"/>
  <c r="AZ59" i="12"/>
  <c r="U354" i="11"/>
  <c r="U355" i="11"/>
  <c r="U356" i="11"/>
  <c r="U357" i="11"/>
  <c r="U358" i="11"/>
  <c r="U359" i="11"/>
  <c r="U360" i="11"/>
  <c r="U361" i="11"/>
  <c r="V349" i="11"/>
  <c r="V350" i="11"/>
  <c r="V351" i="11"/>
  <c r="V352" i="11"/>
  <c r="V353" i="11"/>
  <c r="U362" i="11"/>
  <c r="U363" i="11"/>
  <c r="U364" i="11"/>
  <c r="BA59" i="12"/>
  <c r="V354" i="11"/>
  <c r="V355" i="11"/>
  <c r="V356" i="11"/>
  <c r="V357" i="11"/>
  <c r="V358" i="11"/>
  <c r="V359" i="11"/>
  <c r="V360" i="11"/>
  <c r="V361" i="11"/>
  <c r="V362" i="11"/>
  <c r="V363" i="11"/>
  <c r="V364" i="11"/>
  <c r="BB59" i="12"/>
  <c r="K372" i="11"/>
  <c r="L372" i="11"/>
  <c r="L373" i="11"/>
  <c r="L374" i="11"/>
  <c r="L375" i="11"/>
  <c r="L376" i="11"/>
  <c r="L377" i="11"/>
  <c r="L378" i="11"/>
  <c r="L379" i="11"/>
  <c r="L380" i="11"/>
  <c r="L381" i="11"/>
  <c r="L382" i="11"/>
  <c r="L383" i="11"/>
  <c r="L384" i="11"/>
  <c r="M372" i="11"/>
  <c r="M373" i="11"/>
  <c r="M374" i="11"/>
  <c r="M375" i="11"/>
  <c r="M376" i="11"/>
  <c r="L385" i="11"/>
  <c r="K386" i="11"/>
  <c r="L386" i="11"/>
  <c r="L387" i="11"/>
  <c r="AR60" i="12"/>
  <c r="M377" i="11"/>
  <c r="M378" i="11"/>
  <c r="M379" i="11"/>
  <c r="M380" i="11"/>
  <c r="M381" i="11"/>
  <c r="M382" i="11"/>
  <c r="M383" i="11"/>
  <c r="M384" i="11"/>
  <c r="N372" i="11"/>
  <c r="N373" i="11"/>
  <c r="N374" i="11"/>
  <c r="N375" i="11"/>
  <c r="N376" i="11"/>
  <c r="M385" i="11"/>
  <c r="M386" i="11"/>
  <c r="M387" i="11"/>
  <c r="AS60" i="12"/>
  <c r="N377" i="11"/>
  <c r="N378" i="11"/>
  <c r="N379" i="11"/>
  <c r="N380" i="11"/>
  <c r="N381" i="11"/>
  <c r="N382" i="11"/>
  <c r="N383" i="11"/>
  <c r="N384" i="11"/>
  <c r="O372" i="11"/>
  <c r="O373" i="11"/>
  <c r="O374" i="11"/>
  <c r="O375" i="11"/>
  <c r="O376" i="11"/>
  <c r="N385" i="11"/>
  <c r="N386" i="11"/>
  <c r="N387" i="11"/>
  <c r="AT60" i="12"/>
  <c r="O377" i="11"/>
  <c r="O378" i="11"/>
  <c r="O379" i="11"/>
  <c r="O380" i="11"/>
  <c r="O381" i="11"/>
  <c r="O382" i="11"/>
  <c r="O383" i="11"/>
  <c r="O384" i="11"/>
  <c r="P372" i="11"/>
  <c r="P373" i="11"/>
  <c r="P374" i="11"/>
  <c r="P375" i="11"/>
  <c r="P376" i="11"/>
  <c r="O385" i="11"/>
  <c r="O386" i="11"/>
  <c r="O387" i="11"/>
  <c r="AU60" i="12"/>
  <c r="P377" i="11"/>
  <c r="P378" i="11"/>
  <c r="P379" i="11"/>
  <c r="P380" i="11"/>
  <c r="P381" i="11"/>
  <c r="P382" i="11"/>
  <c r="P383" i="11"/>
  <c r="P384" i="11"/>
  <c r="Q372" i="11"/>
  <c r="Q373" i="11"/>
  <c r="Q374" i="11"/>
  <c r="Q375" i="11"/>
  <c r="Q376" i="11"/>
  <c r="P385" i="11"/>
  <c r="P386" i="11"/>
  <c r="P387" i="11"/>
  <c r="AV60" i="12"/>
  <c r="Q377" i="11"/>
  <c r="Q378" i="11"/>
  <c r="Q379" i="11"/>
  <c r="Q380" i="11"/>
  <c r="Q381" i="11"/>
  <c r="Q382" i="11"/>
  <c r="Q383" i="11"/>
  <c r="Q384" i="11"/>
  <c r="R372" i="11"/>
  <c r="R373" i="11"/>
  <c r="R374" i="11"/>
  <c r="R375" i="11"/>
  <c r="R376" i="11"/>
  <c r="Q385" i="11"/>
  <c r="Q386" i="11"/>
  <c r="Q387" i="11"/>
  <c r="AW60" i="12"/>
  <c r="R377" i="11"/>
  <c r="R378" i="11"/>
  <c r="R379" i="11"/>
  <c r="R380" i="11"/>
  <c r="R381" i="11"/>
  <c r="R382" i="11"/>
  <c r="R383" i="11"/>
  <c r="R384" i="11"/>
  <c r="S372" i="11"/>
  <c r="S373" i="11"/>
  <c r="S374" i="11"/>
  <c r="S375" i="11"/>
  <c r="S376" i="11"/>
  <c r="R385" i="11"/>
  <c r="R386" i="11"/>
  <c r="R387" i="11"/>
  <c r="AX60" i="12"/>
  <c r="S377" i="11"/>
  <c r="S378" i="11"/>
  <c r="S379" i="11"/>
  <c r="S380" i="11"/>
  <c r="S381" i="11"/>
  <c r="S382" i="11"/>
  <c r="S383" i="11"/>
  <c r="S384" i="11"/>
  <c r="T372" i="11"/>
  <c r="T373" i="11"/>
  <c r="T374" i="11"/>
  <c r="T375" i="11"/>
  <c r="T376" i="11"/>
  <c r="S385" i="11"/>
  <c r="S386" i="11"/>
  <c r="S387" i="11"/>
  <c r="AY60" i="12"/>
  <c r="T377" i="11"/>
  <c r="T378" i="11"/>
  <c r="T379" i="11"/>
  <c r="T380" i="11"/>
  <c r="T381" i="11"/>
  <c r="T382" i="11"/>
  <c r="T383" i="11"/>
  <c r="T384" i="11"/>
  <c r="U372" i="11"/>
  <c r="U373" i="11"/>
  <c r="U374" i="11"/>
  <c r="U375" i="11"/>
  <c r="U376" i="11"/>
  <c r="T385" i="11"/>
  <c r="T386" i="11"/>
  <c r="T387" i="11"/>
  <c r="AZ60" i="12"/>
  <c r="U377" i="11"/>
  <c r="U378" i="11"/>
  <c r="U379" i="11"/>
  <c r="U380" i="11"/>
  <c r="U381" i="11"/>
  <c r="U382" i="11"/>
  <c r="U383" i="11"/>
  <c r="U384" i="11"/>
  <c r="V372" i="11"/>
  <c r="V373" i="11"/>
  <c r="V374" i="11"/>
  <c r="V375" i="11"/>
  <c r="V376" i="11"/>
  <c r="U385" i="11"/>
  <c r="U386" i="11"/>
  <c r="U387" i="11"/>
  <c r="BA60" i="12"/>
  <c r="V377" i="11"/>
  <c r="V378" i="11"/>
  <c r="V379" i="11"/>
  <c r="V380" i="11"/>
  <c r="V381" i="11"/>
  <c r="V382" i="11"/>
  <c r="V383" i="11"/>
  <c r="V384" i="11"/>
  <c r="V385" i="11"/>
  <c r="V386" i="11"/>
  <c r="V387" i="11"/>
  <c r="BB60" i="12"/>
  <c r="L399" i="11"/>
  <c r="K396" i="11"/>
  <c r="L396" i="11"/>
  <c r="L397" i="11"/>
  <c r="L398" i="11"/>
  <c r="L400" i="11"/>
  <c r="L401" i="11"/>
  <c r="L402" i="11"/>
  <c r="L403" i="11"/>
  <c r="L404" i="11"/>
  <c r="L405" i="11"/>
  <c r="L406" i="11"/>
  <c r="L407" i="11"/>
  <c r="L408" i="11"/>
  <c r="M399" i="11"/>
  <c r="M396" i="11"/>
  <c r="M397" i="11"/>
  <c r="M398" i="11"/>
  <c r="M400" i="11"/>
  <c r="L409" i="11"/>
  <c r="K410" i="11"/>
  <c r="L410" i="11"/>
  <c r="L411" i="11"/>
  <c r="AR61" i="12"/>
  <c r="M401" i="11"/>
  <c r="M402" i="11"/>
  <c r="M403" i="11"/>
  <c r="M404" i="11"/>
  <c r="M405" i="11"/>
  <c r="M406" i="11"/>
  <c r="M407" i="11"/>
  <c r="M408" i="11"/>
  <c r="N399" i="11"/>
  <c r="N396" i="11"/>
  <c r="N397" i="11"/>
  <c r="N398" i="11"/>
  <c r="N400" i="11"/>
  <c r="M409" i="11"/>
  <c r="M410" i="11"/>
  <c r="M411" i="11"/>
  <c r="AS61" i="12"/>
  <c r="N401" i="11"/>
  <c r="N402" i="11"/>
  <c r="N403" i="11"/>
  <c r="N404" i="11"/>
  <c r="N405" i="11"/>
  <c r="N406" i="11"/>
  <c r="N407" i="11"/>
  <c r="N408" i="11"/>
  <c r="O399" i="11"/>
  <c r="O396" i="11"/>
  <c r="O397" i="11"/>
  <c r="O398" i="11"/>
  <c r="O400" i="11"/>
  <c r="N409" i="11"/>
  <c r="N410" i="11"/>
  <c r="N411" i="11"/>
  <c r="AT61" i="12"/>
  <c r="O401" i="11"/>
  <c r="O402" i="11"/>
  <c r="O403" i="11"/>
  <c r="O404" i="11"/>
  <c r="O405" i="11"/>
  <c r="O406" i="11"/>
  <c r="O407" i="11"/>
  <c r="O408" i="11"/>
  <c r="P399" i="11"/>
  <c r="P396" i="11"/>
  <c r="P397" i="11"/>
  <c r="P398" i="11"/>
  <c r="P400" i="11"/>
  <c r="O409" i="11"/>
  <c r="O410" i="11"/>
  <c r="O411" i="11"/>
  <c r="AU61" i="12"/>
  <c r="P401" i="11"/>
  <c r="P402" i="11"/>
  <c r="P403" i="11"/>
  <c r="P404" i="11"/>
  <c r="P405" i="11"/>
  <c r="P406" i="11"/>
  <c r="P407" i="11"/>
  <c r="P408" i="11"/>
  <c r="Q399" i="11"/>
  <c r="Q396" i="11"/>
  <c r="Q397" i="11"/>
  <c r="Q398" i="11"/>
  <c r="Q400" i="11"/>
  <c r="P409" i="11"/>
  <c r="P410" i="11"/>
  <c r="P411" i="11"/>
  <c r="AV61" i="12"/>
  <c r="Q401" i="11"/>
  <c r="Q402" i="11"/>
  <c r="Q403" i="11"/>
  <c r="Q404" i="11"/>
  <c r="Q405" i="11"/>
  <c r="Q406" i="11"/>
  <c r="Q407" i="11"/>
  <c r="Q408" i="11"/>
  <c r="R399" i="11"/>
  <c r="R396" i="11"/>
  <c r="R397" i="11"/>
  <c r="R398" i="11"/>
  <c r="R400" i="11"/>
  <c r="Q409" i="11"/>
  <c r="Q410" i="11"/>
  <c r="Q411" i="11"/>
  <c r="AW61" i="12"/>
  <c r="R401" i="11"/>
  <c r="R402" i="11"/>
  <c r="R403" i="11"/>
  <c r="R404" i="11"/>
  <c r="R405" i="11"/>
  <c r="R406" i="11"/>
  <c r="R407" i="11"/>
  <c r="R408" i="11"/>
  <c r="S399" i="11"/>
  <c r="S396" i="11"/>
  <c r="S397" i="11"/>
  <c r="S398" i="11"/>
  <c r="S400" i="11"/>
  <c r="R409" i="11"/>
  <c r="R410" i="11"/>
  <c r="R411" i="11"/>
  <c r="AX61" i="12"/>
  <c r="S401" i="11"/>
  <c r="S402" i="11"/>
  <c r="S403" i="11"/>
  <c r="S404" i="11"/>
  <c r="S405" i="11"/>
  <c r="S406" i="11"/>
  <c r="S407" i="11"/>
  <c r="S408" i="11"/>
  <c r="T399" i="11"/>
  <c r="T396" i="11"/>
  <c r="T397" i="11"/>
  <c r="T398" i="11"/>
  <c r="T400" i="11"/>
  <c r="S409" i="11"/>
  <c r="S410" i="11"/>
  <c r="S411" i="11"/>
  <c r="AY61" i="12"/>
  <c r="T401" i="11"/>
  <c r="T402" i="11"/>
  <c r="T403" i="11"/>
  <c r="T404" i="11"/>
  <c r="T405" i="11"/>
  <c r="T406" i="11"/>
  <c r="T407" i="11"/>
  <c r="T408" i="11"/>
  <c r="U399" i="11"/>
  <c r="U396" i="11"/>
  <c r="U397" i="11"/>
  <c r="U398" i="11"/>
  <c r="U400" i="11"/>
  <c r="T409" i="11"/>
  <c r="T410" i="11"/>
  <c r="T411" i="11"/>
  <c r="AZ61" i="12"/>
  <c r="U401" i="11"/>
  <c r="U402" i="11"/>
  <c r="U403" i="11"/>
  <c r="U404" i="11"/>
  <c r="U405" i="11"/>
  <c r="U406" i="11"/>
  <c r="U407" i="11"/>
  <c r="U408" i="11"/>
  <c r="V399" i="11"/>
  <c r="V396" i="11"/>
  <c r="V397" i="11"/>
  <c r="V398" i="11"/>
  <c r="V400" i="11"/>
  <c r="U409" i="11"/>
  <c r="U410" i="11"/>
  <c r="U411" i="11"/>
  <c r="BA61" i="12"/>
  <c r="V401" i="11"/>
  <c r="V402" i="11"/>
  <c r="V403" i="11"/>
  <c r="V404" i="11"/>
  <c r="V405" i="11"/>
  <c r="V406" i="11"/>
  <c r="V407" i="11"/>
  <c r="V408" i="11"/>
  <c r="V409" i="11"/>
  <c r="V410" i="11"/>
  <c r="V411" i="11"/>
  <c r="BB61" i="12"/>
  <c r="K420" i="11"/>
  <c r="L420" i="11"/>
  <c r="L421" i="11"/>
  <c r="L422" i="11"/>
  <c r="L423" i="11"/>
  <c r="L424" i="11"/>
  <c r="L425" i="11"/>
  <c r="L426" i="11"/>
  <c r="L427" i="11"/>
  <c r="L428" i="11"/>
  <c r="L429" i="11"/>
  <c r="L430" i="11"/>
  <c r="L431" i="11"/>
  <c r="L432" i="11"/>
  <c r="M420" i="11"/>
  <c r="M421" i="11"/>
  <c r="M422" i="11"/>
  <c r="M423" i="11"/>
  <c r="M424" i="11"/>
  <c r="L433" i="11"/>
  <c r="K434" i="11"/>
  <c r="L434" i="11"/>
  <c r="L435" i="11"/>
  <c r="AR62" i="12"/>
  <c r="M425" i="11"/>
  <c r="M426" i="11"/>
  <c r="M427" i="11"/>
  <c r="M428" i="11"/>
  <c r="M429" i="11"/>
  <c r="M430" i="11"/>
  <c r="M431" i="11"/>
  <c r="M432" i="11"/>
  <c r="N420" i="11"/>
  <c r="N421" i="11"/>
  <c r="N422" i="11"/>
  <c r="N423" i="11"/>
  <c r="N424" i="11"/>
  <c r="M433" i="11"/>
  <c r="M434" i="11"/>
  <c r="M435" i="11"/>
  <c r="AS62" i="12"/>
  <c r="N425" i="11"/>
  <c r="N426" i="11"/>
  <c r="N427" i="11"/>
  <c r="N428" i="11"/>
  <c r="N429" i="11"/>
  <c r="N430" i="11"/>
  <c r="N431" i="11"/>
  <c r="N432" i="11"/>
  <c r="O420" i="11"/>
  <c r="O421" i="11"/>
  <c r="O422" i="11"/>
  <c r="O423" i="11"/>
  <c r="O424" i="11"/>
  <c r="N433" i="11"/>
  <c r="N434" i="11"/>
  <c r="N435" i="11"/>
  <c r="AT62" i="12"/>
  <c r="O425" i="11"/>
  <c r="O426" i="11"/>
  <c r="O427" i="11"/>
  <c r="O428" i="11"/>
  <c r="O429" i="11"/>
  <c r="O430" i="11"/>
  <c r="O431" i="11"/>
  <c r="O432" i="11"/>
  <c r="P420" i="11"/>
  <c r="P421" i="11"/>
  <c r="P422" i="11"/>
  <c r="P423" i="11"/>
  <c r="P424" i="11"/>
  <c r="O433" i="11"/>
  <c r="O434" i="11"/>
  <c r="O435" i="11"/>
  <c r="AU62" i="12"/>
  <c r="P425" i="11"/>
  <c r="P426" i="11"/>
  <c r="P427" i="11"/>
  <c r="P428" i="11"/>
  <c r="P429" i="11"/>
  <c r="P430" i="11"/>
  <c r="P431" i="11"/>
  <c r="P432" i="11"/>
  <c r="Q420" i="11"/>
  <c r="Q421" i="11"/>
  <c r="Q422" i="11"/>
  <c r="Q423" i="11"/>
  <c r="Q424" i="11"/>
  <c r="P433" i="11"/>
  <c r="P434" i="11"/>
  <c r="P435" i="11"/>
  <c r="AV62" i="12"/>
  <c r="Q425" i="11"/>
  <c r="Q426" i="11"/>
  <c r="Q427" i="11"/>
  <c r="Q428" i="11"/>
  <c r="Q429" i="11"/>
  <c r="Q430" i="11"/>
  <c r="Q431" i="11"/>
  <c r="Q432" i="11"/>
  <c r="R420" i="11"/>
  <c r="R421" i="11"/>
  <c r="R422" i="11"/>
  <c r="R423" i="11"/>
  <c r="R424" i="11"/>
  <c r="Q433" i="11"/>
  <c r="Q434" i="11"/>
  <c r="Q435" i="11"/>
  <c r="AW62" i="12"/>
  <c r="R425" i="11"/>
  <c r="R426" i="11"/>
  <c r="R427" i="11"/>
  <c r="R428" i="11"/>
  <c r="R429" i="11"/>
  <c r="R430" i="11"/>
  <c r="R431" i="11"/>
  <c r="R432" i="11"/>
  <c r="S420" i="11"/>
  <c r="S421" i="11"/>
  <c r="S422" i="11"/>
  <c r="S423" i="11"/>
  <c r="S424" i="11"/>
  <c r="R433" i="11"/>
  <c r="R434" i="11"/>
  <c r="R435" i="11"/>
  <c r="AX62" i="12"/>
  <c r="S425" i="11"/>
  <c r="S426" i="11"/>
  <c r="S427" i="11"/>
  <c r="S428" i="11"/>
  <c r="S429" i="11"/>
  <c r="S430" i="11"/>
  <c r="S431" i="11"/>
  <c r="S432" i="11"/>
  <c r="T420" i="11"/>
  <c r="T421" i="11"/>
  <c r="T422" i="11"/>
  <c r="T423" i="11"/>
  <c r="T424" i="11"/>
  <c r="S433" i="11"/>
  <c r="S434" i="11"/>
  <c r="S435" i="11"/>
  <c r="AY62" i="12"/>
  <c r="T425" i="11"/>
  <c r="T426" i="11"/>
  <c r="T427" i="11"/>
  <c r="T428" i="11"/>
  <c r="T429" i="11"/>
  <c r="T430" i="11"/>
  <c r="T431" i="11"/>
  <c r="T432" i="11"/>
  <c r="U420" i="11"/>
  <c r="U421" i="11"/>
  <c r="U422" i="11"/>
  <c r="U423" i="11"/>
  <c r="U424" i="11"/>
  <c r="T433" i="11"/>
  <c r="T434" i="11"/>
  <c r="T435" i="11"/>
  <c r="AZ62" i="12"/>
  <c r="U425" i="11"/>
  <c r="U426" i="11"/>
  <c r="U427" i="11"/>
  <c r="U428" i="11"/>
  <c r="U429" i="11"/>
  <c r="U430" i="11"/>
  <c r="U431" i="11"/>
  <c r="U432" i="11"/>
  <c r="V420" i="11"/>
  <c r="V421" i="11"/>
  <c r="V422" i="11"/>
  <c r="V423" i="11"/>
  <c r="V424" i="11"/>
  <c r="U433" i="11"/>
  <c r="U434" i="11"/>
  <c r="U435" i="11"/>
  <c r="BA62" i="12"/>
  <c r="V425" i="11"/>
  <c r="V426" i="11"/>
  <c r="V427" i="11"/>
  <c r="V428" i="11"/>
  <c r="V429" i="11"/>
  <c r="V430" i="11"/>
  <c r="V431" i="11"/>
  <c r="V432" i="11"/>
  <c r="V433" i="11"/>
  <c r="V434" i="11"/>
  <c r="V435" i="11"/>
  <c r="BB62" i="12"/>
  <c r="K444" i="11"/>
  <c r="L444" i="11"/>
  <c r="L445" i="11"/>
  <c r="L446" i="11"/>
  <c r="L447" i="11"/>
  <c r="L448" i="11"/>
  <c r="L449" i="11"/>
  <c r="L450" i="11"/>
  <c r="L451" i="11"/>
  <c r="L452" i="11"/>
  <c r="L453" i="11"/>
  <c r="L454" i="11"/>
  <c r="L455" i="11"/>
  <c r="L456" i="11"/>
  <c r="M444" i="11"/>
  <c r="M445" i="11"/>
  <c r="M446" i="11"/>
  <c r="M447" i="11"/>
  <c r="M448" i="11"/>
  <c r="L457" i="11"/>
  <c r="K458" i="11"/>
  <c r="L458" i="11"/>
  <c r="L459" i="11"/>
  <c r="AR63" i="12"/>
  <c r="M449" i="11"/>
  <c r="M450" i="11"/>
  <c r="M451" i="11"/>
  <c r="M452" i="11"/>
  <c r="M453" i="11"/>
  <c r="M454" i="11"/>
  <c r="M455" i="11"/>
  <c r="M456" i="11"/>
  <c r="N444" i="11"/>
  <c r="N445" i="11"/>
  <c r="N446" i="11"/>
  <c r="N447" i="11"/>
  <c r="N448" i="11"/>
  <c r="M457" i="11"/>
  <c r="M458" i="11"/>
  <c r="M459" i="11"/>
  <c r="AS63" i="12"/>
  <c r="N449" i="11"/>
  <c r="N450" i="11"/>
  <c r="N451" i="11"/>
  <c r="N452" i="11"/>
  <c r="N453" i="11"/>
  <c r="N454" i="11"/>
  <c r="N455" i="11"/>
  <c r="N456" i="11"/>
  <c r="O444" i="11"/>
  <c r="O445" i="11"/>
  <c r="O446" i="11"/>
  <c r="O447" i="11"/>
  <c r="O448" i="11"/>
  <c r="N457" i="11"/>
  <c r="N458" i="11"/>
  <c r="N459" i="11"/>
  <c r="AT63" i="12"/>
  <c r="O449" i="11"/>
  <c r="O450" i="11"/>
  <c r="O451" i="11"/>
  <c r="O452" i="11"/>
  <c r="O453" i="11"/>
  <c r="O454" i="11"/>
  <c r="O455" i="11"/>
  <c r="O456" i="11"/>
  <c r="P444" i="11"/>
  <c r="P445" i="11"/>
  <c r="P446" i="11"/>
  <c r="P447" i="11"/>
  <c r="P448" i="11"/>
  <c r="O457" i="11"/>
  <c r="O458" i="11"/>
  <c r="O459" i="11"/>
  <c r="AU63" i="12"/>
  <c r="P449" i="11"/>
  <c r="P450" i="11"/>
  <c r="P451" i="11"/>
  <c r="P452" i="11"/>
  <c r="P453" i="11"/>
  <c r="P454" i="11"/>
  <c r="P455" i="11"/>
  <c r="P456" i="11"/>
  <c r="Q444" i="11"/>
  <c r="Q445" i="11"/>
  <c r="Q446" i="11"/>
  <c r="Q447" i="11"/>
  <c r="Q448" i="11"/>
  <c r="P457" i="11"/>
  <c r="P458" i="11"/>
  <c r="P459" i="11"/>
  <c r="AV63" i="12"/>
  <c r="Q449" i="11"/>
  <c r="Q450" i="11"/>
  <c r="Q451" i="11"/>
  <c r="Q452" i="11"/>
  <c r="Q453" i="11"/>
  <c r="Q454" i="11"/>
  <c r="Q455" i="11"/>
  <c r="Q456" i="11"/>
  <c r="R444" i="11"/>
  <c r="R445" i="11"/>
  <c r="R446" i="11"/>
  <c r="R447" i="11"/>
  <c r="R448" i="11"/>
  <c r="Q457" i="11"/>
  <c r="Q458" i="11"/>
  <c r="Q459" i="11"/>
  <c r="AW63" i="12"/>
  <c r="R449" i="11"/>
  <c r="R450" i="11"/>
  <c r="R451" i="11"/>
  <c r="R452" i="11"/>
  <c r="R453" i="11"/>
  <c r="R454" i="11"/>
  <c r="R455" i="11"/>
  <c r="R456" i="11"/>
  <c r="S444" i="11"/>
  <c r="S445" i="11"/>
  <c r="S446" i="11"/>
  <c r="S447" i="11"/>
  <c r="S448" i="11"/>
  <c r="R457" i="11"/>
  <c r="R458" i="11"/>
  <c r="R459" i="11"/>
  <c r="AX63" i="12"/>
  <c r="S449" i="11"/>
  <c r="S450" i="11"/>
  <c r="S451" i="11"/>
  <c r="S452" i="11"/>
  <c r="S453" i="11"/>
  <c r="S454" i="11"/>
  <c r="S455" i="11"/>
  <c r="S456" i="11"/>
  <c r="T444" i="11"/>
  <c r="T445" i="11"/>
  <c r="T446" i="11"/>
  <c r="T447" i="11"/>
  <c r="T448" i="11"/>
  <c r="S457" i="11"/>
  <c r="S458" i="11"/>
  <c r="S459" i="11"/>
  <c r="AY63" i="12"/>
  <c r="T449" i="11"/>
  <c r="T450" i="11"/>
  <c r="T451" i="11"/>
  <c r="T452" i="11"/>
  <c r="T453" i="11"/>
  <c r="T454" i="11"/>
  <c r="T455" i="11"/>
  <c r="T456" i="11"/>
  <c r="U444" i="11"/>
  <c r="U445" i="11"/>
  <c r="U446" i="11"/>
  <c r="U447" i="11"/>
  <c r="U448" i="11"/>
  <c r="T457" i="11"/>
  <c r="T458" i="11"/>
  <c r="T459" i="11"/>
  <c r="AZ63" i="12"/>
  <c r="U449" i="11"/>
  <c r="U450" i="11"/>
  <c r="U451" i="11"/>
  <c r="U452" i="11"/>
  <c r="U453" i="11"/>
  <c r="U454" i="11"/>
  <c r="U455" i="11"/>
  <c r="U456" i="11"/>
  <c r="V444" i="11"/>
  <c r="V445" i="11"/>
  <c r="V446" i="11"/>
  <c r="V447" i="11"/>
  <c r="V448" i="11"/>
  <c r="U457" i="11"/>
  <c r="U458" i="11"/>
  <c r="U459" i="11"/>
  <c r="BA63" i="12"/>
  <c r="V449" i="11"/>
  <c r="V450" i="11"/>
  <c r="V451" i="11"/>
  <c r="V452" i="11"/>
  <c r="V453" i="11"/>
  <c r="V454" i="11"/>
  <c r="V455" i="11"/>
  <c r="V456" i="11"/>
  <c r="V457" i="11"/>
  <c r="V458" i="11"/>
  <c r="V459" i="11"/>
  <c r="BB63" i="12"/>
  <c r="L471" i="11"/>
  <c r="K468" i="11"/>
  <c r="L468" i="11"/>
  <c r="L469" i="11"/>
  <c r="L470" i="11"/>
  <c r="L472" i="11"/>
  <c r="L473" i="11"/>
  <c r="L474" i="11"/>
  <c r="L475" i="11"/>
  <c r="L476" i="11"/>
  <c r="L477" i="11"/>
  <c r="L478" i="11"/>
  <c r="L479" i="11"/>
  <c r="L480" i="11"/>
  <c r="M471" i="11"/>
  <c r="M468" i="11"/>
  <c r="M469" i="11"/>
  <c r="M470" i="11"/>
  <c r="M472" i="11"/>
  <c r="L481" i="11"/>
  <c r="K482" i="11"/>
  <c r="L482" i="11"/>
  <c r="L483" i="11"/>
  <c r="AR64" i="12"/>
  <c r="M473" i="11"/>
  <c r="M474" i="11"/>
  <c r="M475" i="11"/>
  <c r="M476" i="11"/>
  <c r="M477" i="11"/>
  <c r="M478" i="11"/>
  <c r="M479" i="11"/>
  <c r="M480" i="11"/>
  <c r="N471" i="11"/>
  <c r="N468" i="11"/>
  <c r="N469" i="11"/>
  <c r="N470" i="11"/>
  <c r="N472" i="11"/>
  <c r="M481" i="11"/>
  <c r="M482" i="11"/>
  <c r="M483" i="11"/>
  <c r="AS64" i="12"/>
  <c r="N473" i="11"/>
  <c r="N474" i="11"/>
  <c r="N475" i="11"/>
  <c r="N476" i="11"/>
  <c r="N477" i="11"/>
  <c r="N478" i="11"/>
  <c r="N479" i="11"/>
  <c r="N480" i="11"/>
  <c r="O471" i="11"/>
  <c r="O468" i="11"/>
  <c r="O469" i="11"/>
  <c r="O470" i="11"/>
  <c r="O472" i="11"/>
  <c r="N481" i="11"/>
  <c r="N482" i="11"/>
  <c r="N483" i="11"/>
  <c r="AT64" i="12"/>
  <c r="O473" i="11"/>
  <c r="O474" i="11"/>
  <c r="O475" i="11"/>
  <c r="O476" i="11"/>
  <c r="O477" i="11"/>
  <c r="O478" i="11"/>
  <c r="O479" i="11"/>
  <c r="O480" i="11"/>
  <c r="P471" i="11"/>
  <c r="P468" i="11"/>
  <c r="P469" i="11"/>
  <c r="P470" i="11"/>
  <c r="P472" i="11"/>
  <c r="O481" i="11"/>
  <c r="O482" i="11"/>
  <c r="O483" i="11"/>
  <c r="AU64" i="12"/>
  <c r="P473" i="11"/>
  <c r="P474" i="11"/>
  <c r="P475" i="11"/>
  <c r="P476" i="11"/>
  <c r="P477" i="11"/>
  <c r="P478" i="11"/>
  <c r="P479" i="11"/>
  <c r="P480" i="11"/>
  <c r="Q471" i="11"/>
  <c r="Q468" i="11"/>
  <c r="Q469" i="11"/>
  <c r="Q470" i="11"/>
  <c r="Q472" i="11"/>
  <c r="P481" i="11"/>
  <c r="P482" i="11"/>
  <c r="P483" i="11"/>
  <c r="AV64" i="12"/>
  <c r="Q473" i="11"/>
  <c r="Q474" i="11"/>
  <c r="Q475" i="11"/>
  <c r="Q476" i="11"/>
  <c r="Q477" i="11"/>
  <c r="Q478" i="11"/>
  <c r="Q479" i="11"/>
  <c r="Q480" i="11"/>
  <c r="R471" i="11"/>
  <c r="R468" i="11"/>
  <c r="R469" i="11"/>
  <c r="R470" i="11"/>
  <c r="R472" i="11"/>
  <c r="Q481" i="11"/>
  <c r="Q482" i="11"/>
  <c r="Q483" i="11"/>
  <c r="AW64" i="12"/>
  <c r="R473" i="11"/>
  <c r="R474" i="11"/>
  <c r="R475" i="11"/>
  <c r="R476" i="11"/>
  <c r="R477" i="11"/>
  <c r="R478" i="11"/>
  <c r="R479" i="11"/>
  <c r="R480" i="11"/>
  <c r="S471" i="11"/>
  <c r="S468" i="11"/>
  <c r="S469" i="11"/>
  <c r="S470" i="11"/>
  <c r="S472" i="11"/>
  <c r="R481" i="11"/>
  <c r="R482" i="11"/>
  <c r="R483" i="11"/>
  <c r="AX64" i="12"/>
  <c r="S473" i="11"/>
  <c r="S474" i="11"/>
  <c r="S475" i="11"/>
  <c r="S476" i="11"/>
  <c r="S477" i="11"/>
  <c r="S478" i="11"/>
  <c r="S479" i="11"/>
  <c r="S480" i="11"/>
  <c r="T471" i="11"/>
  <c r="T468" i="11"/>
  <c r="T469" i="11"/>
  <c r="T470" i="11"/>
  <c r="T472" i="11"/>
  <c r="S481" i="11"/>
  <c r="S482" i="11"/>
  <c r="S483" i="11"/>
  <c r="AY64" i="12"/>
  <c r="T473" i="11"/>
  <c r="T474" i="11"/>
  <c r="T475" i="11"/>
  <c r="T476" i="11"/>
  <c r="T477" i="11"/>
  <c r="T478" i="11"/>
  <c r="T479" i="11"/>
  <c r="T480" i="11"/>
  <c r="U471" i="11"/>
  <c r="U468" i="11"/>
  <c r="U469" i="11"/>
  <c r="U470" i="11"/>
  <c r="U472" i="11"/>
  <c r="T481" i="11"/>
  <c r="T482" i="11"/>
  <c r="T483" i="11"/>
  <c r="AZ64" i="12"/>
  <c r="U473" i="11"/>
  <c r="U474" i="11"/>
  <c r="U475" i="11"/>
  <c r="U476" i="11"/>
  <c r="U477" i="11"/>
  <c r="U478" i="11"/>
  <c r="U479" i="11"/>
  <c r="U480" i="11"/>
  <c r="V471" i="11"/>
  <c r="V468" i="11"/>
  <c r="V469" i="11"/>
  <c r="V470" i="11"/>
  <c r="V472" i="11"/>
  <c r="U481" i="11"/>
  <c r="U482" i="11"/>
  <c r="U483" i="11"/>
  <c r="BA64" i="12"/>
  <c r="V473" i="11"/>
  <c r="V474" i="11"/>
  <c r="V475" i="11"/>
  <c r="V476" i="11"/>
  <c r="V477" i="11"/>
  <c r="V478" i="11"/>
  <c r="V479" i="11"/>
  <c r="V480" i="11"/>
  <c r="V481" i="11"/>
  <c r="V482" i="11"/>
  <c r="V483" i="11"/>
  <c r="BB64" i="12"/>
  <c r="K492" i="11"/>
  <c r="L492" i="11"/>
  <c r="L493" i="11"/>
  <c r="L494" i="11"/>
  <c r="L495" i="11"/>
  <c r="L496" i="11"/>
  <c r="L497" i="11"/>
  <c r="L498" i="11"/>
  <c r="L499" i="11"/>
  <c r="L500" i="11"/>
  <c r="L501" i="11"/>
  <c r="L502" i="11"/>
  <c r="L503" i="11"/>
  <c r="L504" i="11"/>
  <c r="M492" i="11"/>
  <c r="M493" i="11"/>
  <c r="M494" i="11"/>
  <c r="M495" i="11"/>
  <c r="M496" i="11"/>
  <c r="L505" i="11"/>
  <c r="K506" i="11"/>
  <c r="L506" i="11"/>
  <c r="L507" i="11"/>
  <c r="AR65" i="12"/>
  <c r="M497" i="11"/>
  <c r="M498" i="11"/>
  <c r="M499" i="11"/>
  <c r="M500" i="11"/>
  <c r="M501" i="11"/>
  <c r="M502" i="11"/>
  <c r="M503" i="11"/>
  <c r="M504" i="11"/>
  <c r="N492" i="11"/>
  <c r="N493" i="11"/>
  <c r="N494" i="11"/>
  <c r="N495" i="11"/>
  <c r="N496" i="11"/>
  <c r="M505" i="11"/>
  <c r="M506" i="11"/>
  <c r="M507" i="11"/>
  <c r="AS65" i="12"/>
  <c r="N497" i="11"/>
  <c r="N498" i="11"/>
  <c r="N499" i="11"/>
  <c r="N500" i="11"/>
  <c r="N501" i="11"/>
  <c r="N502" i="11"/>
  <c r="N503" i="11"/>
  <c r="N504" i="11"/>
  <c r="O492" i="11"/>
  <c r="O493" i="11"/>
  <c r="O494" i="11"/>
  <c r="O495" i="11"/>
  <c r="O496" i="11"/>
  <c r="N505" i="11"/>
  <c r="N506" i="11"/>
  <c r="N507" i="11"/>
  <c r="AT65" i="12"/>
  <c r="O497" i="11"/>
  <c r="O498" i="11"/>
  <c r="O499" i="11"/>
  <c r="O500" i="11"/>
  <c r="O501" i="11"/>
  <c r="O502" i="11"/>
  <c r="O503" i="11"/>
  <c r="O504" i="11"/>
  <c r="P492" i="11"/>
  <c r="P493" i="11"/>
  <c r="P494" i="11"/>
  <c r="P495" i="11"/>
  <c r="P496" i="11"/>
  <c r="O505" i="11"/>
  <c r="O506" i="11"/>
  <c r="O507" i="11"/>
  <c r="AU65" i="12"/>
  <c r="P497" i="11"/>
  <c r="P498" i="11"/>
  <c r="P499" i="11"/>
  <c r="P500" i="11"/>
  <c r="P501" i="11"/>
  <c r="P502" i="11"/>
  <c r="P503" i="11"/>
  <c r="P504" i="11"/>
  <c r="Q492" i="11"/>
  <c r="Q493" i="11"/>
  <c r="Q494" i="11"/>
  <c r="Q495" i="11"/>
  <c r="Q496" i="11"/>
  <c r="P505" i="11"/>
  <c r="P506" i="11"/>
  <c r="P507" i="11"/>
  <c r="AV65" i="12"/>
  <c r="Q497" i="11"/>
  <c r="Q498" i="11"/>
  <c r="Q499" i="11"/>
  <c r="Q500" i="11"/>
  <c r="Q501" i="11"/>
  <c r="Q502" i="11"/>
  <c r="Q503" i="11"/>
  <c r="Q504" i="11"/>
  <c r="R492" i="11"/>
  <c r="R493" i="11"/>
  <c r="R494" i="11"/>
  <c r="R495" i="11"/>
  <c r="R496" i="11"/>
  <c r="Q505" i="11"/>
  <c r="Q506" i="11"/>
  <c r="Q507" i="11"/>
  <c r="AW65" i="12"/>
  <c r="R497" i="11"/>
  <c r="R498" i="11"/>
  <c r="R499" i="11"/>
  <c r="R500" i="11"/>
  <c r="R501" i="11"/>
  <c r="R502" i="11"/>
  <c r="R503" i="11"/>
  <c r="R504" i="11"/>
  <c r="S492" i="11"/>
  <c r="S493" i="11"/>
  <c r="S494" i="11"/>
  <c r="S495" i="11"/>
  <c r="S496" i="11"/>
  <c r="R505" i="11"/>
  <c r="R506" i="11"/>
  <c r="R507" i="11"/>
  <c r="AX65" i="12"/>
  <c r="S497" i="11"/>
  <c r="S498" i="11"/>
  <c r="S499" i="11"/>
  <c r="S500" i="11"/>
  <c r="S501" i="11"/>
  <c r="S502" i="11"/>
  <c r="S503" i="11"/>
  <c r="S504" i="11"/>
  <c r="T492" i="11"/>
  <c r="T493" i="11"/>
  <c r="T494" i="11"/>
  <c r="T495" i="11"/>
  <c r="T496" i="11"/>
  <c r="S505" i="11"/>
  <c r="S506" i="11"/>
  <c r="S507" i="11"/>
  <c r="AY65" i="12"/>
  <c r="T497" i="11"/>
  <c r="T498" i="11"/>
  <c r="T499" i="11"/>
  <c r="T500" i="11"/>
  <c r="T501" i="11"/>
  <c r="T502" i="11"/>
  <c r="T503" i="11"/>
  <c r="T504" i="11"/>
  <c r="U492" i="11"/>
  <c r="U493" i="11"/>
  <c r="U494" i="11"/>
  <c r="U495" i="11"/>
  <c r="U496" i="11"/>
  <c r="T505" i="11"/>
  <c r="T506" i="11"/>
  <c r="T507" i="11"/>
  <c r="AZ65" i="12"/>
  <c r="U497" i="11"/>
  <c r="U498" i="11"/>
  <c r="U499" i="11"/>
  <c r="U500" i="11"/>
  <c r="U501" i="11"/>
  <c r="U502" i="11"/>
  <c r="U503" i="11"/>
  <c r="U504" i="11"/>
  <c r="V492" i="11"/>
  <c r="V493" i="11"/>
  <c r="V494" i="11"/>
  <c r="V495" i="11"/>
  <c r="V496" i="11"/>
  <c r="U505" i="11"/>
  <c r="U506" i="11"/>
  <c r="U507" i="11"/>
  <c r="BA65" i="12"/>
  <c r="V497" i="11"/>
  <c r="V498" i="11"/>
  <c r="V499" i="11"/>
  <c r="V500" i="11"/>
  <c r="V501" i="11"/>
  <c r="V502" i="11"/>
  <c r="V503" i="11"/>
  <c r="V504" i="11"/>
  <c r="V505" i="11"/>
  <c r="V506" i="11"/>
  <c r="V507" i="11"/>
  <c r="BB65" i="12"/>
  <c r="K516" i="11"/>
  <c r="L516" i="11"/>
  <c r="L517" i="11"/>
  <c r="L518" i="11"/>
  <c r="L519" i="11"/>
  <c r="L520" i="11"/>
  <c r="L521" i="11"/>
  <c r="L522" i="11"/>
  <c r="L523" i="11"/>
  <c r="L524" i="11"/>
  <c r="L525" i="11"/>
  <c r="L526" i="11"/>
  <c r="L527" i="11"/>
  <c r="L528" i="11"/>
  <c r="M516" i="11"/>
  <c r="M517" i="11"/>
  <c r="M518" i="11"/>
  <c r="M519" i="11"/>
  <c r="M520" i="11"/>
  <c r="L529" i="11"/>
  <c r="K530" i="11"/>
  <c r="L530" i="11"/>
  <c r="L531" i="11"/>
  <c r="AR66" i="12"/>
  <c r="M521" i="11"/>
  <c r="M522" i="11"/>
  <c r="M523" i="11"/>
  <c r="M524" i="11"/>
  <c r="M525" i="11"/>
  <c r="M526" i="11"/>
  <c r="M527" i="11"/>
  <c r="M528" i="11"/>
  <c r="N516" i="11"/>
  <c r="N517" i="11"/>
  <c r="N518" i="11"/>
  <c r="N519" i="11"/>
  <c r="N520" i="11"/>
  <c r="M529" i="11"/>
  <c r="M530" i="11"/>
  <c r="M531" i="11"/>
  <c r="AS66" i="12"/>
  <c r="N521" i="11"/>
  <c r="N522" i="11"/>
  <c r="N523" i="11"/>
  <c r="N524" i="11"/>
  <c r="N525" i="11"/>
  <c r="N526" i="11"/>
  <c r="N527" i="11"/>
  <c r="N528" i="11"/>
  <c r="O516" i="11"/>
  <c r="O517" i="11"/>
  <c r="O518" i="11"/>
  <c r="O519" i="11"/>
  <c r="O520" i="11"/>
  <c r="N529" i="11"/>
  <c r="N530" i="11"/>
  <c r="N531" i="11"/>
  <c r="AT66" i="12"/>
  <c r="O521" i="11"/>
  <c r="O522" i="11"/>
  <c r="O523" i="11"/>
  <c r="O524" i="11"/>
  <c r="O525" i="11"/>
  <c r="O526" i="11"/>
  <c r="O527" i="11"/>
  <c r="O528" i="11"/>
  <c r="P516" i="11"/>
  <c r="P517" i="11"/>
  <c r="P518" i="11"/>
  <c r="P519" i="11"/>
  <c r="P520" i="11"/>
  <c r="O529" i="11"/>
  <c r="O530" i="11"/>
  <c r="O531" i="11"/>
  <c r="AU66" i="12"/>
  <c r="P521" i="11"/>
  <c r="P522" i="11"/>
  <c r="P523" i="11"/>
  <c r="P524" i="11"/>
  <c r="P525" i="11"/>
  <c r="P526" i="11"/>
  <c r="P527" i="11"/>
  <c r="P528" i="11"/>
  <c r="Q516" i="11"/>
  <c r="Q517" i="11"/>
  <c r="Q518" i="11"/>
  <c r="Q519" i="11"/>
  <c r="Q520" i="11"/>
  <c r="P529" i="11"/>
  <c r="P530" i="11"/>
  <c r="P531" i="11"/>
  <c r="AV66" i="12"/>
  <c r="Q521" i="11"/>
  <c r="Q522" i="11"/>
  <c r="Q523" i="11"/>
  <c r="Q524" i="11"/>
  <c r="Q525" i="11"/>
  <c r="Q526" i="11"/>
  <c r="Q527" i="11"/>
  <c r="Q528" i="11"/>
  <c r="R516" i="11"/>
  <c r="R517" i="11"/>
  <c r="R518" i="11"/>
  <c r="R519" i="11"/>
  <c r="R520" i="11"/>
  <c r="Q529" i="11"/>
  <c r="Q530" i="11"/>
  <c r="Q531" i="11"/>
  <c r="AW66" i="12"/>
  <c r="R521" i="11"/>
  <c r="R522" i="11"/>
  <c r="R523" i="11"/>
  <c r="R524" i="11"/>
  <c r="R525" i="11"/>
  <c r="R526" i="11"/>
  <c r="R527" i="11"/>
  <c r="R528" i="11"/>
  <c r="S516" i="11"/>
  <c r="S517" i="11"/>
  <c r="S518" i="11"/>
  <c r="S519" i="11"/>
  <c r="S520" i="11"/>
  <c r="R529" i="11"/>
  <c r="R530" i="11"/>
  <c r="R531" i="11"/>
  <c r="AX66" i="12"/>
  <c r="S521" i="11"/>
  <c r="S522" i="11"/>
  <c r="S523" i="11"/>
  <c r="S524" i="11"/>
  <c r="S525" i="11"/>
  <c r="S526" i="11"/>
  <c r="S527" i="11"/>
  <c r="S528" i="11"/>
  <c r="T516" i="11"/>
  <c r="T517" i="11"/>
  <c r="T518" i="11"/>
  <c r="T519" i="11"/>
  <c r="T520" i="11"/>
  <c r="S529" i="11"/>
  <c r="S530" i="11"/>
  <c r="S531" i="11"/>
  <c r="AY66" i="12"/>
  <c r="T521" i="11"/>
  <c r="T522" i="11"/>
  <c r="T523" i="11"/>
  <c r="T524" i="11"/>
  <c r="T525" i="11"/>
  <c r="T526" i="11"/>
  <c r="T527" i="11"/>
  <c r="T528" i="11"/>
  <c r="U516" i="11"/>
  <c r="U517" i="11"/>
  <c r="U518" i="11"/>
  <c r="U519" i="11"/>
  <c r="U520" i="11"/>
  <c r="T529" i="11"/>
  <c r="T530" i="11"/>
  <c r="T531" i="11"/>
  <c r="AZ66" i="12"/>
  <c r="U521" i="11"/>
  <c r="U522" i="11"/>
  <c r="U523" i="11"/>
  <c r="U524" i="11"/>
  <c r="U525" i="11"/>
  <c r="U526" i="11"/>
  <c r="U527" i="11"/>
  <c r="U528" i="11"/>
  <c r="V516" i="11"/>
  <c r="V517" i="11"/>
  <c r="V518" i="11"/>
  <c r="V519" i="11"/>
  <c r="V520" i="11"/>
  <c r="U529" i="11"/>
  <c r="U530" i="11"/>
  <c r="U531" i="11"/>
  <c r="BA66" i="12"/>
  <c r="V521" i="11"/>
  <c r="V522" i="11"/>
  <c r="V523" i="11"/>
  <c r="V524" i="11"/>
  <c r="V525" i="11"/>
  <c r="V526" i="11"/>
  <c r="V527" i="11"/>
  <c r="V528" i="11"/>
  <c r="V529" i="11"/>
  <c r="V530" i="11"/>
  <c r="V531" i="11"/>
  <c r="BB66" i="12"/>
  <c r="K541" i="11"/>
  <c r="L541" i="11"/>
  <c r="L542" i="11"/>
  <c r="L543" i="11"/>
  <c r="L544" i="11"/>
  <c r="L545" i="11"/>
  <c r="L546" i="11"/>
  <c r="L547" i="11"/>
  <c r="L548" i="11"/>
  <c r="L550" i="11"/>
  <c r="L551" i="11"/>
  <c r="L552" i="11"/>
  <c r="L553" i="11"/>
  <c r="M541" i="11"/>
  <c r="M542" i="11"/>
  <c r="M543" i="11"/>
  <c r="M544" i="11"/>
  <c r="M545" i="11"/>
  <c r="L554" i="11"/>
  <c r="K555" i="11"/>
  <c r="L555" i="11"/>
  <c r="L556" i="11"/>
  <c r="AR67" i="12"/>
  <c r="M546" i="11"/>
  <c r="M547" i="11"/>
  <c r="M548" i="11"/>
  <c r="M549" i="11"/>
  <c r="M550" i="11"/>
  <c r="M551" i="11"/>
  <c r="M552" i="11"/>
  <c r="M553" i="11"/>
  <c r="N541" i="11"/>
  <c r="N542" i="11"/>
  <c r="N543" i="11"/>
  <c r="N544" i="11"/>
  <c r="N545" i="11"/>
  <c r="M554" i="11"/>
  <c r="M555" i="11"/>
  <c r="M556" i="11"/>
  <c r="AS67" i="12"/>
  <c r="N546" i="11"/>
  <c r="N547" i="11"/>
  <c r="N548" i="11"/>
  <c r="N549" i="11"/>
  <c r="N550" i="11"/>
  <c r="N551" i="11"/>
  <c r="N552" i="11"/>
  <c r="N553" i="11"/>
  <c r="O541" i="11"/>
  <c r="O542" i="11"/>
  <c r="O543" i="11"/>
  <c r="O544" i="11"/>
  <c r="O545" i="11"/>
  <c r="N554" i="11"/>
  <c r="N555" i="11"/>
  <c r="N556" i="11"/>
  <c r="AT67" i="12"/>
  <c r="O546" i="11"/>
  <c r="O547" i="11"/>
  <c r="O548" i="11"/>
  <c r="O549" i="11"/>
  <c r="O550" i="11"/>
  <c r="O551" i="11"/>
  <c r="O552" i="11"/>
  <c r="O553" i="11"/>
  <c r="P541" i="11"/>
  <c r="P542" i="11"/>
  <c r="P543" i="11"/>
  <c r="P544" i="11"/>
  <c r="P545" i="11"/>
  <c r="O554" i="11"/>
  <c r="O555" i="11"/>
  <c r="O556" i="11"/>
  <c r="AU67" i="12"/>
  <c r="P546" i="11"/>
  <c r="P547" i="11"/>
  <c r="P548" i="11"/>
  <c r="P549" i="11"/>
  <c r="P550" i="11"/>
  <c r="P551" i="11"/>
  <c r="P552" i="11"/>
  <c r="P553" i="11"/>
  <c r="Q541" i="11"/>
  <c r="Q542" i="11"/>
  <c r="Q543" i="11"/>
  <c r="Q544" i="11"/>
  <c r="Q545" i="11"/>
  <c r="P554" i="11"/>
  <c r="P555" i="11"/>
  <c r="P556" i="11"/>
  <c r="AV67" i="12"/>
  <c r="Q546" i="11"/>
  <c r="Q547" i="11"/>
  <c r="Q548" i="11"/>
  <c r="Q549" i="11"/>
  <c r="Q550" i="11"/>
  <c r="Q551" i="11"/>
  <c r="Q552" i="11"/>
  <c r="Q553" i="11"/>
  <c r="R541" i="11"/>
  <c r="R542" i="11"/>
  <c r="R543" i="11"/>
  <c r="R544" i="11"/>
  <c r="R545" i="11"/>
  <c r="Q554" i="11"/>
  <c r="Q555" i="11"/>
  <c r="Q556" i="11"/>
  <c r="AW67" i="12"/>
  <c r="R546" i="11"/>
  <c r="R547" i="11"/>
  <c r="R548" i="11"/>
  <c r="R549" i="11"/>
  <c r="R550" i="11"/>
  <c r="R551" i="11"/>
  <c r="R552" i="11"/>
  <c r="R553" i="11"/>
  <c r="S541" i="11"/>
  <c r="S542" i="11"/>
  <c r="S543" i="11"/>
  <c r="S544" i="11"/>
  <c r="S545" i="11"/>
  <c r="R554" i="11"/>
  <c r="R555" i="11"/>
  <c r="R556" i="11"/>
  <c r="AX67" i="12"/>
  <c r="S546" i="11"/>
  <c r="S547" i="11"/>
  <c r="S548" i="11"/>
  <c r="S549" i="11"/>
  <c r="S550" i="11"/>
  <c r="S551" i="11"/>
  <c r="S552" i="11"/>
  <c r="S553" i="11"/>
  <c r="T541" i="11"/>
  <c r="T542" i="11"/>
  <c r="T543" i="11"/>
  <c r="T544" i="11"/>
  <c r="T545" i="11"/>
  <c r="S554" i="11"/>
  <c r="S555" i="11"/>
  <c r="S556" i="11"/>
  <c r="AY67" i="12"/>
  <c r="T546" i="11"/>
  <c r="T547" i="11"/>
  <c r="T548" i="11"/>
  <c r="T549" i="11"/>
  <c r="T550" i="11"/>
  <c r="T551" i="11"/>
  <c r="T552" i="11"/>
  <c r="T553" i="11"/>
  <c r="U541" i="11"/>
  <c r="U542" i="11"/>
  <c r="U543" i="11"/>
  <c r="U544" i="11"/>
  <c r="U545" i="11"/>
  <c r="T554" i="11"/>
  <c r="T555" i="11"/>
  <c r="T556" i="11"/>
  <c r="AZ67" i="12"/>
  <c r="U546" i="11"/>
  <c r="U547" i="11"/>
  <c r="U548" i="11"/>
  <c r="U549" i="11"/>
  <c r="U550" i="11"/>
  <c r="U551" i="11"/>
  <c r="U552" i="11"/>
  <c r="U553" i="11"/>
  <c r="V541" i="11"/>
  <c r="V542" i="11"/>
  <c r="V543" i="11"/>
  <c r="V544" i="11"/>
  <c r="V545" i="11"/>
  <c r="U554" i="11"/>
  <c r="U555" i="11"/>
  <c r="U556" i="11"/>
  <c r="BA67" i="12"/>
  <c r="V546" i="11"/>
  <c r="V547" i="11"/>
  <c r="V548" i="11"/>
  <c r="V549" i="11"/>
  <c r="V550" i="11"/>
  <c r="V551" i="11"/>
  <c r="V552" i="11"/>
  <c r="V553" i="11"/>
  <c r="V554" i="11"/>
  <c r="V555" i="11"/>
  <c r="V556" i="11"/>
  <c r="BB67" i="12"/>
  <c r="K566" i="11"/>
  <c r="L566" i="11"/>
  <c r="L567" i="11"/>
  <c r="L568" i="11"/>
  <c r="L569" i="11"/>
  <c r="L570" i="11"/>
  <c r="L571" i="11"/>
  <c r="L572" i="11"/>
  <c r="L573" i="11"/>
  <c r="L575" i="11"/>
  <c r="L576" i="11"/>
  <c r="L577" i="11"/>
  <c r="L578" i="11"/>
  <c r="M566" i="11"/>
  <c r="M567" i="11"/>
  <c r="M568" i="11"/>
  <c r="M569" i="11"/>
  <c r="M570" i="11"/>
  <c r="L579" i="11"/>
  <c r="K580" i="11"/>
  <c r="L580" i="11"/>
  <c r="L581" i="11"/>
  <c r="AR68" i="12"/>
  <c r="M571" i="11"/>
  <c r="M572" i="11"/>
  <c r="M573" i="11"/>
  <c r="M574" i="11"/>
  <c r="M575" i="11"/>
  <c r="M576" i="11"/>
  <c r="M577" i="11"/>
  <c r="M578" i="11"/>
  <c r="N566" i="11"/>
  <c r="N567" i="11"/>
  <c r="N568" i="11"/>
  <c r="N569" i="11"/>
  <c r="N570" i="11"/>
  <c r="M579" i="11"/>
  <c r="M580" i="11"/>
  <c r="M581" i="11"/>
  <c r="AS68" i="12"/>
  <c r="N571" i="11"/>
  <c r="N572" i="11"/>
  <c r="N573" i="11"/>
  <c r="N574" i="11"/>
  <c r="N575" i="11"/>
  <c r="N576" i="11"/>
  <c r="N577" i="11"/>
  <c r="N578" i="11"/>
  <c r="O566" i="11"/>
  <c r="O567" i="11"/>
  <c r="O568" i="11"/>
  <c r="O569" i="11"/>
  <c r="O570" i="11"/>
  <c r="N579" i="11"/>
  <c r="N580" i="11"/>
  <c r="N581" i="11"/>
  <c r="AT68" i="12"/>
  <c r="O571" i="11"/>
  <c r="O572" i="11"/>
  <c r="O573" i="11"/>
  <c r="O574" i="11"/>
  <c r="O575" i="11"/>
  <c r="O576" i="11"/>
  <c r="O577" i="11"/>
  <c r="O578" i="11"/>
  <c r="P566" i="11"/>
  <c r="P567" i="11"/>
  <c r="P568" i="11"/>
  <c r="P569" i="11"/>
  <c r="P570" i="11"/>
  <c r="O579" i="11"/>
  <c r="O580" i="11"/>
  <c r="O581" i="11"/>
  <c r="AU68" i="12"/>
  <c r="P571" i="11"/>
  <c r="P572" i="11"/>
  <c r="P573" i="11"/>
  <c r="P574" i="11"/>
  <c r="P575" i="11"/>
  <c r="P576" i="11"/>
  <c r="P577" i="11"/>
  <c r="P578" i="11"/>
  <c r="Q566" i="11"/>
  <c r="Q567" i="11"/>
  <c r="Q568" i="11"/>
  <c r="Q569" i="11"/>
  <c r="Q570" i="11"/>
  <c r="P579" i="11"/>
  <c r="P580" i="11"/>
  <c r="P581" i="11"/>
  <c r="AV68" i="12"/>
  <c r="Q571" i="11"/>
  <c r="Q572" i="11"/>
  <c r="Q573" i="11"/>
  <c r="Q574" i="11"/>
  <c r="Q575" i="11"/>
  <c r="Q576" i="11"/>
  <c r="Q577" i="11"/>
  <c r="Q578" i="11"/>
  <c r="R566" i="11"/>
  <c r="R567" i="11"/>
  <c r="R568" i="11"/>
  <c r="R569" i="11"/>
  <c r="R570" i="11"/>
  <c r="Q579" i="11"/>
  <c r="Q580" i="11"/>
  <c r="Q581" i="11"/>
  <c r="AW68" i="12"/>
  <c r="R571" i="11"/>
  <c r="R572" i="11"/>
  <c r="R573" i="11"/>
  <c r="R574" i="11"/>
  <c r="R575" i="11"/>
  <c r="R576" i="11"/>
  <c r="R577" i="11"/>
  <c r="R578" i="11"/>
  <c r="S566" i="11"/>
  <c r="S567" i="11"/>
  <c r="S568" i="11"/>
  <c r="S569" i="11"/>
  <c r="S570" i="11"/>
  <c r="R579" i="11"/>
  <c r="R580" i="11"/>
  <c r="R581" i="11"/>
  <c r="AX68" i="12"/>
  <c r="S571" i="11"/>
  <c r="S572" i="11"/>
  <c r="S573" i="11"/>
  <c r="S574" i="11"/>
  <c r="S575" i="11"/>
  <c r="S576" i="11"/>
  <c r="S577" i="11"/>
  <c r="S578" i="11"/>
  <c r="T566" i="11"/>
  <c r="T567" i="11"/>
  <c r="T568" i="11"/>
  <c r="T569" i="11"/>
  <c r="T570" i="11"/>
  <c r="S579" i="11"/>
  <c r="S580" i="11"/>
  <c r="S581" i="11"/>
  <c r="AY68" i="12"/>
  <c r="T571" i="11"/>
  <c r="T572" i="11"/>
  <c r="T573" i="11"/>
  <c r="T574" i="11"/>
  <c r="T575" i="11"/>
  <c r="T576" i="11"/>
  <c r="T577" i="11"/>
  <c r="T578" i="11"/>
  <c r="U566" i="11"/>
  <c r="U567" i="11"/>
  <c r="U568" i="11"/>
  <c r="U569" i="11"/>
  <c r="U570" i="11"/>
  <c r="T579" i="11"/>
  <c r="T580" i="11"/>
  <c r="T581" i="11"/>
  <c r="AZ68" i="12"/>
  <c r="U571" i="11"/>
  <c r="U572" i="11"/>
  <c r="U573" i="11"/>
  <c r="U574" i="11"/>
  <c r="U575" i="11"/>
  <c r="U576" i="11"/>
  <c r="U577" i="11"/>
  <c r="U578" i="11"/>
  <c r="V566" i="11"/>
  <c r="V567" i="11"/>
  <c r="V568" i="11"/>
  <c r="V569" i="11"/>
  <c r="V570" i="11"/>
  <c r="U579" i="11"/>
  <c r="U580" i="11"/>
  <c r="U581" i="11"/>
  <c r="BA68" i="12"/>
  <c r="V571" i="11"/>
  <c r="V572" i="11"/>
  <c r="V573" i="11"/>
  <c r="V574" i="11"/>
  <c r="V575" i="11"/>
  <c r="V576" i="11"/>
  <c r="V577" i="11"/>
  <c r="V578" i="11"/>
  <c r="V579" i="11"/>
  <c r="V580" i="11"/>
  <c r="V581" i="11"/>
  <c r="BB68" i="12"/>
  <c r="K590" i="11"/>
  <c r="L590" i="11"/>
  <c r="L591" i="11"/>
  <c r="L592" i="11"/>
  <c r="L593" i="11"/>
  <c r="L594" i="11"/>
  <c r="L595" i="11"/>
  <c r="L596" i="11"/>
  <c r="L597" i="11"/>
  <c r="L599" i="11"/>
  <c r="L600" i="11"/>
  <c r="L601" i="11"/>
  <c r="L602" i="11"/>
  <c r="M590" i="11"/>
  <c r="M591" i="11"/>
  <c r="M592" i="11"/>
  <c r="M593" i="11"/>
  <c r="M594" i="11"/>
  <c r="L603" i="11"/>
  <c r="K604" i="11"/>
  <c r="L604" i="11"/>
  <c r="L605" i="11"/>
  <c r="AR69" i="12"/>
  <c r="M595" i="11"/>
  <c r="M596" i="11"/>
  <c r="M597" i="11"/>
  <c r="M598" i="11"/>
  <c r="M599" i="11"/>
  <c r="M600" i="11"/>
  <c r="M601" i="11"/>
  <c r="M602" i="11"/>
  <c r="N590" i="11"/>
  <c r="N591" i="11"/>
  <c r="N592" i="11"/>
  <c r="N593" i="11"/>
  <c r="N594" i="11"/>
  <c r="M603" i="11"/>
  <c r="M604" i="11"/>
  <c r="M605" i="11"/>
  <c r="AS69" i="12"/>
  <c r="N595" i="11"/>
  <c r="N596" i="11"/>
  <c r="N597" i="11"/>
  <c r="N598" i="11"/>
  <c r="N599" i="11"/>
  <c r="N600" i="11"/>
  <c r="N601" i="11"/>
  <c r="N602" i="11"/>
  <c r="O590" i="11"/>
  <c r="O591" i="11"/>
  <c r="O592" i="11"/>
  <c r="O593" i="11"/>
  <c r="O594" i="11"/>
  <c r="N603" i="11"/>
  <c r="N604" i="11"/>
  <c r="N605" i="11"/>
  <c r="AT69" i="12"/>
  <c r="O595" i="11"/>
  <c r="O596" i="11"/>
  <c r="O597" i="11"/>
  <c r="O598" i="11"/>
  <c r="O599" i="11"/>
  <c r="O600" i="11"/>
  <c r="O601" i="11"/>
  <c r="O602" i="11"/>
  <c r="P590" i="11"/>
  <c r="P591" i="11"/>
  <c r="P592" i="11"/>
  <c r="P593" i="11"/>
  <c r="P594" i="11"/>
  <c r="O603" i="11"/>
  <c r="O604" i="11"/>
  <c r="O605" i="11"/>
  <c r="AU69" i="12"/>
  <c r="P595" i="11"/>
  <c r="P596" i="11"/>
  <c r="P597" i="11"/>
  <c r="P598" i="11"/>
  <c r="P599" i="11"/>
  <c r="P600" i="11"/>
  <c r="P601" i="11"/>
  <c r="P602" i="11"/>
  <c r="Q590" i="11"/>
  <c r="Q591" i="11"/>
  <c r="Q592" i="11"/>
  <c r="Q593" i="11"/>
  <c r="Q594" i="11"/>
  <c r="P603" i="11"/>
  <c r="P604" i="11"/>
  <c r="P605" i="11"/>
  <c r="AV69" i="12"/>
  <c r="Q595" i="11"/>
  <c r="Q596" i="11"/>
  <c r="Q597" i="11"/>
  <c r="Q598" i="11"/>
  <c r="Q599" i="11"/>
  <c r="Q600" i="11"/>
  <c r="Q601" i="11"/>
  <c r="Q602" i="11"/>
  <c r="R590" i="11"/>
  <c r="R591" i="11"/>
  <c r="R592" i="11"/>
  <c r="R593" i="11"/>
  <c r="R594" i="11"/>
  <c r="Q603" i="11"/>
  <c r="Q604" i="11"/>
  <c r="Q605" i="11"/>
  <c r="AW69" i="12"/>
  <c r="R595" i="11"/>
  <c r="R596" i="11"/>
  <c r="R597" i="11"/>
  <c r="R598" i="11"/>
  <c r="R599" i="11"/>
  <c r="R600" i="11"/>
  <c r="R601" i="11"/>
  <c r="R602" i="11"/>
  <c r="S590" i="11"/>
  <c r="S591" i="11"/>
  <c r="S592" i="11"/>
  <c r="S593" i="11"/>
  <c r="S594" i="11"/>
  <c r="R603" i="11"/>
  <c r="R604" i="11"/>
  <c r="R605" i="11"/>
  <c r="AX69" i="12"/>
  <c r="S595" i="11"/>
  <c r="S596" i="11"/>
  <c r="S597" i="11"/>
  <c r="S598" i="11"/>
  <c r="S599" i="11"/>
  <c r="S600" i="11"/>
  <c r="S601" i="11"/>
  <c r="S602" i="11"/>
  <c r="T590" i="11"/>
  <c r="T591" i="11"/>
  <c r="T592" i="11"/>
  <c r="T593" i="11"/>
  <c r="T594" i="11"/>
  <c r="S603" i="11"/>
  <c r="S604" i="11"/>
  <c r="S605" i="11"/>
  <c r="AY69" i="12"/>
  <c r="T595" i="11"/>
  <c r="T596" i="11"/>
  <c r="T597" i="11"/>
  <c r="T598" i="11"/>
  <c r="T599" i="11"/>
  <c r="T600" i="11"/>
  <c r="T601" i="11"/>
  <c r="T602" i="11"/>
  <c r="U590" i="11"/>
  <c r="U591" i="11"/>
  <c r="U592" i="11"/>
  <c r="U593" i="11"/>
  <c r="U594" i="11"/>
  <c r="T603" i="11"/>
  <c r="T604" i="11"/>
  <c r="T605" i="11"/>
  <c r="AZ69" i="12"/>
  <c r="U595" i="11"/>
  <c r="U596" i="11"/>
  <c r="U597" i="11"/>
  <c r="U598" i="11"/>
  <c r="U599" i="11"/>
  <c r="U600" i="11"/>
  <c r="U601" i="11"/>
  <c r="U602" i="11"/>
  <c r="V590" i="11"/>
  <c r="V591" i="11"/>
  <c r="V592" i="11"/>
  <c r="V593" i="11"/>
  <c r="V594" i="11"/>
  <c r="U603" i="11"/>
  <c r="U604" i="11"/>
  <c r="U605" i="11"/>
  <c r="BA69" i="12"/>
  <c r="V595" i="11"/>
  <c r="V596" i="11"/>
  <c r="V597" i="11"/>
  <c r="V598" i="11"/>
  <c r="V599" i="11"/>
  <c r="V600" i="11"/>
  <c r="V601" i="11"/>
  <c r="V602" i="11"/>
  <c r="V603" i="11"/>
  <c r="V604" i="11"/>
  <c r="V605" i="11"/>
  <c r="BB69" i="12"/>
  <c r="K615" i="11"/>
  <c r="L615" i="11"/>
  <c r="L616" i="11"/>
  <c r="L617" i="11"/>
  <c r="L618" i="11"/>
  <c r="L619" i="11"/>
  <c r="L620" i="11"/>
  <c r="L621" i="11"/>
  <c r="L622" i="11"/>
  <c r="L624" i="11"/>
  <c r="L625" i="11"/>
  <c r="L626" i="11"/>
  <c r="L627" i="11"/>
  <c r="M615" i="11"/>
  <c r="M616" i="11"/>
  <c r="M617" i="11"/>
  <c r="M618" i="11"/>
  <c r="M619" i="11"/>
  <c r="L628" i="11"/>
  <c r="K629" i="11"/>
  <c r="L629" i="11"/>
  <c r="L630" i="11"/>
  <c r="AR70" i="12"/>
  <c r="M620" i="11"/>
  <c r="M621" i="11"/>
  <c r="M622" i="11"/>
  <c r="M623" i="11"/>
  <c r="M624" i="11"/>
  <c r="M625" i="11"/>
  <c r="M626" i="11"/>
  <c r="M627" i="11"/>
  <c r="N615" i="11"/>
  <c r="N616" i="11"/>
  <c r="N617" i="11"/>
  <c r="N618" i="11"/>
  <c r="N619" i="11"/>
  <c r="M628" i="11"/>
  <c r="M629" i="11"/>
  <c r="M630" i="11"/>
  <c r="AS70" i="12"/>
  <c r="N620" i="11"/>
  <c r="N621" i="11"/>
  <c r="N622" i="11"/>
  <c r="N623" i="11"/>
  <c r="N624" i="11"/>
  <c r="N625" i="11"/>
  <c r="N626" i="11"/>
  <c r="N627" i="11"/>
  <c r="O615" i="11"/>
  <c r="O616" i="11"/>
  <c r="O617" i="11"/>
  <c r="O618" i="11"/>
  <c r="O619" i="11"/>
  <c r="N628" i="11"/>
  <c r="N629" i="11"/>
  <c r="N630" i="11"/>
  <c r="AT70" i="12"/>
  <c r="O620" i="11"/>
  <c r="O621" i="11"/>
  <c r="O622" i="11"/>
  <c r="O623" i="11"/>
  <c r="O624" i="11"/>
  <c r="O625" i="11"/>
  <c r="O626" i="11"/>
  <c r="O627" i="11"/>
  <c r="P615" i="11"/>
  <c r="P616" i="11"/>
  <c r="P617" i="11"/>
  <c r="P618" i="11"/>
  <c r="P619" i="11"/>
  <c r="O628" i="11"/>
  <c r="O629" i="11"/>
  <c r="O630" i="11"/>
  <c r="AU70" i="12"/>
  <c r="P620" i="11"/>
  <c r="P621" i="11"/>
  <c r="P622" i="11"/>
  <c r="P623" i="11"/>
  <c r="P624" i="11"/>
  <c r="P625" i="11"/>
  <c r="P626" i="11"/>
  <c r="P627" i="11"/>
  <c r="Q615" i="11"/>
  <c r="Q616" i="11"/>
  <c r="Q617" i="11"/>
  <c r="Q618" i="11"/>
  <c r="Q619" i="11"/>
  <c r="P628" i="11"/>
  <c r="P629" i="11"/>
  <c r="P630" i="11"/>
  <c r="AV70" i="12"/>
  <c r="Q620" i="11"/>
  <c r="Q621" i="11"/>
  <c r="Q622" i="11"/>
  <c r="Q623" i="11"/>
  <c r="Q624" i="11"/>
  <c r="Q625" i="11"/>
  <c r="Q626" i="11"/>
  <c r="Q627" i="11"/>
  <c r="R615" i="11"/>
  <c r="R616" i="11"/>
  <c r="R617" i="11"/>
  <c r="R618" i="11"/>
  <c r="R619" i="11"/>
  <c r="Q628" i="11"/>
  <c r="Q629" i="11"/>
  <c r="Q630" i="11"/>
  <c r="AW70" i="12"/>
  <c r="R620" i="11"/>
  <c r="R621" i="11"/>
  <c r="R622" i="11"/>
  <c r="R623" i="11"/>
  <c r="R624" i="11"/>
  <c r="R625" i="11"/>
  <c r="R626" i="11"/>
  <c r="R627" i="11"/>
  <c r="S615" i="11"/>
  <c r="S616" i="11"/>
  <c r="S617" i="11"/>
  <c r="S618" i="11"/>
  <c r="S619" i="11"/>
  <c r="R628" i="11"/>
  <c r="R629" i="11"/>
  <c r="R630" i="11"/>
  <c r="AX70" i="12"/>
  <c r="S620" i="11"/>
  <c r="S621" i="11"/>
  <c r="S622" i="11"/>
  <c r="S623" i="11"/>
  <c r="S624" i="11"/>
  <c r="S625" i="11"/>
  <c r="S626" i="11"/>
  <c r="S627" i="11"/>
  <c r="T615" i="11"/>
  <c r="T616" i="11"/>
  <c r="T617" i="11"/>
  <c r="T618" i="11"/>
  <c r="T619" i="11"/>
  <c r="S628" i="11"/>
  <c r="S629" i="11"/>
  <c r="S630" i="11"/>
  <c r="AY70" i="12"/>
  <c r="T620" i="11"/>
  <c r="T621" i="11"/>
  <c r="T622" i="11"/>
  <c r="T623" i="11"/>
  <c r="T624" i="11"/>
  <c r="T625" i="11"/>
  <c r="T626" i="11"/>
  <c r="T627" i="11"/>
  <c r="U615" i="11"/>
  <c r="U616" i="11"/>
  <c r="U617" i="11"/>
  <c r="U618" i="11"/>
  <c r="U619" i="11"/>
  <c r="T628" i="11"/>
  <c r="T629" i="11"/>
  <c r="T630" i="11"/>
  <c r="AZ70" i="12"/>
  <c r="U620" i="11"/>
  <c r="U621" i="11"/>
  <c r="U622" i="11"/>
  <c r="U623" i="11"/>
  <c r="U624" i="11"/>
  <c r="U625" i="11"/>
  <c r="U626" i="11"/>
  <c r="U627" i="11"/>
  <c r="V615" i="11"/>
  <c r="V616" i="11"/>
  <c r="V617" i="11"/>
  <c r="V618" i="11"/>
  <c r="V619" i="11"/>
  <c r="U628" i="11"/>
  <c r="U629" i="11"/>
  <c r="U630" i="11"/>
  <c r="BA70" i="12"/>
  <c r="V620" i="11"/>
  <c r="V621" i="11"/>
  <c r="V622" i="11"/>
  <c r="V623" i="11"/>
  <c r="V624" i="11"/>
  <c r="V625" i="11"/>
  <c r="V626" i="11"/>
  <c r="V627" i="11"/>
  <c r="V628" i="11"/>
  <c r="V629" i="11"/>
  <c r="V630" i="11"/>
  <c r="BB70" i="12"/>
  <c r="K639" i="11"/>
  <c r="L639" i="11"/>
  <c r="L640" i="11"/>
  <c r="L641" i="11"/>
  <c r="L642" i="11"/>
  <c r="L643" i="11"/>
  <c r="L644" i="11"/>
  <c r="L645" i="11"/>
  <c r="L646" i="11"/>
  <c r="L648" i="11"/>
  <c r="L649" i="11"/>
  <c r="L650" i="11"/>
  <c r="L651" i="11"/>
  <c r="M639" i="11"/>
  <c r="M640" i="11"/>
  <c r="M641" i="11"/>
  <c r="M642" i="11"/>
  <c r="M643" i="11"/>
  <c r="L652" i="11"/>
  <c r="K653" i="11"/>
  <c r="L653" i="11"/>
  <c r="L654" i="11"/>
  <c r="AR71" i="12"/>
  <c r="M644" i="11"/>
  <c r="M645" i="11"/>
  <c r="M646" i="11"/>
  <c r="M647" i="11"/>
  <c r="M648" i="11"/>
  <c r="M649" i="11"/>
  <c r="M650" i="11"/>
  <c r="M651" i="11"/>
  <c r="N639" i="11"/>
  <c r="N640" i="11"/>
  <c r="N641" i="11"/>
  <c r="N642" i="11"/>
  <c r="N643" i="11"/>
  <c r="M652" i="11"/>
  <c r="M653" i="11"/>
  <c r="M654" i="11"/>
  <c r="AS71" i="12"/>
  <c r="N644" i="11"/>
  <c r="N645" i="11"/>
  <c r="N646" i="11"/>
  <c r="N647" i="11"/>
  <c r="N648" i="11"/>
  <c r="N649" i="11"/>
  <c r="N650" i="11"/>
  <c r="N651" i="11"/>
  <c r="O639" i="11"/>
  <c r="O640" i="11"/>
  <c r="O641" i="11"/>
  <c r="O642" i="11"/>
  <c r="O643" i="11"/>
  <c r="N652" i="11"/>
  <c r="N653" i="11"/>
  <c r="N654" i="11"/>
  <c r="AT71" i="12"/>
  <c r="O644" i="11"/>
  <c r="O645" i="11"/>
  <c r="O646" i="11"/>
  <c r="O647" i="11"/>
  <c r="O648" i="11"/>
  <c r="O649" i="11"/>
  <c r="O650" i="11"/>
  <c r="O651" i="11"/>
  <c r="P639" i="11"/>
  <c r="P640" i="11"/>
  <c r="P641" i="11"/>
  <c r="P642" i="11"/>
  <c r="P643" i="11"/>
  <c r="O652" i="11"/>
  <c r="O653" i="11"/>
  <c r="O654" i="11"/>
  <c r="AU71" i="12"/>
  <c r="P644" i="11"/>
  <c r="P645" i="11"/>
  <c r="P646" i="11"/>
  <c r="P647" i="11"/>
  <c r="P648" i="11"/>
  <c r="P649" i="11"/>
  <c r="P650" i="11"/>
  <c r="P651" i="11"/>
  <c r="Q639" i="11"/>
  <c r="Q640" i="11"/>
  <c r="Q641" i="11"/>
  <c r="Q642" i="11"/>
  <c r="Q643" i="11"/>
  <c r="P652" i="11"/>
  <c r="P653" i="11"/>
  <c r="P654" i="11"/>
  <c r="AV71" i="12"/>
  <c r="Q644" i="11"/>
  <c r="Q645" i="11"/>
  <c r="Q646" i="11"/>
  <c r="Q647" i="11"/>
  <c r="Q648" i="11"/>
  <c r="Q649" i="11"/>
  <c r="Q650" i="11"/>
  <c r="Q651" i="11"/>
  <c r="R639" i="11"/>
  <c r="R640" i="11"/>
  <c r="R641" i="11"/>
  <c r="R642" i="11"/>
  <c r="R643" i="11"/>
  <c r="Q652" i="11"/>
  <c r="Q653" i="11"/>
  <c r="Q654" i="11"/>
  <c r="AW71" i="12"/>
  <c r="R644" i="11"/>
  <c r="R645" i="11"/>
  <c r="R646" i="11"/>
  <c r="R647" i="11"/>
  <c r="R648" i="11"/>
  <c r="R649" i="11"/>
  <c r="R650" i="11"/>
  <c r="R651" i="11"/>
  <c r="S639" i="11"/>
  <c r="S640" i="11"/>
  <c r="S641" i="11"/>
  <c r="S642" i="11"/>
  <c r="S643" i="11"/>
  <c r="R652" i="11"/>
  <c r="R653" i="11"/>
  <c r="R654" i="11"/>
  <c r="AX71" i="12"/>
  <c r="S644" i="11"/>
  <c r="S645" i="11"/>
  <c r="S646" i="11"/>
  <c r="S647" i="11"/>
  <c r="S648" i="11"/>
  <c r="S649" i="11"/>
  <c r="S650" i="11"/>
  <c r="S651" i="11"/>
  <c r="T639" i="11"/>
  <c r="T640" i="11"/>
  <c r="T641" i="11"/>
  <c r="T642" i="11"/>
  <c r="T643" i="11"/>
  <c r="S652" i="11"/>
  <c r="S653" i="11"/>
  <c r="S654" i="11"/>
  <c r="AY71" i="12"/>
  <c r="T644" i="11"/>
  <c r="T645" i="11"/>
  <c r="T646" i="11"/>
  <c r="T647" i="11"/>
  <c r="T648" i="11"/>
  <c r="T649" i="11"/>
  <c r="T650" i="11"/>
  <c r="T651" i="11"/>
  <c r="U639" i="11"/>
  <c r="U640" i="11"/>
  <c r="U641" i="11"/>
  <c r="U642" i="11"/>
  <c r="U643" i="11"/>
  <c r="T652" i="11"/>
  <c r="T653" i="11"/>
  <c r="T654" i="11"/>
  <c r="AZ71" i="12"/>
  <c r="U644" i="11"/>
  <c r="U645" i="11"/>
  <c r="U646" i="11"/>
  <c r="U647" i="11"/>
  <c r="U648" i="11"/>
  <c r="U649" i="11"/>
  <c r="U650" i="11"/>
  <c r="U651" i="11"/>
  <c r="V639" i="11"/>
  <c r="V640" i="11"/>
  <c r="V641" i="11"/>
  <c r="V642" i="11"/>
  <c r="V643" i="11"/>
  <c r="U652" i="11"/>
  <c r="U653" i="11"/>
  <c r="U654" i="11"/>
  <c r="BA71" i="12"/>
  <c r="V644" i="11"/>
  <c r="V645" i="11"/>
  <c r="V646" i="11"/>
  <c r="V647" i="11"/>
  <c r="V648" i="11"/>
  <c r="V649" i="11"/>
  <c r="V650" i="11"/>
  <c r="V651" i="11"/>
  <c r="V652" i="11"/>
  <c r="V653" i="11"/>
  <c r="V654" i="11"/>
  <c r="BB71" i="12"/>
  <c r="K664" i="11"/>
  <c r="L664" i="11"/>
  <c r="L665" i="11"/>
  <c r="L666" i="11"/>
  <c r="L667" i="11"/>
  <c r="L668" i="11"/>
  <c r="L669" i="11"/>
  <c r="L670" i="11"/>
  <c r="L671" i="11"/>
  <c r="L673" i="11"/>
  <c r="L674" i="11"/>
  <c r="L675" i="11"/>
  <c r="L676" i="11"/>
  <c r="M664" i="11"/>
  <c r="M665" i="11"/>
  <c r="M666" i="11"/>
  <c r="M667" i="11"/>
  <c r="M668" i="11"/>
  <c r="L677" i="11"/>
  <c r="K678" i="11"/>
  <c r="L678" i="11"/>
  <c r="L679" i="11"/>
  <c r="AR72" i="12"/>
  <c r="M669" i="11"/>
  <c r="M670" i="11"/>
  <c r="M671" i="11"/>
  <c r="M672" i="11"/>
  <c r="M673" i="11"/>
  <c r="M674" i="11"/>
  <c r="M675" i="11"/>
  <c r="M676" i="11"/>
  <c r="N664" i="11"/>
  <c r="N665" i="11"/>
  <c r="N666" i="11"/>
  <c r="N667" i="11"/>
  <c r="N668" i="11"/>
  <c r="M677" i="11"/>
  <c r="M678" i="11"/>
  <c r="M679" i="11"/>
  <c r="AS72" i="12"/>
  <c r="N669" i="11"/>
  <c r="N670" i="11"/>
  <c r="N671" i="11"/>
  <c r="N672" i="11"/>
  <c r="N673" i="11"/>
  <c r="N674" i="11"/>
  <c r="N675" i="11"/>
  <c r="N676" i="11"/>
  <c r="O664" i="11"/>
  <c r="O665" i="11"/>
  <c r="O666" i="11"/>
  <c r="O667" i="11"/>
  <c r="O668" i="11"/>
  <c r="N677" i="11"/>
  <c r="N678" i="11"/>
  <c r="N679" i="11"/>
  <c r="AT72" i="12"/>
  <c r="O669" i="11"/>
  <c r="O670" i="11"/>
  <c r="O671" i="11"/>
  <c r="O672" i="11"/>
  <c r="O673" i="11"/>
  <c r="O674" i="11"/>
  <c r="O675" i="11"/>
  <c r="O676" i="11"/>
  <c r="P664" i="11"/>
  <c r="P665" i="11"/>
  <c r="P666" i="11"/>
  <c r="P667" i="11"/>
  <c r="P668" i="11"/>
  <c r="O677" i="11"/>
  <c r="O678" i="11"/>
  <c r="O679" i="11"/>
  <c r="AU72" i="12"/>
  <c r="P669" i="11"/>
  <c r="P670" i="11"/>
  <c r="P671" i="11"/>
  <c r="P672" i="11"/>
  <c r="P673" i="11"/>
  <c r="P674" i="11"/>
  <c r="P675" i="11"/>
  <c r="P676" i="11"/>
  <c r="Q664" i="11"/>
  <c r="Q665" i="11"/>
  <c r="Q666" i="11"/>
  <c r="Q667" i="11"/>
  <c r="Q668" i="11"/>
  <c r="P677" i="11"/>
  <c r="P678" i="11"/>
  <c r="P679" i="11"/>
  <c r="AV72" i="12"/>
  <c r="Q669" i="11"/>
  <c r="Q670" i="11"/>
  <c r="Q671" i="11"/>
  <c r="Q672" i="11"/>
  <c r="Q673" i="11"/>
  <c r="Q674" i="11"/>
  <c r="Q675" i="11"/>
  <c r="Q676" i="11"/>
  <c r="R664" i="11"/>
  <c r="R665" i="11"/>
  <c r="R666" i="11"/>
  <c r="R667" i="11"/>
  <c r="R668" i="11"/>
  <c r="Q677" i="11"/>
  <c r="Q678" i="11"/>
  <c r="Q679" i="11"/>
  <c r="AW72" i="12"/>
  <c r="R669" i="11"/>
  <c r="R670" i="11"/>
  <c r="R671" i="11"/>
  <c r="R672" i="11"/>
  <c r="R673" i="11"/>
  <c r="R674" i="11"/>
  <c r="R675" i="11"/>
  <c r="R676" i="11"/>
  <c r="S664" i="11"/>
  <c r="S665" i="11"/>
  <c r="S666" i="11"/>
  <c r="S667" i="11"/>
  <c r="S668" i="11"/>
  <c r="R677" i="11"/>
  <c r="R678" i="11"/>
  <c r="R679" i="11"/>
  <c r="AX72" i="12"/>
  <c r="S669" i="11"/>
  <c r="S670" i="11"/>
  <c r="S671" i="11"/>
  <c r="S672" i="11"/>
  <c r="S673" i="11"/>
  <c r="S674" i="11"/>
  <c r="S675" i="11"/>
  <c r="S676" i="11"/>
  <c r="T664" i="11"/>
  <c r="T665" i="11"/>
  <c r="T666" i="11"/>
  <c r="T667" i="11"/>
  <c r="T668" i="11"/>
  <c r="S677" i="11"/>
  <c r="S678" i="11"/>
  <c r="S679" i="11"/>
  <c r="AY72" i="12"/>
  <c r="T669" i="11"/>
  <c r="T670" i="11"/>
  <c r="T671" i="11"/>
  <c r="T672" i="11"/>
  <c r="T673" i="11"/>
  <c r="T674" i="11"/>
  <c r="T675" i="11"/>
  <c r="T676" i="11"/>
  <c r="U664" i="11"/>
  <c r="U665" i="11"/>
  <c r="U666" i="11"/>
  <c r="U667" i="11"/>
  <c r="U668" i="11"/>
  <c r="T677" i="11"/>
  <c r="T678" i="11"/>
  <c r="T679" i="11"/>
  <c r="AZ72" i="12"/>
  <c r="U669" i="11"/>
  <c r="U670" i="11"/>
  <c r="U671" i="11"/>
  <c r="U672" i="11"/>
  <c r="U673" i="11"/>
  <c r="U674" i="11"/>
  <c r="U675" i="11"/>
  <c r="U676" i="11"/>
  <c r="V664" i="11"/>
  <c r="V665" i="11"/>
  <c r="V666" i="11"/>
  <c r="V667" i="11"/>
  <c r="V668" i="11"/>
  <c r="U677" i="11"/>
  <c r="U678" i="11"/>
  <c r="U679" i="11"/>
  <c r="BA72" i="12"/>
  <c r="V669" i="11"/>
  <c r="V670" i="11"/>
  <c r="V671" i="11"/>
  <c r="V672" i="11"/>
  <c r="V673" i="11"/>
  <c r="V674" i="11"/>
  <c r="V675" i="11"/>
  <c r="V676" i="11"/>
  <c r="V677" i="11"/>
  <c r="V678" i="11"/>
  <c r="V679" i="11"/>
  <c r="BB72" i="12"/>
  <c r="K689" i="11"/>
  <c r="L689" i="11"/>
  <c r="L690" i="11"/>
  <c r="L691" i="11"/>
  <c r="L692" i="11"/>
  <c r="L693" i="11"/>
  <c r="L694" i="11"/>
  <c r="L695" i="11"/>
  <c r="L696" i="11"/>
  <c r="L698" i="11"/>
  <c r="L699" i="11"/>
  <c r="L700" i="11"/>
  <c r="L701" i="11"/>
  <c r="M689" i="11"/>
  <c r="M690" i="11"/>
  <c r="M691" i="11"/>
  <c r="M692" i="11"/>
  <c r="M693" i="11"/>
  <c r="L702" i="11"/>
  <c r="K703" i="11"/>
  <c r="L703" i="11"/>
  <c r="L704" i="11"/>
  <c r="AR73" i="12"/>
  <c r="M694" i="11"/>
  <c r="M695" i="11"/>
  <c r="M696" i="11"/>
  <c r="M697" i="11"/>
  <c r="M698" i="11"/>
  <c r="M699" i="11"/>
  <c r="M700" i="11"/>
  <c r="M701" i="11"/>
  <c r="N689" i="11"/>
  <c r="N690" i="11"/>
  <c r="N691" i="11"/>
  <c r="N692" i="11"/>
  <c r="N693" i="11"/>
  <c r="M702" i="11"/>
  <c r="M703" i="11"/>
  <c r="M704" i="11"/>
  <c r="AS73" i="12"/>
  <c r="N694" i="11"/>
  <c r="N695" i="11"/>
  <c r="N696" i="11"/>
  <c r="N697" i="11"/>
  <c r="N698" i="11"/>
  <c r="N699" i="11"/>
  <c r="N700" i="11"/>
  <c r="N701" i="11"/>
  <c r="O689" i="11"/>
  <c r="O690" i="11"/>
  <c r="O691" i="11"/>
  <c r="O692" i="11"/>
  <c r="O693" i="11"/>
  <c r="N702" i="11"/>
  <c r="N703" i="11"/>
  <c r="N704" i="11"/>
  <c r="AT73" i="12"/>
  <c r="O694" i="11"/>
  <c r="O695" i="11"/>
  <c r="O696" i="11"/>
  <c r="O697" i="11"/>
  <c r="O698" i="11"/>
  <c r="O699" i="11"/>
  <c r="O700" i="11"/>
  <c r="O701" i="11"/>
  <c r="P689" i="11"/>
  <c r="P690" i="11"/>
  <c r="P691" i="11"/>
  <c r="P692" i="11"/>
  <c r="P693" i="11"/>
  <c r="O702" i="11"/>
  <c r="O703" i="11"/>
  <c r="O704" i="11"/>
  <c r="AU73" i="12"/>
  <c r="P694" i="11"/>
  <c r="P695" i="11"/>
  <c r="P696" i="11"/>
  <c r="P697" i="11"/>
  <c r="P698" i="11"/>
  <c r="P699" i="11"/>
  <c r="P700" i="11"/>
  <c r="P701" i="11"/>
  <c r="Q689" i="11"/>
  <c r="Q690" i="11"/>
  <c r="Q691" i="11"/>
  <c r="Q692" i="11"/>
  <c r="Q693" i="11"/>
  <c r="P702" i="11"/>
  <c r="P703" i="11"/>
  <c r="P704" i="11"/>
  <c r="AV73" i="12"/>
  <c r="Q694" i="11"/>
  <c r="Q695" i="11"/>
  <c r="Q696" i="11"/>
  <c r="Q697" i="11"/>
  <c r="Q698" i="11"/>
  <c r="Q699" i="11"/>
  <c r="Q700" i="11"/>
  <c r="Q701" i="11"/>
  <c r="R689" i="11"/>
  <c r="R690" i="11"/>
  <c r="R691" i="11"/>
  <c r="R692" i="11"/>
  <c r="R693" i="11"/>
  <c r="Q702" i="11"/>
  <c r="Q703" i="11"/>
  <c r="Q704" i="11"/>
  <c r="AW73" i="12"/>
  <c r="R694" i="11"/>
  <c r="R695" i="11"/>
  <c r="R696" i="11"/>
  <c r="R697" i="11"/>
  <c r="R698" i="11"/>
  <c r="R699" i="11"/>
  <c r="R700" i="11"/>
  <c r="R701" i="11"/>
  <c r="S689" i="11"/>
  <c r="S690" i="11"/>
  <c r="S691" i="11"/>
  <c r="S692" i="11"/>
  <c r="S693" i="11"/>
  <c r="R702" i="11"/>
  <c r="R703" i="11"/>
  <c r="R704" i="11"/>
  <c r="AX73" i="12"/>
  <c r="S694" i="11"/>
  <c r="S695" i="11"/>
  <c r="S696" i="11"/>
  <c r="S697" i="11"/>
  <c r="S698" i="11"/>
  <c r="S699" i="11"/>
  <c r="S700" i="11"/>
  <c r="S701" i="11"/>
  <c r="T689" i="11"/>
  <c r="T690" i="11"/>
  <c r="T691" i="11"/>
  <c r="T692" i="11"/>
  <c r="T693" i="11"/>
  <c r="S702" i="11"/>
  <c r="S703" i="11"/>
  <c r="S704" i="11"/>
  <c r="AY73" i="12"/>
  <c r="T694" i="11"/>
  <c r="T695" i="11"/>
  <c r="T696" i="11"/>
  <c r="T697" i="11"/>
  <c r="T698" i="11"/>
  <c r="T699" i="11"/>
  <c r="T700" i="11"/>
  <c r="T701" i="11"/>
  <c r="U689" i="11"/>
  <c r="U690" i="11"/>
  <c r="U691" i="11"/>
  <c r="U692" i="11"/>
  <c r="U693" i="11"/>
  <c r="T702" i="11"/>
  <c r="T703" i="11"/>
  <c r="T704" i="11"/>
  <c r="AZ73" i="12"/>
  <c r="U694" i="11"/>
  <c r="U695" i="11"/>
  <c r="U696" i="11"/>
  <c r="U697" i="11"/>
  <c r="U698" i="11"/>
  <c r="U699" i="11"/>
  <c r="U700" i="11"/>
  <c r="U701" i="11"/>
  <c r="V689" i="11"/>
  <c r="V690" i="11"/>
  <c r="V691" i="11"/>
  <c r="V692" i="11"/>
  <c r="V693" i="11"/>
  <c r="U702" i="11"/>
  <c r="U703" i="11"/>
  <c r="U704" i="11"/>
  <c r="BA73" i="12"/>
  <c r="V694" i="11"/>
  <c r="V695" i="11"/>
  <c r="V696" i="11"/>
  <c r="V697" i="11"/>
  <c r="V698" i="11"/>
  <c r="V699" i="11"/>
  <c r="V700" i="11"/>
  <c r="V701" i="11"/>
  <c r="V702" i="11"/>
  <c r="V703" i="11"/>
  <c r="V704" i="11"/>
  <c r="BB73" i="12"/>
  <c r="K713" i="11"/>
  <c r="L713" i="11"/>
  <c r="L714" i="11"/>
  <c r="L715" i="11"/>
  <c r="L716" i="11"/>
  <c r="L717" i="11"/>
  <c r="L718" i="11"/>
  <c r="L719" i="11"/>
  <c r="L720" i="11"/>
  <c r="L722" i="11"/>
  <c r="L723" i="11"/>
  <c r="L724" i="11"/>
  <c r="L725" i="11"/>
  <c r="M713" i="11"/>
  <c r="M714" i="11"/>
  <c r="M715" i="11"/>
  <c r="M716" i="11"/>
  <c r="M717" i="11"/>
  <c r="L726" i="11"/>
  <c r="K727" i="11"/>
  <c r="L727" i="11"/>
  <c r="L728" i="11"/>
  <c r="AR74" i="12"/>
  <c r="M718" i="11"/>
  <c r="M719" i="11"/>
  <c r="M720" i="11"/>
  <c r="M721" i="11"/>
  <c r="M722" i="11"/>
  <c r="M723" i="11"/>
  <c r="M724" i="11"/>
  <c r="M725" i="11"/>
  <c r="N713" i="11"/>
  <c r="N714" i="11"/>
  <c r="N715" i="11"/>
  <c r="N716" i="11"/>
  <c r="N717" i="11"/>
  <c r="M726" i="11"/>
  <c r="M727" i="11"/>
  <c r="M728" i="11"/>
  <c r="AS74" i="12"/>
  <c r="N718" i="11"/>
  <c r="N719" i="11"/>
  <c r="N720" i="11"/>
  <c r="N721" i="11"/>
  <c r="N722" i="11"/>
  <c r="N723" i="11"/>
  <c r="N724" i="11"/>
  <c r="N725" i="11"/>
  <c r="O713" i="11"/>
  <c r="O714" i="11"/>
  <c r="O715" i="11"/>
  <c r="O716" i="11"/>
  <c r="O717" i="11"/>
  <c r="N726" i="11"/>
  <c r="N727" i="11"/>
  <c r="N728" i="11"/>
  <c r="AT74" i="12"/>
  <c r="O718" i="11"/>
  <c r="O719" i="11"/>
  <c r="O720" i="11"/>
  <c r="O721" i="11"/>
  <c r="O722" i="11"/>
  <c r="O723" i="11"/>
  <c r="O724" i="11"/>
  <c r="O725" i="11"/>
  <c r="P713" i="11"/>
  <c r="P714" i="11"/>
  <c r="P715" i="11"/>
  <c r="P716" i="11"/>
  <c r="P717" i="11"/>
  <c r="O726" i="11"/>
  <c r="O727" i="11"/>
  <c r="O728" i="11"/>
  <c r="AU74" i="12"/>
  <c r="P718" i="11"/>
  <c r="P719" i="11"/>
  <c r="P720" i="11"/>
  <c r="P721" i="11"/>
  <c r="P722" i="11"/>
  <c r="P723" i="11"/>
  <c r="P724" i="11"/>
  <c r="P725" i="11"/>
  <c r="Q713" i="11"/>
  <c r="Q714" i="11"/>
  <c r="Q715" i="11"/>
  <c r="Q716" i="11"/>
  <c r="Q717" i="11"/>
  <c r="P726" i="11"/>
  <c r="P727" i="11"/>
  <c r="P728" i="11"/>
  <c r="AV74" i="12"/>
  <c r="Q718" i="11"/>
  <c r="Q719" i="11"/>
  <c r="Q720" i="11"/>
  <c r="Q721" i="11"/>
  <c r="Q722" i="11"/>
  <c r="Q723" i="11"/>
  <c r="Q724" i="11"/>
  <c r="Q725" i="11"/>
  <c r="R713" i="11"/>
  <c r="R714" i="11"/>
  <c r="R715" i="11"/>
  <c r="R716" i="11"/>
  <c r="R717" i="11"/>
  <c r="Q726" i="11"/>
  <c r="Q727" i="11"/>
  <c r="Q728" i="11"/>
  <c r="AW74" i="12"/>
  <c r="R718" i="11"/>
  <c r="R719" i="11"/>
  <c r="R720" i="11"/>
  <c r="R721" i="11"/>
  <c r="R722" i="11"/>
  <c r="R723" i="11"/>
  <c r="R724" i="11"/>
  <c r="R725" i="11"/>
  <c r="S713" i="11"/>
  <c r="S714" i="11"/>
  <c r="S715" i="11"/>
  <c r="S716" i="11"/>
  <c r="S717" i="11"/>
  <c r="R726" i="11"/>
  <c r="R727" i="11"/>
  <c r="R728" i="11"/>
  <c r="AX74" i="12"/>
  <c r="S718" i="11"/>
  <c r="S719" i="11"/>
  <c r="S720" i="11"/>
  <c r="S721" i="11"/>
  <c r="S722" i="11"/>
  <c r="S723" i="11"/>
  <c r="S724" i="11"/>
  <c r="S725" i="11"/>
  <c r="T713" i="11"/>
  <c r="T714" i="11"/>
  <c r="T715" i="11"/>
  <c r="T716" i="11"/>
  <c r="T717" i="11"/>
  <c r="S726" i="11"/>
  <c r="S727" i="11"/>
  <c r="S728" i="11"/>
  <c r="AY74" i="12"/>
  <c r="T718" i="11"/>
  <c r="T719" i="11"/>
  <c r="T720" i="11"/>
  <c r="T721" i="11"/>
  <c r="T722" i="11"/>
  <c r="T723" i="11"/>
  <c r="T724" i="11"/>
  <c r="T725" i="11"/>
  <c r="U713" i="11"/>
  <c r="U714" i="11"/>
  <c r="U715" i="11"/>
  <c r="U716" i="11"/>
  <c r="U717" i="11"/>
  <c r="T726" i="11"/>
  <c r="T727" i="11"/>
  <c r="T728" i="11"/>
  <c r="AZ74" i="12"/>
  <c r="U718" i="11"/>
  <c r="U719" i="11"/>
  <c r="U720" i="11"/>
  <c r="U721" i="11"/>
  <c r="U722" i="11"/>
  <c r="U723" i="11"/>
  <c r="U724" i="11"/>
  <c r="U725" i="11"/>
  <c r="V713" i="11"/>
  <c r="V714" i="11"/>
  <c r="V715" i="11"/>
  <c r="V716" i="11"/>
  <c r="V717" i="11"/>
  <c r="U726" i="11"/>
  <c r="U727" i="11"/>
  <c r="U728" i="11"/>
  <c r="BA74" i="12"/>
  <c r="V718" i="11"/>
  <c r="V719" i="11"/>
  <c r="V720" i="11"/>
  <c r="V721" i="11"/>
  <c r="V722" i="11"/>
  <c r="V723" i="11"/>
  <c r="V724" i="11"/>
  <c r="V725" i="11"/>
  <c r="V726" i="11"/>
  <c r="V727" i="11"/>
  <c r="V728" i="11"/>
  <c r="BB74" i="12"/>
  <c r="K738" i="11"/>
  <c r="L738" i="11"/>
  <c r="L739" i="11"/>
  <c r="L740" i="11"/>
  <c r="L741" i="11"/>
  <c r="L742" i="11"/>
  <c r="L743" i="11"/>
  <c r="L744" i="11"/>
  <c r="L745" i="11"/>
  <c r="L747" i="11"/>
  <c r="L748" i="11"/>
  <c r="L749" i="11"/>
  <c r="L750" i="11"/>
  <c r="M738" i="11"/>
  <c r="M739" i="11"/>
  <c r="M740" i="11"/>
  <c r="M741" i="11"/>
  <c r="M742" i="11"/>
  <c r="L751" i="11"/>
  <c r="K752" i="11"/>
  <c r="L752" i="11"/>
  <c r="L753" i="11"/>
  <c r="AR75" i="12"/>
  <c r="M743" i="11"/>
  <c r="M744" i="11"/>
  <c r="M745" i="11"/>
  <c r="M746" i="11"/>
  <c r="M747" i="11"/>
  <c r="M748" i="11"/>
  <c r="M749" i="11"/>
  <c r="M750" i="11"/>
  <c r="N738" i="11"/>
  <c r="N739" i="11"/>
  <c r="N740" i="11"/>
  <c r="N741" i="11"/>
  <c r="N742" i="11"/>
  <c r="M751" i="11"/>
  <c r="M752" i="11"/>
  <c r="M753" i="11"/>
  <c r="AS75" i="12"/>
  <c r="N743" i="11"/>
  <c r="N744" i="11"/>
  <c r="N745" i="11"/>
  <c r="N746" i="11"/>
  <c r="N747" i="11"/>
  <c r="N748" i="11"/>
  <c r="N749" i="11"/>
  <c r="N750" i="11"/>
  <c r="O738" i="11"/>
  <c r="O739" i="11"/>
  <c r="O740" i="11"/>
  <c r="O741" i="11"/>
  <c r="O742" i="11"/>
  <c r="N751" i="11"/>
  <c r="N752" i="11"/>
  <c r="N753" i="11"/>
  <c r="AT75" i="12"/>
  <c r="O743" i="11"/>
  <c r="O744" i="11"/>
  <c r="O745" i="11"/>
  <c r="O746" i="11"/>
  <c r="O747" i="11"/>
  <c r="O748" i="11"/>
  <c r="O749" i="11"/>
  <c r="O750" i="11"/>
  <c r="P738" i="11"/>
  <c r="P739" i="11"/>
  <c r="P740" i="11"/>
  <c r="P741" i="11"/>
  <c r="P742" i="11"/>
  <c r="O751" i="11"/>
  <c r="O752" i="11"/>
  <c r="O753" i="11"/>
  <c r="AU75" i="12"/>
  <c r="P743" i="11"/>
  <c r="P744" i="11"/>
  <c r="P745" i="11"/>
  <c r="P746" i="11"/>
  <c r="P747" i="11"/>
  <c r="P748" i="11"/>
  <c r="P749" i="11"/>
  <c r="P750" i="11"/>
  <c r="Q738" i="11"/>
  <c r="Q739" i="11"/>
  <c r="Q740" i="11"/>
  <c r="Q741" i="11"/>
  <c r="Q742" i="11"/>
  <c r="P751" i="11"/>
  <c r="P752" i="11"/>
  <c r="P753" i="11"/>
  <c r="AV75" i="12"/>
  <c r="Q743" i="11"/>
  <c r="Q744" i="11"/>
  <c r="Q745" i="11"/>
  <c r="Q746" i="11"/>
  <c r="Q747" i="11"/>
  <c r="Q748" i="11"/>
  <c r="Q749" i="11"/>
  <c r="Q750" i="11"/>
  <c r="R738" i="11"/>
  <c r="R739" i="11"/>
  <c r="R740" i="11"/>
  <c r="R741" i="11"/>
  <c r="R742" i="11"/>
  <c r="Q751" i="11"/>
  <c r="Q752" i="11"/>
  <c r="Q753" i="11"/>
  <c r="AW75" i="12"/>
  <c r="R743" i="11"/>
  <c r="R744" i="11"/>
  <c r="R745" i="11"/>
  <c r="R746" i="11"/>
  <c r="R747" i="11"/>
  <c r="R748" i="11"/>
  <c r="R749" i="11"/>
  <c r="R750" i="11"/>
  <c r="S738" i="11"/>
  <c r="S739" i="11"/>
  <c r="S740" i="11"/>
  <c r="S741" i="11"/>
  <c r="S742" i="11"/>
  <c r="R751" i="11"/>
  <c r="R752" i="11"/>
  <c r="R753" i="11"/>
  <c r="AX75" i="12"/>
  <c r="S743" i="11"/>
  <c r="S744" i="11"/>
  <c r="S745" i="11"/>
  <c r="S746" i="11"/>
  <c r="S747" i="11"/>
  <c r="S748" i="11"/>
  <c r="S749" i="11"/>
  <c r="S750" i="11"/>
  <c r="T738" i="11"/>
  <c r="T739" i="11"/>
  <c r="T740" i="11"/>
  <c r="T741" i="11"/>
  <c r="T742" i="11"/>
  <c r="S751" i="11"/>
  <c r="S752" i="11"/>
  <c r="S753" i="11"/>
  <c r="AY75" i="12"/>
  <c r="T743" i="11"/>
  <c r="T744" i="11"/>
  <c r="T745" i="11"/>
  <c r="T746" i="11"/>
  <c r="T747" i="11"/>
  <c r="T748" i="11"/>
  <c r="T749" i="11"/>
  <c r="T750" i="11"/>
  <c r="U738" i="11"/>
  <c r="U739" i="11"/>
  <c r="U740" i="11"/>
  <c r="U741" i="11"/>
  <c r="U742" i="11"/>
  <c r="T751" i="11"/>
  <c r="T752" i="11"/>
  <c r="T753" i="11"/>
  <c r="AZ75" i="12"/>
  <c r="U743" i="11"/>
  <c r="U744" i="11"/>
  <c r="U745" i="11"/>
  <c r="U746" i="11"/>
  <c r="U747" i="11"/>
  <c r="U748" i="11"/>
  <c r="U749" i="11"/>
  <c r="U750" i="11"/>
  <c r="V738" i="11"/>
  <c r="V739" i="11"/>
  <c r="V740" i="11"/>
  <c r="V741" i="11"/>
  <c r="V742" i="11"/>
  <c r="U751" i="11"/>
  <c r="U752" i="11"/>
  <c r="U753" i="11"/>
  <c r="BA75" i="12"/>
  <c r="V743" i="11"/>
  <c r="V744" i="11"/>
  <c r="V745" i="11"/>
  <c r="V746" i="11"/>
  <c r="V747" i="11"/>
  <c r="V748" i="11"/>
  <c r="V749" i="11"/>
  <c r="V750" i="11"/>
  <c r="V751" i="11"/>
  <c r="V752" i="11"/>
  <c r="V753" i="11"/>
  <c r="BB75" i="12"/>
  <c r="K762" i="11"/>
  <c r="L762" i="11"/>
  <c r="L763" i="11"/>
  <c r="L764" i="11"/>
  <c r="L765" i="11"/>
  <c r="L766" i="11"/>
  <c r="L767" i="11"/>
  <c r="L768" i="11"/>
  <c r="L769" i="11"/>
  <c r="L771" i="11"/>
  <c r="L772" i="11"/>
  <c r="L773" i="11"/>
  <c r="L774" i="11"/>
  <c r="M762" i="11"/>
  <c r="M763" i="11"/>
  <c r="M764" i="11"/>
  <c r="M765" i="11"/>
  <c r="M766" i="11"/>
  <c r="L775" i="11"/>
  <c r="K776" i="11"/>
  <c r="L776" i="11"/>
  <c r="L777" i="11"/>
  <c r="AR76" i="12"/>
  <c r="M767" i="11"/>
  <c r="M768" i="11"/>
  <c r="M769" i="11"/>
  <c r="M770" i="11"/>
  <c r="M771" i="11"/>
  <c r="M772" i="11"/>
  <c r="M773" i="11"/>
  <c r="M774" i="11"/>
  <c r="N762" i="11"/>
  <c r="N763" i="11"/>
  <c r="N764" i="11"/>
  <c r="N765" i="11"/>
  <c r="N766" i="11"/>
  <c r="M775" i="11"/>
  <c r="M776" i="11"/>
  <c r="M777" i="11"/>
  <c r="AS76" i="12"/>
  <c r="N767" i="11"/>
  <c r="N768" i="11"/>
  <c r="N769" i="11"/>
  <c r="N770" i="11"/>
  <c r="N771" i="11"/>
  <c r="N772" i="11"/>
  <c r="N773" i="11"/>
  <c r="N774" i="11"/>
  <c r="O762" i="11"/>
  <c r="O763" i="11"/>
  <c r="O764" i="11"/>
  <c r="O765" i="11"/>
  <c r="O766" i="11"/>
  <c r="N775" i="11"/>
  <c r="N776" i="11"/>
  <c r="N777" i="11"/>
  <c r="AT76" i="12"/>
  <c r="O767" i="11"/>
  <c r="O768" i="11"/>
  <c r="O769" i="11"/>
  <c r="O770" i="11"/>
  <c r="O771" i="11"/>
  <c r="O772" i="11"/>
  <c r="O773" i="11"/>
  <c r="O774" i="11"/>
  <c r="P762" i="11"/>
  <c r="P763" i="11"/>
  <c r="P764" i="11"/>
  <c r="P765" i="11"/>
  <c r="P766" i="11"/>
  <c r="O775" i="11"/>
  <c r="O776" i="11"/>
  <c r="O777" i="11"/>
  <c r="AU76" i="12"/>
  <c r="P767" i="11"/>
  <c r="P768" i="11"/>
  <c r="P769" i="11"/>
  <c r="P770" i="11"/>
  <c r="P771" i="11"/>
  <c r="P772" i="11"/>
  <c r="P773" i="11"/>
  <c r="P774" i="11"/>
  <c r="Q762" i="11"/>
  <c r="Q763" i="11"/>
  <c r="Q764" i="11"/>
  <c r="Q765" i="11"/>
  <c r="Q766" i="11"/>
  <c r="P775" i="11"/>
  <c r="P776" i="11"/>
  <c r="P777" i="11"/>
  <c r="AV76" i="12"/>
  <c r="Q767" i="11"/>
  <c r="Q768" i="11"/>
  <c r="Q769" i="11"/>
  <c r="Q770" i="11"/>
  <c r="Q771" i="11"/>
  <c r="Q772" i="11"/>
  <c r="Q773" i="11"/>
  <c r="Q774" i="11"/>
  <c r="R762" i="11"/>
  <c r="R763" i="11"/>
  <c r="R764" i="11"/>
  <c r="R765" i="11"/>
  <c r="R766" i="11"/>
  <c r="Q775" i="11"/>
  <c r="Q776" i="11"/>
  <c r="Q777" i="11"/>
  <c r="AW76" i="12"/>
  <c r="R767" i="11"/>
  <c r="R768" i="11"/>
  <c r="R769" i="11"/>
  <c r="R770" i="11"/>
  <c r="R771" i="11"/>
  <c r="R772" i="11"/>
  <c r="R773" i="11"/>
  <c r="R774" i="11"/>
  <c r="S762" i="11"/>
  <c r="S763" i="11"/>
  <c r="S764" i="11"/>
  <c r="S765" i="11"/>
  <c r="S766" i="11"/>
  <c r="R775" i="11"/>
  <c r="R776" i="11"/>
  <c r="R777" i="11"/>
  <c r="AX76" i="12"/>
  <c r="S767" i="11"/>
  <c r="S768" i="11"/>
  <c r="S769" i="11"/>
  <c r="S770" i="11"/>
  <c r="S771" i="11"/>
  <c r="S772" i="11"/>
  <c r="S773" i="11"/>
  <c r="S774" i="11"/>
  <c r="T762" i="11"/>
  <c r="T763" i="11"/>
  <c r="T764" i="11"/>
  <c r="T765" i="11"/>
  <c r="T766" i="11"/>
  <c r="S775" i="11"/>
  <c r="S776" i="11"/>
  <c r="S777" i="11"/>
  <c r="AY76" i="12"/>
  <c r="T767" i="11"/>
  <c r="T768" i="11"/>
  <c r="T769" i="11"/>
  <c r="T770" i="11"/>
  <c r="T771" i="11"/>
  <c r="T772" i="11"/>
  <c r="T773" i="11"/>
  <c r="T774" i="11"/>
  <c r="U762" i="11"/>
  <c r="U763" i="11"/>
  <c r="U764" i="11"/>
  <c r="U765" i="11"/>
  <c r="U766" i="11"/>
  <c r="T775" i="11"/>
  <c r="T776" i="11"/>
  <c r="T777" i="11"/>
  <c r="AZ76" i="12"/>
  <c r="U767" i="11"/>
  <c r="U768" i="11"/>
  <c r="U769" i="11"/>
  <c r="U770" i="11"/>
  <c r="U771" i="11"/>
  <c r="U772" i="11"/>
  <c r="U773" i="11"/>
  <c r="U774" i="11"/>
  <c r="V762" i="11"/>
  <c r="V763" i="11"/>
  <c r="V764" i="11"/>
  <c r="V765" i="11"/>
  <c r="V766" i="11"/>
  <c r="U775" i="11"/>
  <c r="U776" i="11"/>
  <c r="U777" i="11"/>
  <c r="BA76" i="12"/>
  <c r="V767" i="11"/>
  <c r="V768" i="11"/>
  <c r="V769" i="11"/>
  <c r="V770" i="11"/>
  <c r="V771" i="11"/>
  <c r="V772" i="11"/>
  <c r="V773" i="11"/>
  <c r="V774" i="11"/>
  <c r="V775" i="11"/>
  <c r="V776" i="11"/>
  <c r="V777" i="11"/>
  <c r="BB76" i="12"/>
  <c r="K786" i="11"/>
  <c r="L786" i="11"/>
  <c r="L787" i="11"/>
  <c r="L788" i="11"/>
  <c r="L789" i="11"/>
  <c r="L790" i="11"/>
  <c r="L791" i="11"/>
  <c r="L792" i="11"/>
  <c r="L793" i="11"/>
  <c r="L795" i="11"/>
  <c r="L796" i="11"/>
  <c r="L797" i="11"/>
  <c r="L798" i="11"/>
  <c r="M786" i="11"/>
  <c r="M787" i="11"/>
  <c r="M788" i="11"/>
  <c r="M789" i="11"/>
  <c r="M790" i="11"/>
  <c r="L799" i="11"/>
  <c r="K800" i="11"/>
  <c r="L800" i="11"/>
  <c r="L801" i="11"/>
  <c r="AR77" i="12"/>
  <c r="M791" i="11"/>
  <c r="M792" i="11"/>
  <c r="M793" i="11"/>
  <c r="M794" i="11"/>
  <c r="M795" i="11"/>
  <c r="M796" i="11"/>
  <c r="M797" i="11"/>
  <c r="M798" i="11"/>
  <c r="N786" i="11"/>
  <c r="N787" i="11"/>
  <c r="N788" i="11"/>
  <c r="N789" i="11"/>
  <c r="N790" i="11"/>
  <c r="M799" i="11"/>
  <c r="M800" i="11"/>
  <c r="M801" i="11"/>
  <c r="AS77" i="12"/>
  <c r="N791" i="11"/>
  <c r="N792" i="11"/>
  <c r="N793" i="11"/>
  <c r="N794" i="11"/>
  <c r="N795" i="11"/>
  <c r="N796" i="11"/>
  <c r="N797" i="11"/>
  <c r="N798" i="11"/>
  <c r="O786" i="11"/>
  <c r="O787" i="11"/>
  <c r="O788" i="11"/>
  <c r="O789" i="11"/>
  <c r="O790" i="11"/>
  <c r="N799" i="11"/>
  <c r="N800" i="11"/>
  <c r="N801" i="11"/>
  <c r="AT77" i="12"/>
  <c r="O791" i="11"/>
  <c r="O792" i="11"/>
  <c r="O793" i="11"/>
  <c r="O794" i="11"/>
  <c r="O795" i="11"/>
  <c r="O796" i="11"/>
  <c r="O797" i="11"/>
  <c r="O798" i="11"/>
  <c r="P786" i="11"/>
  <c r="P787" i="11"/>
  <c r="P788" i="11"/>
  <c r="P789" i="11"/>
  <c r="P790" i="11"/>
  <c r="O799" i="11"/>
  <c r="O800" i="11"/>
  <c r="O801" i="11"/>
  <c r="AU77" i="12"/>
  <c r="P791" i="11"/>
  <c r="P792" i="11"/>
  <c r="P793" i="11"/>
  <c r="P794" i="11"/>
  <c r="P795" i="11"/>
  <c r="P796" i="11"/>
  <c r="P797" i="11"/>
  <c r="P798" i="11"/>
  <c r="Q786" i="11"/>
  <c r="Q787" i="11"/>
  <c r="Q788" i="11"/>
  <c r="Q789" i="11"/>
  <c r="Q790" i="11"/>
  <c r="P799" i="11"/>
  <c r="P800" i="11"/>
  <c r="P801" i="11"/>
  <c r="AV77" i="12"/>
  <c r="Q791" i="11"/>
  <c r="Q792" i="11"/>
  <c r="Q793" i="11"/>
  <c r="Q794" i="11"/>
  <c r="Q795" i="11"/>
  <c r="Q796" i="11"/>
  <c r="Q797" i="11"/>
  <c r="Q798" i="11"/>
  <c r="R786" i="11"/>
  <c r="R787" i="11"/>
  <c r="R788" i="11"/>
  <c r="R789" i="11"/>
  <c r="R790" i="11"/>
  <c r="Q799" i="11"/>
  <c r="Q800" i="11"/>
  <c r="Q801" i="11"/>
  <c r="AW77" i="12"/>
  <c r="R791" i="11"/>
  <c r="R792" i="11"/>
  <c r="R793" i="11"/>
  <c r="R794" i="11"/>
  <c r="R795" i="11"/>
  <c r="R796" i="11"/>
  <c r="R797" i="11"/>
  <c r="R798" i="11"/>
  <c r="S786" i="11"/>
  <c r="S787" i="11"/>
  <c r="S788" i="11"/>
  <c r="S789" i="11"/>
  <c r="S790" i="11"/>
  <c r="R799" i="11"/>
  <c r="R800" i="11"/>
  <c r="R801" i="11"/>
  <c r="AX77" i="12"/>
  <c r="S791" i="11"/>
  <c r="S792" i="11"/>
  <c r="S793" i="11"/>
  <c r="S794" i="11"/>
  <c r="S795" i="11"/>
  <c r="S796" i="11"/>
  <c r="S797" i="11"/>
  <c r="S798" i="11"/>
  <c r="T786" i="11"/>
  <c r="T787" i="11"/>
  <c r="T788" i="11"/>
  <c r="T789" i="11"/>
  <c r="T790" i="11"/>
  <c r="S799" i="11"/>
  <c r="S800" i="11"/>
  <c r="S801" i="11"/>
  <c r="AY77" i="12"/>
  <c r="T791" i="11"/>
  <c r="T792" i="11"/>
  <c r="T793" i="11"/>
  <c r="T794" i="11"/>
  <c r="T795" i="11"/>
  <c r="T796" i="11"/>
  <c r="T797" i="11"/>
  <c r="T798" i="11"/>
  <c r="U786" i="11"/>
  <c r="U787" i="11"/>
  <c r="U788" i="11"/>
  <c r="U789" i="11"/>
  <c r="U790" i="11"/>
  <c r="T799" i="11"/>
  <c r="T800" i="11"/>
  <c r="T801" i="11"/>
  <c r="AZ77" i="12"/>
  <c r="U791" i="11"/>
  <c r="U792" i="11"/>
  <c r="U793" i="11"/>
  <c r="U794" i="11"/>
  <c r="U795" i="11"/>
  <c r="U796" i="11"/>
  <c r="U797" i="11"/>
  <c r="U798" i="11"/>
  <c r="V786" i="11"/>
  <c r="V787" i="11"/>
  <c r="V788" i="11"/>
  <c r="V789" i="11"/>
  <c r="V790" i="11"/>
  <c r="U799" i="11"/>
  <c r="U800" i="11"/>
  <c r="U801" i="11"/>
  <c r="BA77" i="12"/>
  <c r="V791" i="11"/>
  <c r="V792" i="11"/>
  <c r="V793" i="11"/>
  <c r="V794" i="11"/>
  <c r="V795" i="11"/>
  <c r="V796" i="11"/>
  <c r="V797" i="11"/>
  <c r="V798" i="11"/>
  <c r="V799" i="11"/>
  <c r="V800" i="11"/>
  <c r="V801" i="11"/>
  <c r="BB77" i="12"/>
  <c r="K810" i="11"/>
  <c r="L810" i="11"/>
  <c r="L811" i="11"/>
  <c r="L812" i="11"/>
  <c r="L813" i="11"/>
  <c r="L814" i="11"/>
  <c r="L815" i="11"/>
  <c r="L816" i="11"/>
  <c r="L817" i="11"/>
  <c r="L819" i="11"/>
  <c r="L820" i="11"/>
  <c r="L821" i="11"/>
  <c r="L822" i="11"/>
  <c r="M810" i="11"/>
  <c r="M811" i="11"/>
  <c r="M812" i="11"/>
  <c r="M813" i="11"/>
  <c r="M814" i="11"/>
  <c r="L823" i="11"/>
  <c r="K824" i="11"/>
  <c r="L824" i="11"/>
  <c r="L825" i="11"/>
  <c r="AR78" i="12"/>
  <c r="M815" i="11"/>
  <c r="M816" i="11"/>
  <c r="M817" i="11"/>
  <c r="M818" i="11"/>
  <c r="M819" i="11"/>
  <c r="M820" i="11"/>
  <c r="M821" i="11"/>
  <c r="M822" i="11"/>
  <c r="N810" i="11"/>
  <c r="N811" i="11"/>
  <c r="N812" i="11"/>
  <c r="N813" i="11"/>
  <c r="N814" i="11"/>
  <c r="M823" i="11"/>
  <c r="M824" i="11"/>
  <c r="M825" i="11"/>
  <c r="AS78" i="12"/>
  <c r="N815" i="11"/>
  <c r="N816" i="11"/>
  <c r="N817" i="11"/>
  <c r="N818" i="11"/>
  <c r="N819" i="11"/>
  <c r="N820" i="11"/>
  <c r="N821" i="11"/>
  <c r="N822" i="11"/>
  <c r="O810" i="11"/>
  <c r="O811" i="11"/>
  <c r="O812" i="11"/>
  <c r="O813" i="11"/>
  <c r="O814" i="11"/>
  <c r="N823" i="11"/>
  <c r="N824" i="11"/>
  <c r="N825" i="11"/>
  <c r="AT78" i="12"/>
  <c r="O815" i="11"/>
  <c r="O816" i="11"/>
  <c r="O817" i="11"/>
  <c r="O818" i="11"/>
  <c r="O819" i="11"/>
  <c r="O820" i="11"/>
  <c r="O821" i="11"/>
  <c r="O822" i="11"/>
  <c r="P810" i="11"/>
  <c r="P811" i="11"/>
  <c r="P812" i="11"/>
  <c r="P813" i="11"/>
  <c r="P814" i="11"/>
  <c r="O823" i="11"/>
  <c r="O824" i="11"/>
  <c r="O825" i="11"/>
  <c r="AU78" i="12"/>
  <c r="P815" i="11"/>
  <c r="P816" i="11"/>
  <c r="P817" i="11"/>
  <c r="P818" i="11"/>
  <c r="P819" i="11"/>
  <c r="P820" i="11"/>
  <c r="P821" i="11"/>
  <c r="P822" i="11"/>
  <c r="Q810" i="11"/>
  <c r="Q811" i="11"/>
  <c r="Q812" i="11"/>
  <c r="Q813" i="11"/>
  <c r="Q814" i="11"/>
  <c r="P823" i="11"/>
  <c r="P824" i="11"/>
  <c r="P825" i="11"/>
  <c r="AV78" i="12"/>
  <c r="Q815" i="11"/>
  <c r="Q816" i="11"/>
  <c r="Q817" i="11"/>
  <c r="Q818" i="11"/>
  <c r="Q819" i="11"/>
  <c r="Q820" i="11"/>
  <c r="Q821" i="11"/>
  <c r="Q822" i="11"/>
  <c r="R810" i="11"/>
  <c r="R811" i="11"/>
  <c r="R812" i="11"/>
  <c r="R813" i="11"/>
  <c r="R814" i="11"/>
  <c r="Q823" i="11"/>
  <c r="Q824" i="11"/>
  <c r="Q825" i="11"/>
  <c r="AW78" i="12"/>
  <c r="R815" i="11"/>
  <c r="R816" i="11"/>
  <c r="R817" i="11"/>
  <c r="R818" i="11"/>
  <c r="R819" i="11"/>
  <c r="R820" i="11"/>
  <c r="R821" i="11"/>
  <c r="R822" i="11"/>
  <c r="S810" i="11"/>
  <c r="S811" i="11"/>
  <c r="S812" i="11"/>
  <c r="S813" i="11"/>
  <c r="S814" i="11"/>
  <c r="R823" i="11"/>
  <c r="R824" i="11"/>
  <c r="R825" i="11"/>
  <c r="AX78" i="12"/>
  <c r="S815" i="11"/>
  <c r="S816" i="11"/>
  <c r="S817" i="11"/>
  <c r="S818" i="11"/>
  <c r="S819" i="11"/>
  <c r="S820" i="11"/>
  <c r="S821" i="11"/>
  <c r="S822" i="11"/>
  <c r="T810" i="11"/>
  <c r="T811" i="11"/>
  <c r="T812" i="11"/>
  <c r="T813" i="11"/>
  <c r="T814" i="11"/>
  <c r="S823" i="11"/>
  <c r="S824" i="11"/>
  <c r="S825" i="11"/>
  <c r="AY78" i="12"/>
  <c r="T815" i="11"/>
  <c r="T816" i="11"/>
  <c r="T817" i="11"/>
  <c r="T818" i="11"/>
  <c r="T819" i="11"/>
  <c r="T820" i="11"/>
  <c r="T821" i="11"/>
  <c r="T822" i="11"/>
  <c r="U810" i="11"/>
  <c r="U811" i="11"/>
  <c r="U812" i="11"/>
  <c r="U813" i="11"/>
  <c r="U814" i="11"/>
  <c r="T823" i="11"/>
  <c r="T824" i="11"/>
  <c r="T825" i="11"/>
  <c r="AZ78" i="12"/>
  <c r="U815" i="11"/>
  <c r="U816" i="11"/>
  <c r="U817" i="11"/>
  <c r="U818" i="11"/>
  <c r="U819" i="11"/>
  <c r="U820" i="11"/>
  <c r="U821" i="11"/>
  <c r="U822" i="11"/>
  <c r="V810" i="11"/>
  <c r="V811" i="11"/>
  <c r="V812" i="11"/>
  <c r="V813" i="11"/>
  <c r="V814" i="11"/>
  <c r="U823" i="11"/>
  <c r="U824" i="11"/>
  <c r="U825" i="11"/>
  <c r="BA78" i="12"/>
  <c r="V815" i="11"/>
  <c r="V816" i="11"/>
  <c r="V817" i="11"/>
  <c r="V818" i="11"/>
  <c r="V819" i="11"/>
  <c r="V820" i="11"/>
  <c r="V821" i="11"/>
  <c r="V822" i="11"/>
  <c r="V823" i="11"/>
  <c r="V824" i="11"/>
  <c r="V825" i="11"/>
  <c r="BB78" i="12"/>
  <c r="K833" i="11"/>
  <c r="L833" i="11"/>
  <c r="L834" i="11"/>
  <c r="L835" i="11"/>
  <c r="L836" i="11"/>
  <c r="L837" i="11"/>
  <c r="L838" i="11"/>
  <c r="L839" i="11"/>
  <c r="L840" i="11"/>
  <c r="L842" i="11"/>
  <c r="L843" i="11"/>
  <c r="L844" i="11"/>
  <c r="L845" i="11"/>
  <c r="M833" i="11"/>
  <c r="M834" i="11"/>
  <c r="M835" i="11"/>
  <c r="M836" i="11"/>
  <c r="M837" i="11"/>
  <c r="L846" i="11"/>
  <c r="K847" i="11"/>
  <c r="L847" i="11"/>
  <c r="L848" i="11"/>
  <c r="AR79" i="12"/>
  <c r="M838" i="11"/>
  <c r="M839" i="11"/>
  <c r="M840" i="11"/>
  <c r="M841" i="11"/>
  <c r="M842" i="11"/>
  <c r="M843" i="11"/>
  <c r="M844" i="11"/>
  <c r="M845" i="11"/>
  <c r="N833" i="11"/>
  <c r="N834" i="11"/>
  <c r="N835" i="11"/>
  <c r="N836" i="11"/>
  <c r="N837" i="11"/>
  <c r="M846" i="11"/>
  <c r="M847" i="11"/>
  <c r="M848" i="11"/>
  <c r="AS79" i="12"/>
  <c r="N838" i="11"/>
  <c r="N839" i="11"/>
  <c r="N840" i="11"/>
  <c r="N841" i="11"/>
  <c r="N842" i="11"/>
  <c r="N843" i="11"/>
  <c r="N844" i="11"/>
  <c r="N845" i="11"/>
  <c r="O833" i="11"/>
  <c r="O834" i="11"/>
  <c r="O835" i="11"/>
  <c r="O836" i="11"/>
  <c r="O837" i="11"/>
  <c r="N846" i="11"/>
  <c r="N847" i="11"/>
  <c r="N848" i="11"/>
  <c r="AT79" i="12"/>
  <c r="O838" i="11"/>
  <c r="O839" i="11"/>
  <c r="O840" i="11"/>
  <c r="O841" i="11"/>
  <c r="O842" i="11"/>
  <c r="O843" i="11"/>
  <c r="O844" i="11"/>
  <c r="O845" i="11"/>
  <c r="P833" i="11"/>
  <c r="P834" i="11"/>
  <c r="P835" i="11"/>
  <c r="P836" i="11"/>
  <c r="P837" i="11"/>
  <c r="O846" i="11"/>
  <c r="O847" i="11"/>
  <c r="O848" i="11"/>
  <c r="AU79" i="12"/>
  <c r="P838" i="11"/>
  <c r="P839" i="11"/>
  <c r="P840" i="11"/>
  <c r="P841" i="11"/>
  <c r="P842" i="11"/>
  <c r="P843" i="11"/>
  <c r="P844" i="11"/>
  <c r="P845" i="11"/>
  <c r="Q833" i="11"/>
  <c r="Q834" i="11"/>
  <c r="Q835" i="11"/>
  <c r="Q836" i="11"/>
  <c r="Q837" i="11"/>
  <c r="P846" i="11"/>
  <c r="P847" i="11"/>
  <c r="P848" i="11"/>
  <c r="AV79" i="12"/>
  <c r="Q838" i="11"/>
  <c r="Q839" i="11"/>
  <c r="Q840" i="11"/>
  <c r="Q841" i="11"/>
  <c r="Q842" i="11"/>
  <c r="Q843" i="11"/>
  <c r="Q844" i="11"/>
  <c r="Q845" i="11"/>
  <c r="R833" i="11"/>
  <c r="R834" i="11"/>
  <c r="R835" i="11"/>
  <c r="R836" i="11"/>
  <c r="R837" i="11"/>
  <c r="Q846" i="11"/>
  <c r="Q847" i="11"/>
  <c r="Q848" i="11"/>
  <c r="AW79" i="12"/>
  <c r="R838" i="11"/>
  <c r="R839" i="11"/>
  <c r="R840" i="11"/>
  <c r="R841" i="11"/>
  <c r="R842" i="11"/>
  <c r="R843" i="11"/>
  <c r="R844" i="11"/>
  <c r="R845" i="11"/>
  <c r="S833" i="11"/>
  <c r="S834" i="11"/>
  <c r="S835" i="11"/>
  <c r="S836" i="11"/>
  <c r="S837" i="11"/>
  <c r="R846" i="11"/>
  <c r="R847" i="11"/>
  <c r="R848" i="11"/>
  <c r="AX79" i="12"/>
  <c r="S838" i="11"/>
  <c r="S839" i="11"/>
  <c r="S840" i="11"/>
  <c r="S841" i="11"/>
  <c r="S842" i="11"/>
  <c r="S843" i="11"/>
  <c r="S844" i="11"/>
  <c r="S845" i="11"/>
  <c r="T833" i="11"/>
  <c r="T834" i="11"/>
  <c r="T835" i="11"/>
  <c r="T836" i="11"/>
  <c r="T837" i="11"/>
  <c r="S846" i="11"/>
  <c r="S847" i="11"/>
  <c r="S848" i="11"/>
  <c r="AY79" i="12"/>
  <c r="T838" i="11"/>
  <c r="T839" i="11"/>
  <c r="T840" i="11"/>
  <c r="T841" i="11"/>
  <c r="T842" i="11"/>
  <c r="T843" i="11"/>
  <c r="T844" i="11"/>
  <c r="T845" i="11"/>
  <c r="U833" i="11"/>
  <c r="U834" i="11"/>
  <c r="U835" i="11"/>
  <c r="U836" i="11"/>
  <c r="U837" i="11"/>
  <c r="T846" i="11"/>
  <c r="T847" i="11"/>
  <c r="T848" i="11"/>
  <c r="AZ79" i="12"/>
  <c r="U838" i="11"/>
  <c r="U839" i="11"/>
  <c r="U840" i="11"/>
  <c r="U841" i="11"/>
  <c r="U842" i="11"/>
  <c r="U843" i="11"/>
  <c r="U844" i="11"/>
  <c r="U845" i="11"/>
  <c r="V833" i="11"/>
  <c r="V834" i="11"/>
  <c r="V835" i="11"/>
  <c r="V836" i="11"/>
  <c r="V837" i="11"/>
  <c r="U846" i="11"/>
  <c r="U847" i="11"/>
  <c r="U848" i="11"/>
  <c r="BA79" i="12"/>
  <c r="V838" i="11"/>
  <c r="V839" i="11"/>
  <c r="V840" i="11"/>
  <c r="V841" i="11"/>
  <c r="V842" i="11"/>
  <c r="V843" i="11"/>
  <c r="V844" i="11"/>
  <c r="V845" i="11"/>
  <c r="V846" i="11"/>
  <c r="V847" i="11"/>
  <c r="V848" i="11"/>
  <c r="BB79" i="12"/>
  <c r="K859" i="11"/>
  <c r="L859" i="11"/>
  <c r="L860" i="11"/>
  <c r="L861" i="11"/>
  <c r="L862" i="11"/>
  <c r="L863" i="11"/>
  <c r="L864" i="11"/>
  <c r="L865" i="11"/>
  <c r="L866" i="11"/>
  <c r="L868" i="11"/>
  <c r="L869" i="11"/>
  <c r="L870" i="11"/>
  <c r="L871" i="11"/>
  <c r="M859" i="11"/>
  <c r="M860" i="11"/>
  <c r="M861" i="11"/>
  <c r="M862" i="11"/>
  <c r="M863" i="11"/>
  <c r="L872" i="11"/>
  <c r="K873" i="11"/>
  <c r="L873" i="11"/>
  <c r="L874" i="11"/>
  <c r="AR80" i="12"/>
  <c r="M864" i="11"/>
  <c r="M865" i="11"/>
  <c r="M866" i="11"/>
  <c r="M867" i="11"/>
  <c r="M868" i="11"/>
  <c r="M869" i="11"/>
  <c r="M870" i="11"/>
  <c r="M871" i="11"/>
  <c r="N859" i="11"/>
  <c r="N860" i="11"/>
  <c r="N861" i="11"/>
  <c r="N862" i="11"/>
  <c r="N863" i="11"/>
  <c r="M872" i="11"/>
  <c r="M873" i="11"/>
  <c r="M874" i="11"/>
  <c r="AS80" i="12"/>
  <c r="N864" i="11"/>
  <c r="N865" i="11"/>
  <c r="N866" i="11"/>
  <c r="N867" i="11"/>
  <c r="N868" i="11"/>
  <c r="N869" i="11"/>
  <c r="N870" i="11"/>
  <c r="N871" i="11"/>
  <c r="O859" i="11"/>
  <c r="O860" i="11"/>
  <c r="O861" i="11"/>
  <c r="O862" i="11"/>
  <c r="O863" i="11"/>
  <c r="N872" i="11"/>
  <c r="N873" i="11"/>
  <c r="N874" i="11"/>
  <c r="AT80" i="12"/>
  <c r="O864" i="11"/>
  <c r="O865" i="11"/>
  <c r="O866" i="11"/>
  <c r="O867" i="11"/>
  <c r="O868" i="11"/>
  <c r="O869" i="11"/>
  <c r="O870" i="11"/>
  <c r="O871" i="11"/>
  <c r="P859" i="11"/>
  <c r="P860" i="11"/>
  <c r="P861" i="11"/>
  <c r="P862" i="11"/>
  <c r="P863" i="11"/>
  <c r="O872" i="11"/>
  <c r="O873" i="11"/>
  <c r="O874" i="11"/>
  <c r="AU80" i="12"/>
  <c r="P864" i="11"/>
  <c r="P865" i="11"/>
  <c r="P866" i="11"/>
  <c r="P867" i="11"/>
  <c r="P868" i="11"/>
  <c r="P869" i="11"/>
  <c r="P870" i="11"/>
  <c r="P871" i="11"/>
  <c r="Q859" i="11"/>
  <c r="Q860" i="11"/>
  <c r="Q861" i="11"/>
  <c r="Q862" i="11"/>
  <c r="Q863" i="11"/>
  <c r="P872" i="11"/>
  <c r="P873" i="11"/>
  <c r="P874" i="11"/>
  <c r="AV80" i="12"/>
  <c r="Q864" i="11"/>
  <c r="Q865" i="11"/>
  <c r="Q866" i="11"/>
  <c r="Q867" i="11"/>
  <c r="Q868" i="11"/>
  <c r="Q869" i="11"/>
  <c r="Q870" i="11"/>
  <c r="Q871" i="11"/>
  <c r="R859" i="11"/>
  <c r="R860" i="11"/>
  <c r="R861" i="11"/>
  <c r="R862" i="11"/>
  <c r="R863" i="11"/>
  <c r="Q872" i="11"/>
  <c r="Q873" i="11"/>
  <c r="Q874" i="11"/>
  <c r="AW80" i="12"/>
  <c r="R864" i="11"/>
  <c r="R865" i="11"/>
  <c r="R866" i="11"/>
  <c r="R867" i="11"/>
  <c r="R868" i="11"/>
  <c r="R869" i="11"/>
  <c r="R870" i="11"/>
  <c r="R871" i="11"/>
  <c r="S859" i="11"/>
  <c r="S860" i="11"/>
  <c r="S861" i="11"/>
  <c r="S862" i="11"/>
  <c r="S863" i="11"/>
  <c r="R872" i="11"/>
  <c r="R873" i="11"/>
  <c r="R874" i="11"/>
  <c r="AX80" i="12"/>
  <c r="S864" i="11"/>
  <c r="S865" i="11"/>
  <c r="S866" i="11"/>
  <c r="S867" i="11"/>
  <c r="S868" i="11"/>
  <c r="S869" i="11"/>
  <c r="S870" i="11"/>
  <c r="S871" i="11"/>
  <c r="T859" i="11"/>
  <c r="T860" i="11"/>
  <c r="T861" i="11"/>
  <c r="T862" i="11"/>
  <c r="T863" i="11"/>
  <c r="S872" i="11"/>
  <c r="S873" i="11"/>
  <c r="S874" i="11"/>
  <c r="AY80" i="12"/>
  <c r="T864" i="11"/>
  <c r="T865" i="11"/>
  <c r="T866" i="11"/>
  <c r="T867" i="11"/>
  <c r="T868" i="11"/>
  <c r="T869" i="11"/>
  <c r="T870" i="11"/>
  <c r="T871" i="11"/>
  <c r="U859" i="11"/>
  <c r="U860" i="11"/>
  <c r="U861" i="11"/>
  <c r="U862" i="11"/>
  <c r="U863" i="11"/>
  <c r="T872" i="11"/>
  <c r="T873" i="11"/>
  <c r="T874" i="11"/>
  <c r="AZ80" i="12"/>
  <c r="U864" i="11"/>
  <c r="U865" i="11"/>
  <c r="U866" i="11"/>
  <c r="U867" i="11"/>
  <c r="U868" i="11"/>
  <c r="U869" i="11"/>
  <c r="U870" i="11"/>
  <c r="U871" i="11"/>
  <c r="V859" i="11"/>
  <c r="V860" i="11"/>
  <c r="V861" i="11"/>
  <c r="V862" i="11"/>
  <c r="V863" i="11"/>
  <c r="U872" i="11"/>
  <c r="U873" i="11"/>
  <c r="U874" i="11"/>
  <c r="BA80" i="12"/>
  <c r="V864" i="11"/>
  <c r="V865" i="11"/>
  <c r="V866" i="11"/>
  <c r="V867" i="11"/>
  <c r="V868" i="11"/>
  <c r="V869" i="11"/>
  <c r="V870" i="11"/>
  <c r="V871" i="11"/>
  <c r="V872" i="11"/>
  <c r="V873" i="11"/>
  <c r="V874" i="11"/>
  <c r="BB80" i="12"/>
  <c r="K874" i="11"/>
  <c r="AQ80" i="12"/>
  <c r="K848" i="11"/>
  <c r="AQ79" i="12"/>
  <c r="K825" i="11"/>
  <c r="AQ78" i="12"/>
  <c r="K801" i="11"/>
  <c r="AQ77" i="12"/>
  <c r="K777" i="11"/>
  <c r="AQ76" i="12"/>
  <c r="K753" i="11"/>
  <c r="AQ75" i="12"/>
  <c r="K728" i="11"/>
  <c r="AQ74" i="12"/>
  <c r="K704" i="11"/>
  <c r="AQ73" i="12"/>
  <c r="K679" i="11"/>
  <c r="AQ72" i="12"/>
  <c r="K654" i="11"/>
  <c r="AQ71" i="12"/>
  <c r="K630" i="11"/>
  <c r="AQ70" i="12"/>
  <c r="K605" i="11"/>
  <c r="AQ69" i="12"/>
  <c r="K581" i="11"/>
  <c r="AQ68" i="12"/>
  <c r="K556" i="11"/>
  <c r="AQ67" i="12"/>
  <c r="K531" i="11"/>
  <c r="AQ66" i="12"/>
  <c r="K507" i="11"/>
  <c r="AQ65" i="12"/>
  <c r="K483" i="11"/>
  <c r="AQ64" i="12"/>
  <c r="K459" i="11"/>
  <c r="AQ63" i="12"/>
  <c r="K435" i="11"/>
  <c r="AQ62" i="12"/>
  <c r="K411" i="11"/>
  <c r="AQ61" i="12"/>
  <c r="K387" i="11"/>
  <c r="AQ60" i="12"/>
  <c r="K364" i="11"/>
  <c r="AQ59" i="12"/>
  <c r="K340" i="11"/>
  <c r="AQ58" i="12"/>
  <c r="K316" i="11"/>
  <c r="AQ57" i="12"/>
  <c r="K292" i="11"/>
  <c r="AQ56" i="12"/>
  <c r="K267" i="11"/>
  <c r="AQ55" i="12"/>
  <c r="K243" i="11"/>
  <c r="AQ54" i="12"/>
  <c r="K219" i="11"/>
  <c r="AQ53" i="12"/>
  <c r="K195" i="11"/>
  <c r="AQ52" i="12"/>
  <c r="K171" i="11"/>
  <c r="AQ51" i="12"/>
  <c r="K147" i="11"/>
  <c r="AQ50" i="12"/>
  <c r="K123" i="11"/>
  <c r="AQ49" i="12"/>
  <c r="K99" i="11"/>
  <c r="AQ48" i="12"/>
  <c r="K75" i="11"/>
  <c r="AQ47" i="12"/>
  <c r="K51" i="11"/>
  <c r="AQ46" i="12"/>
  <c r="K27" i="11"/>
  <c r="AQ45" i="12"/>
  <c r="D53" i="19"/>
  <c r="E53" i="19"/>
  <c r="F53" i="19"/>
  <c r="C53" i="19"/>
  <c r="AK52" i="19"/>
  <c r="R52" i="19"/>
  <c r="F20" i="19"/>
  <c r="E20" i="19"/>
  <c r="D20" i="19"/>
  <c r="C20" i="19"/>
  <c r="F7" i="20"/>
  <c r="I7" i="20"/>
  <c r="L7" i="20"/>
  <c r="O7" i="20"/>
  <c r="P7" i="20"/>
  <c r="F8" i="20"/>
  <c r="I8" i="20"/>
  <c r="L8" i="20"/>
  <c r="O8" i="20"/>
  <c r="P8" i="20"/>
  <c r="F9" i="20"/>
  <c r="I9" i="20"/>
  <c r="L9" i="20"/>
  <c r="O9" i="20"/>
  <c r="P9" i="20"/>
  <c r="F10" i="20"/>
  <c r="I10" i="20"/>
  <c r="L10" i="20"/>
  <c r="O10" i="20"/>
  <c r="P10" i="20"/>
  <c r="F11" i="20"/>
  <c r="I11" i="20"/>
  <c r="L11" i="20"/>
  <c r="O11" i="20"/>
  <c r="P11" i="20"/>
  <c r="F12" i="20"/>
  <c r="I12" i="20"/>
  <c r="L12" i="20"/>
  <c r="O12" i="20"/>
  <c r="P12" i="20"/>
  <c r="F13" i="20"/>
  <c r="I13" i="20"/>
  <c r="L13" i="20"/>
  <c r="O13" i="20"/>
  <c r="P13" i="20"/>
  <c r="F14" i="20"/>
  <c r="I14" i="20"/>
  <c r="L14" i="20"/>
  <c r="O14" i="20"/>
  <c r="P14" i="20"/>
  <c r="F15" i="20"/>
  <c r="I15" i="20"/>
  <c r="L15" i="20"/>
  <c r="O15" i="20"/>
  <c r="P15" i="20"/>
  <c r="F16" i="20"/>
  <c r="I16" i="20"/>
  <c r="L16" i="20"/>
  <c r="O16" i="20"/>
  <c r="P16" i="20"/>
  <c r="F17" i="20"/>
  <c r="I17" i="20"/>
  <c r="L17" i="20"/>
  <c r="O17" i="20"/>
  <c r="P17" i="20"/>
  <c r="F18" i="20"/>
  <c r="I18" i="20"/>
  <c r="L18" i="20"/>
  <c r="O18" i="20"/>
  <c r="P18" i="20"/>
  <c r="F19" i="20"/>
  <c r="I19" i="20"/>
  <c r="L19" i="20"/>
  <c r="O19" i="20"/>
  <c r="P19" i="20"/>
  <c r="F20" i="20"/>
  <c r="I20" i="20"/>
  <c r="L20" i="20"/>
  <c r="O20" i="20"/>
  <c r="P20" i="20"/>
  <c r="F21" i="20"/>
  <c r="I21" i="20"/>
  <c r="L21" i="20"/>
  <c r="O21" i="20"/>
  <c r="P21" i="20"/>
  <c r="F22" i="20"/>
  <c r="I22" i="20"/>
  <c r="L22" i="20"/>
  <c r="O22" i="20"/>
  <c r="P22" i="20"/>
  <c r="F23" i="20"/>
  <c r="I23" i="20"/>
  <c r="L23" i="20"/>
  <c r="O23" i="20"/>
  <c r="P23" i="20"/>
  <c r="F24" i="20"/>
  <c r="I24" i="20"/>
  <c r="L24" i="20"/>
  <c r="O24" i="20"/>
  <c r="P24" i="20"/>
  <c r="F25" i="20"/>
  <c r="I25" i="20"/>
  <c r="L25" i="20"/>
  <c r="O25" i="20"/>
  <c r="P25" i="20"/>
  <c r="F26" i="20"/>
  <c r="I26" i="20"/>
  <c r="L26" i="20"/>
  <c r="O26" i="20"/>
  <c r="P26" i="20"/>
  <c r="F27" i="20"/>
  <c r="I27" i="20"/>
  <c r="L27" i="20"/>
  <c r="O27" i="20"/>
  <c r="P27" i="20"/>
  <c r="F28" i="20"/>
  <c r="I28" i="20"/>
  <c r="L28" i="20"/>
  <c r="O28" i="20"/>
  <c r="P28" i="20"/>
  <c r="F29" i="20"/>
  <c r="I29" i="20"/>
  <c r="L29" i="20"/>
  <c r="O29" i="20"/>
  <c r="P29" i="20"/>
  <c r="F30" i="20"/>
  <c r="I30" i="20"/>
  <c r="L30" i="20"/>
  <c r="O30" i="20"/>
  <c r="P30" i="20"/>
  <c r="F31" i="20"/>
  <c r="I31" i="20"/>
  <c r="L31" i="20"/>
  <c r="O31" i="20"/>
  <c r="P31" i="20"/>
  <c r="F32" i="20"/>
  <c r="I32" i="20"/>
  <c r="L32" i="20"/>
  <c r="O32" i="20"/>
  <c r="P32" i="20"/>
  <c r="F33" i="20"/>
  <c r="I33" i="20"/>
  <c r="L33" i="20"/>
  <c r="O33" i="20"/>
  <c r="P33" i="20"/>
  <c r="F34" i="20"/>
  <c r="I34" i="20"/>
  <c r="L34" i="20"/>
  <c r="O34" i="20"/>
  <c r="P34" i="20"/>
  <c r="F35" i="20"/>
  <c r="I35" i="20"/>
  <c r="L35" i="20"/>
  <c r="O35" i="20"/>
  <c r="P35" i="20"/>
  <c r="F36" i="20"/>
  <c r="I36" i="20"/>
  <c r="L36" i="20"/>
  <c r="O36" i="20"/>
  <c r="P36" i="20"/>
  <c r="F37" i="20"/>
  <c r="I37" i="20"/>
  <c r="L37" i="20"/>
  <c r="O37" i="20"/>
  <c r="P37" i="20"/>
  <c r="F38" i="20"/>
  <c r="I38" i="20"/>
  <c r="L38" i="20"/>
  <c r="O38" i="20"/>
  <c r="P38" i="20"/>
  <c r="F39" i="20"/>
  <c r="I39" i="20"/>
  <c r="L39" i="20"/>
  <c r="O39" i="20"/>
  <c r="P39" i="20"/>
  <c r="F40" i="20"/>
  <c r="I40" i="20"/>
  <c r="L40" i="20"/>
  <c r="O40" i="20"/>
  <c r="P40" i="20"/>
  <c r="F41" i="20"/>
  <c r="I41" i="20"/>
  <c r="L41" i="20"/>
  <c r="O41" i="20"/>
  <c r="P41" i="20"/>
  <c r="F42" i="20"/>
  <c r="I42" i="20"/>
  <c r="L42" i="20"/>
  <c r="O42" i="20"/>
  <c r="P42" i="20"/>
  <c r="P44" i="20"/>
  <c r="BC7" i="20"/>
  <c r="BC8" i="20"/>
  <c r="BC9" i="20"/>
  <c r="BC10" i="20"/>
  <c r="BC11" i="20"/>
  <c r="BC12" i="20"/>
  <c r="BC13" i="20"/>
  <c r="BC14" i="20"/>
  <c r="BC15" i="20"/>
  <c r="BC16" i="20"/>
  <c r="BC17" i="20"/>
  <c r="BC18" i="20"/>
  <c r="BC19" i="20"/>
  <c r="BC20" i="20"/>
  <c r="BC21" i="20"/>
  <c r="BC22" i="20"/>
  <c r="BC23" i="20"/>
  <c r="BC24" i="20"/>
  <c r="BC25" i="20"/>
  <c r="BC26" i="20"/>
  <c r="BC27" i="20"/>
  <c r="BC28" i="20"/>
  <c r="BC29" i="20"/>
  <c r="BC30" i="20"/>
  <c r="BC31" i="20"/>
  <c r="BC32" i="20"/>
  <c r="BC33" i="20"/>
  <c r="BC34" i="20"/>
  <c r="BC35" i="20"/>
  <c r="BC36" i="20"/>
  <c r="BC37" i="20"/>
  <c r="BC38" i="20"/>
  <c r="BC39" i="20"/>
  <c r="BC40" i="20"/>
  <c r="BC41" i="20"/>
  <c r="BC42" i="20"/>
  <c r="BC43" i="20"/>
  <c r="C42" i="20"/>
  <c r="M42" i="20"/>
  <c r="J42" i="20"/>
  <c r="G42" i="20"/>
  <c r="D42" i="20"/>
  <c r="AG38" i="20"/>
  <c r="AG39" i="20"/>
  <c r="C28" i="7"/>
  <c r="AH39" i="20"/>
  <c r="AI39" i="20"/>
  <c r="AG40" i="20"/>
  <c r="C41" i="20"/>
  <c r="M41" i="20"/>
  <c r="J41" i="20"/>
  <c r="G41" i="20"/>
  <c r="D41" i="20"/>
  <c r="C40" i="20"/>
  <c r="M40" i="20"/>
  <c r="J40" i="20"/>
  <c r="G40" i="20"/>
  <c r="D40" i="20"/>
  <c r="C39" i="20"/>
  <c r="M39" i="20"/>
  <c r="J39" i="20"/>
  <c r="G39" i="20"/>
  <c r="D39" i="20"/>
  <c r="C38" i="20"/>
  <c r="M38" i="20"/>
  <c r="J38" i="20"/>
  <c r="G38" i="20"/>
  <c r="D38" i="20"/>
  <c r="C37" i="20"/>
  <c r="M37" i="20"/>
  <c r="J37" i="20"/>
  <c r="G37" i="20"/>
  <c r="D37" i="20"/>
  <c r="C36" i="20"/>
  <c r="M36" i="20"/>
  <c r="J36" i="20"/>
  <c r="G36" i="20"/>
  <c r="D36" i="20"/>
  <c r="C35" i="20"/>
  <c r="M35" i="20"/>
  <c r="J35" i="20"/>
  <c r="G35" i="20"/>
  <c r="D35" i="20"/>
  <c r="C34" i="20"/>
  <c r="M34" i="20"/>
  <c r="J34" i="20"/>
  <c r="G34" i="20"/>
  <c r="D34" i="20"/>
  <c r="C33" i="20"/>
  <c r="M33" i="20"/>
  <c r="J33" i="20"/>
  <c r="G33" i="20"/>
  <c r="D33" i="20"/>
  <c r="C32" i="20"/>
  <c r="M32" i="20"/>
  <c r="J32" i="20"/>
  <c r="G32" i="20"/>
  <c r="D32" i="20"/>
  <c r="C31" i="20"/>
  <c r="M31" i="20"/>
  <c r="J31" i="20"/>
  <c r="G31" i="20"/>
  <c r="D31" i="20"/>
  <c r="C30" i="20"/>
  <c r="M30" i="20"/>
  <c r="J30" i="20"/>
  <c r="G30" i="20"/>
  <c r="D30" i="20"/>
  <c r="C29" i="20"/>
  <c r="M29" i="20"/>
  <c r="J29" i="20"/>
  <c r="G29" i="20"/>
  <c r="D29" i="20"/>
  <c r="C28" i="20"/>
  <c r="M28" i="20"/>
  <c r="J28" i="20"/>
  <c r="G28" i="20"/>
  <c r="D28" i="20"/>
  <c r="C27" i="20"/>
  <c r="M27" i="20"/>
  <c r="J27" i="20"/>
  <c r="G27" i="20"/>
  <c r="D27" i="20"/>
  <c r="C26" i="20"/>
  <c r="M26" i="20"/>
  <c r="J26" i="20"/>
  <c r="G26" i="20"/>
  <c r="D26" i="20"/>
  <c r="C25" i="20"/>
  <c r="M25" i="20"/>
  <c r="J25" i="20"/>
  <c r="G25" i="20"/>
  <c r="D25" i="20"/>
  <c r="C24" i="20"/>
  <c r="M24" i="20"/>
  <c r="J24" i="20"/>
  <c r="G24" i="20"/>
  <c r="D24" i="20"/>
  <c r="C23" i="20"/>
  <c r="M23" i="20"/>
  <c r="J23" i="20"/>
  <c r="G23" i="20"/>
  <c r="D23" i="20"/>
  <c r="C22" i="20"/>
  <c r="M22" i="20"/>
  <c r="J22" i="20"/>
  <c r="G22" i="20"/>
  <c r="D22" i="20"/>
  <c r="C21" i="20"/>
  <c r="M21" i="20"/>
  <c r="J21" i="20"/>
  <c r="G21" i="20"/>
  <c r="D21" i="20"/>
  <c r="C20" i="20"/>
  <c r="M20" i="20"/>
  <c r="J20" i="20"/>
  <c r="G20" i="20"/>
  <c r="D20" i="20"/>
  <c r="C19" i="20"/>
  <c r="M19" i="20"/>
  <c r="J19" i="20"/>
  <c r="G19" i="20"/>
  <c r="D19" i="20"/>
  <c r="C18" i="20"/>
  <c r="M18" i="20"/>
  <c r="J18" i="20"/>
  <c r="G18" i="20"/>
  <c r="D18" i="20"/>
  <c r="C17" i="20"/>
  <c r="M17" i="20"/>
  <c r="J17" i="20"/>
  <c r="G17" i="20"/>
  <c r="D17" i="20"/>
  <c r="C16" i="20"/>
  <c r="M16" i="20"/>
  <c r="J16" i="20"/>
  <c r="G16" i="20"/>
  <c r="D16" i="20"/>
  <c r="C15" i="20"/>
  <c r="M15" i="20"/>
  <c r="J15" i="20"/>
  <c r="G15" i="20"/>
  <c r="D15" i="20"/>
  <c r="C14" i="20"/>
  <c r="M14" i="20"/>
  <c r="J14" i="20"/>
  <c r="G14" i="20"/>
  <c r="D14" i="20"/>
  <c r="C13" i="20"/>
  <c r="M13" i="20"/>
  <c r="J13" i="20"/>
  <c r="G13" i="20"/>
  <c r="D13" i="20"/>
  <c r="C12" i="20"/>
  <c r="M12" i="20"/>
  <c r="J12" i="20"/>
  <c r="G12" i="20"/>
  <c r="D12" i="20"/>
  <c r="C11" i="20"/>
  <c r="M11" i="20"/>
  <c r="J11" i="20"/>
  <c r="G11" i="20"/>
  <c r="D11" i="20"/>
  <c r="C10" i="20"/>
  <c r="M10" i="20"/>
  <c r="J10" i="20"/>
  <c r="G10" i="20"/>
  <c r="D10" i="20"/>
  <c r="C9" i="20"/>
  <c r="M9" i="20"/>
  <c r="J9" i="20"/>
  <c r="G9" i="20"/>
  <c r="D9" i="20"/>
  <c r="C8" i="20"/>
  <c r="M8" i="20"/>
  <c r="J8" i="20"/>
  <c r="G8" i="20"/>
  <c r="D8" i="20"/>
  <c r="C7" i="20"/>
  <c r="M7" i="20"/>
  <c r="J7" i="20"/>
  <c r="G7" i="20"/>
  <c r="D7" i="20"/>
  <c r="AB54" i="19"/>
  <c r="AA54" i="19"/>
  <c r="AA53" i="19"/>
  <c r="B59" i="19"/>
  <c r="B92" i="19"/>
  <c r="B125" i="19"/>
  <c r="B158" i="19"/>
  <c r="B191" i="19"/>
  <c r="B224" i="19"/>
  <c r="B257" i="19"/>
  <c r="B290" i="19"/>
  <c r="B323" i="19"/>
  <c r="B356" i="19"/>
  <c r="B389" i="19"/>
  <c r="B422" i="19"/>
  <c r="B455" i="19"/>
  <c r="B488" i="19"/>
  <c r="B521" i="19"/>
  <c r="B554" i="19"/>
  <c r="B587" i="19"/>
  <c r="B620" i="19"/>
  <c r="B653" i="19"/>
  <c r="B686" i="19"/>
  <c r="B719" i="19"/>
  <c r="B752" i="19"/>
  <c r="B785" i="19"/>
  <c r="B818" i="19"/>
  <c r="B851" i="19"/>
  <c r="B884" i="19"/>
  <c r="B917" i="19"/>
  <c r="B950" i="19"/>
  <c r="B983" i="19"/>
  <c r="B1016" i="19"/>
  <c r="B1049" i="19"/>
  <c r="B1082" i="19"/>
  <c r="B55" i="19"/>
  <c r="B88" i="19"/>
  <c r="B121" i="19"/>
  <c r="B187" i="19"/>
  <c r="B220" i="19"/>
  <c r="B253" i="19"/>
  <c r="B286" i="19"/>
  <c r="B319" i="19"/>
  <c r="B352" i="19"/>
  <c r="B385" i="19"/>
  <c r="B418" i="19"/>
  <c r="B451" i="19"/>
  <c r="B484" i="19"/>
  <c r="B517" i="19"/>
  <c r="B550" i="19"/>
  <c r="B583" i="19"/>
  <c r="B616" i="19"/>
  <c r="B649" i="19"/>
  <c r="B682" i="19"/>
  <c r="B715" i="19"/>
  <c r="B748" i="19"/>
  <c r="B781" i="19"/>
  <c r="B814" i="19"/>
  <c r="B847" i="19"/>
  <c r="B913" i="19"/>
  <c r="B946" i="19"/>
  <c r="B979" i="19"/>
  <c r="B1012" i="19"/>
  <c r="B1045" i="19"/>
  <c r="B1078" i="19"/>
  <c r="B880" i="19"/>
  <c r="R813" i="19"/>
  <c r="Q813" i="19"/>
  <c r="P813" i="19"/>
  <c r="O813" i="19"/>
  <c r="N813" i="19"/>
  <c r="M813" i="19"/>
  <c r="L813" i="19"/>
  <c r="K813" i="19"/>
  <c r="J813" i="19"/>
  <c r="I813" i="19"/>
  <c r="H813" i="19"/>
  <c r="G813" i="19"/>
  <c r="F813" i="19"/>
  <c r="E813" i="19"/>
  <c r="F582" i="19"/>
  <c r="E582" i="19"/>
  <c r="B154" i="19"/>
  <c r="H43" i="19"/>
  <c r="I43" i="19"/>
  <c r="J43" i="19"/>
  <c r="K43" i="19"/>
  <c r="L43" i="19"/>
  <c r="M43" i="19"/>
  <c r="N43" i="19"/>
  <c r="O43" i="19"/>
  <c r="P43" i="19"/>
  <c r="Q43" i="19"/>
  <c r="R43" i="19"/>
  <c r="AD54" i="19"/>
  <c r="AC54" i="19"/>
  <c r="G10" i="19"/>
  <c r="H10" i="19"/>
  <c r="I10" i="19"/>
  <c r="J10" i="19"/>
  <c r="K10" i="19"/>
  <c r="L10" i="19"/>
  <c r="M10" i="19"/>
  <c r="N10" i="19"/>
  <c r="O10" i="19"/>
  <c r="P10" i="19"/>
  <c r="Q10" i="19"/>
  <c r="R10" i="19"/>
  <c r="AL5" i="19"/>
  <c r="AL40" i="19"/>
  <c r="AK5" i="19"/>
  <c r="AK40" i="19"/>
  <c r="AJ5" i="19"/>
  <c r="AJ40" i="19"/>
  <c r="AI5" i="19"/>
  <c r="AI40" i="19"/>
  <c r="AH5" i="19"/>
  <c r="AH40" i="19"/>
  <c r="AG5" i="19"/>
  <c r="AG40" i="19"/>
  <c r="AF5" i="19"/>
  <c r="AF40" i="19"/>
  <c r="AE5" i="19"/>
  <c r="AE40" i="19"/>
  <c r="AD5" i="19"/>
  <c r="AD40" i="19"/>
  <c r="AC5" i="19"/>
  <c r="AC40" i="19"/>
  <c r="AB5" i="19"/>
  <c r="AB40" i="19"/>
  <c r="AA5" i="19"/>
  <c r="AA40" i="19"/>
  <c r="Z5" i="19"/>
  <c r="Z40" i="19"/>
  <c r="Y5" i="19"/>
  <c r="Y40" i="19"/>
  <c r="X5" i="19"/>
  <c r="X40" i="19"/>
  <c r="W5" i="19"/>
  <c r="W40" i="19"/>
  <c r="AN38" i="19"/>
  <c r="AM38" i="19"/>
  <c r="AN37" i="19"/>
  <c r="AM37" i="19"/>
  <c r="AN36" i="19"/>
  <c r="AM36" i="19"/>
  <c r="AN35" i="19"/>
  <c r="AM35" i="19"/>
  <c r="AN34" i="19"/>
  <c r="AM34" i="19"/>
  <c r="AN33" i="19"/>
  <c r="AM33" i="19"/>
  <c r="AM32" i="19"/>
  <c r="AM31" i="19"/>
  <c r="AM30" i="19"/>
  <c r="AM29" i="19"/>
  <c r="AM28" i="19"/>
  <c r="AM27" i="19"/>
  <c r="AM23" i="19"/>
  <c r="AN14" i="19"/>
  <c r="AM14" i="19"/>
  <c r="AM13" i="19"/>
  <c r="E34" i="17"/>
  <c r="F34" i="17"/>
  <c r="K34" i="17"/>
  <c r="L34" i="17"/>
  <c r="M34" i="17"/>
  <c r="N34" i="17"/>
  <c r="O34" i="17"/>
  <c r="P34" i="17"/>
  <c r="Q34" i="17"/>
  <c r="R34" i="17"/>
  <c r="J35" i="17"/>
  <c r="J36" i="17"/>
  <c r="J25" i="17"/>
  <c r="J26" i="17"/>
  <c r="N38" i="17"/>
  <c r="D48" i="17"/>
  <c r="C27" i="17"/>
  <c r="D49" i="17"/>
  <c r="D53" i="17"/>
  <c r="K25" i="17"/>
  <c r="K26" i="17"/>
  <c r="L25" i="17"/>
  <c r="L26" i="17"/>
  <c r="M25" i="17"/>
  <c r="M26" i="17"/>
  <c r="N25" i="17"/>
  <c r="N26" i="17"/>
  <c r="O25" i="17"/>
  <c r="O26" i="17"/>
  <c r="P25" i="17"/>
  <c r="P26" i="17"/>
  <c r="Q25" i="17"/>
  <c r="Q26" i="17"/>
  <c r="R25" i="17"/>
  <c r="R26" i="17"/>
  <c r="N28" i="17"/>
  <c r="D47" i="17"/>
  <c r="D51" i="17"/>
  <c r="D52" i="17"/>
  <c r="K51" i="17"/>
  <c r="K48" i="17"/>
  <c r="K49" i="17"/>
  <c r="K50" i="17"/>
  <c r="D50" i="17"/>
  <c r="F32" i="17"/>
  <c r="F33" i="17"/>
  <c r="F35" i="17"/>
  <c r="F36" i="17"/>
  <c r="E32" i="17"/>
  <c r="E33" i="17"/>
  <c r="E35" i="17"/>
  <c r="E36" i="17"/>
  <c r="G66" i="15"/>
  <c r="G57" i="15"/>
  <c r="G58" i="15"/>
  <c r="G59" i="15"/>
  <c r="G60" i="15"/>
  <c r="F61" i="15"/>
  <c r="E61" i="15"/>
  <c r="G61" i="15"/>
  <c r="F62" i="15"/>
  <c r="E62" i="15"/>
  <c r="G62" i="15"/>
  <c r="F63" i="15"/>
  <c r="E63" i="15"/>
  <c r="G63" i="15"/>
  <c r="G64" i="15"/>
  <c r="G65" i="15"/>
  <c r="G56" i="15"/>
  <c r="H57" i="15"/>
  <c r="H58" i="15"/>
  <c r="H59" i="15"/>
  <c r="H60" i="15"/>
  <c r="H61" i="15"/>
  <c r="H62" i="15"/>
  <c r="H63" i="15"/>
  <c r="H64" i="15"/>
  <c r="H65" i="15"/>
  <c r="H66" i="15"/>
  <c r="H56" i="15"/>
  <c r="E47" i="15"/>
  <c r="F47" i="15"/>
  <c r="E41" i="15"/>
  <c r="F41" i="15"/>
  <c r="G36" i="15"/>
  <c r="G37" i="15"/>
  <c r="G38" i="15"/>
  <c r="G39" i="15"/>
  <c r="G40" i="15"/>
  <c r="G41" i="15"/>
  <c r="F42" i="15"/>
  <c r="E42" i="15"/>
  <c r="G42" i="15"/>
  <c r="F43" i="15"/>
  <c r="E43" i="15"/>
  <c r="G43" i="15"/>
  <c r="G44" i="15"/>
  <c r="G45" i="15"/>
  <c r="G46" i="15"/>
  <c r="G47" i="15"/>
  <c r="G48" i="15"/>
  <c r="G35" i="15"/>
  <c r="H36" i="15"/>
  <c r="H37" i="15"/>
  <c r="H38" i="15"/>
  <c r="H39" i="15"/>
  <c r="H40" i="15"/>
  <c r="H41" i="15"/>
  <c r="H42" i="15"/>
  <c r="H43" i="15"/>
  <c r="H44" i="15"/>
  <c r="H45" i="15"/>
  <c r="H46" i="15"/>
  <c r="H47" i="15"/>
  <c r="H48" i="15"/>
  <c r="G10" i="15"/>
  <c r="F7" i="12"/>
  <c r="I7" i="12"/>
  <c r="L7" i="12"/>
  <c r="O7" i="12"/>
  <c r="P7" i="12"/>
  <c r="F8" i="12"/>
  <c r="I8" i="12"/>
  <c r="L8" i="12"/>
  <c r="O8" i="12"/>
  <c r="P8" i="12"/>
  <c r="F9" i="12"/>
  <c r="I9" i="12"/>
  <c r="L9" i="12"/>
  <c r="O9" i="12"/>
  <c r="P9" i="12"/>
  <c r="F10" i="12"/>
  <c r="I10" i="12"/>
  <c r="L10" i="12"/>
  <c r="O10" i="12"/>
  <c r="P10" i="12"/>
  <c r="F11" i="12"/>
  <c r="I11" i="12"/>
  <c r="L11" i="12"/>
  <c r="O11" i="12"/>
  <c r="P11" i="12"/>
  <c r="F12" i="12"/>
  <c r="I12" i="12"/>
  <c r="L12" i="12"/>
  <c r="O12" i="12"/>
  <c r="P12" i="12"/>
  <c r="F13" i="12"/>
  <c r="I13" i="12"/>
  <c r="L13" i="12"/>
  <c r="O13" i="12"/>
  <c r="P13" i="12"/>
  <c r="F14" i="12"/>
  <c r="I14" i="12"/>
  <c r="L14" i="12"/>
  <c r="O14" i="12"/>
  <c r="P14" i="12"/>
  <c r="F15" i="12"/>
  <c r="I15" i="12"/>
  <c r="L15" i="12"/>
  <c r="O15" i="12"/>
  <c r="P15" i="12"/>
  <c r="F16" i="12"/>
  <c r="I16" i="12"/>
  <c r="L16" i="12"/>
  <c r="O16" i="12"/>
  <c r="P16" i="12"/>
  <c r="F17" i="12"/>
  <c r="I17" i="12"/>
  <c r="L17" i="12"/>
  <c r="O17" i="12"/>
  <c r="P17" i="12"/>
  <c r="F18" i="12"/>
  <c r="I18" i="12"/>
  <c r="L18" i="12"/>
  <c r="O18" i="12"/>
  <c r="P18" i="12"/>
  <c r="F19" i="12"/>
  <c r="I19" i="12"/>
  <c r="L19" i="12"/>
  <c r="O19" i="12"/>
  <c r="P19" i="12"/>
  <c r="F20" i="12"/>
  <c r="I20" i="12"/>
  <c r="L20" i="12"/>
  <c r="O20" i="12"/>
  <c r="P20" i="12"/>
  <c r="F21" i="12"/>
  <c r="I21" i="12"/>
  <c r="L21" i="12"/>
  <c r="O21" i="12"/>
  <c r="P21" i="12"/>
  <c r="F22" i="12"/>
  <c r="I22" i="12"/>
  <c r="L22" i="12"/>
  <c r="O22" i="12"/>
  <c r="P22" i="12"/>
  <c r="F23" i="12"/>
  <c r="I23" i="12"/>
  <c r="L23" i="12"/>
  <c r="O23" i="12"/>
  <c r="P23" i="12"/>
  <c r="F24" i="12"/>
  <c r="I24" i="12"/>
  <c r="L24" i="12"/>
  <c r="O24" i="12"/>
  <c r="P24" i="12"/>
  <c r="F25" i="12"/>
  <c r="I25" i="12"/>
  <c r="L25" i="12"/>
  <c r="O25" i="12"/>
  <c r="P25" i="12"/>
  <c r="F26" i="12"/>
  <c r="I26" i="12"/>
  <c r="L26" i="12"/>
  <c r="O26" i="12"/>
  <c r="P26" i="12"/>
  <c r="F27" i="12"/>
  <c r="I27" i="12"/>
  <c r="L27" i="12"/>
  <c r="O27" i="12"/>
  <c r="P27" i="12"/>
  <c r="F28" i="12"/>
  <c r="I28" i="12"/>
  <c r="L28" i="12"/>
  <c r="O28" i="12"/>
  <c r="P28" i="12"/>
  <c r="F29" i="12"/>
  <c r="I29" i="12"/>
  <c r="L29" i="12"/>
  <c r="O29" i="12"/>
  <c r="P29" i="12"/>
  <c r="F30" i="12"/>
  <c r="I30" i="12"/>
  <c r="L30" i="12"/>
  <c r="O30" i="12"/>
  <c r="P30" i="12"/>
  <c r="F31" i="12"/>
  <c r="I31" i="12"/>
  <c r="L31" i="12"/>
  <c r="O31" i="12"/>
  <c r="P31" i="12"/>
  <c r="F32" i="12"/>
  <c r="I32" i="12"/>
  <c r="L32" i="12"/>
  <c r="O32" i="12"/>
  <c r="P32" i="12"/>
  <c r="F33" i="12"/>
  <c r="I33" i="12"/>
  <c r="L33" i="12"/>
  <c r="O33" i="12"/>
  <c r="P33" i="12"/>
  <c r="F34" i="12"/>
  <c r="I34" i="12"/>
  <c r="L34" i="12"/>
  <c r="O34" i="12"/>
  <c r="P34" i="12"/>
  <c r="F35" i="12"/>
  <c r="I35" i="12"/>
  <c r="L35" i="12"/>
  <c r="O35" i="12"/>
  <c r="P35" i="12"/>
  <c r="F36" i="12"/>
  <c r="I36" i="12"/>
  <c r="L36" i="12"/>
  <c r="O36" i="12"/>
  <c r="P36" i="12"/>
  <c r="F37" i="12"/>
  <c r="I37" i="12"/>
  <c r="L37" i="12"/>
  <c r="O37" i="12"/>
  <c r="P37" i="12"/>
  <c r="F38" i="12"/>
  <c r="I38" i="12"/>
  <c r="L38" i="12"/>
  <c r="O38" i="12"/>
  <c r="P38" i="12"/>
  <c r="F39" i="12"/>
  <c r="I39" i="12"/>
  <c r="L39" i="12"/>
  <c r="O39" i="12"/>
  <c r="P39" i="12"/>
  <c r="F40" i="12"/>
  <c r="I40" i="12"/>
  <c r="L40" i="12"/>
  <c r="O40" i="12"/>
  <c r="P40" i="12"/>
  <c r="F41" i="12"/>
  <c r="I41" i="12"/>
  <c r="L41" i="12"/>
  <c r="O41" i="12"/>
  <c r="P41" i="12"/>
  <c r="F42" i="12"/>
  <c r="I42" i="12"/>
  <c r="L42" i="12"/>
  <c r="O42" i="12"/>
  <c r="P42" i="12"/>
  <c r="H34" i="16"/>
  <c r="G34" i="16"/>
  <c r="G30" i="16"/>
  <c r="H30" i="16"/>
  <c r="G21" i="16"/>
  <c r="H22" i="15"/>
  <c r="G22" i="15"/>
  <c r="G13" i="15"/>
  <c r="H13" i="15"/>
  <c r="H12" i="15"/>
  <c r="H11" i="15"/>
  <c r="G11" i="15"/>
  <c r="H7" i="15"/>
  <c r="G7" i="15"/>
  <c r="H10" i="15"/>
  <c r="H9" i="15"/>
  <c r="G9" i="15"/>
  <c r="H8" i="15"/>
  <c r="G8" i="15"/>
  <c r="H24" i="15"/>
  <c r="H25" i="15"/>
  <c r="H23" i="15"/>
  <c r="H35" i="15"/>
  <c r="G24" i="15"/>
  <c r="G25" i="15"/>
  <c r="G23" i="15"/>
  <c r="AG40" i="12"/>
  <c r="AG39" i="12"/>
  <c r="AG38" i="12"/>
  <c r="BC8" i="12"/>
  <c r="BC9" i="12"/>
  <c r="BC10" i="12"/>
  <c r="BC11" i="12"/>
  <c r="BC12" i="12"/>
  <c r="BC13" i="12"/>
  <c r="BC14" i="12"/>
  <c r="BC15" i="12"/>
  <c r="BC16" i="12"/>
  <c r="BC17" i="12"/>
  <c r="BC18" i="12"/>
  <c r="BC19" i="12"/>
  <c r="BC20" i="12"/>
  <c r="BC21" i="12"/>
  <c r="BC22" i="12"/>
  <c r="BC23" i="12"/>
  <c r="BC24" i="12"/>
  <c r="BC25" i="12"/>
  <c r="BC26" i="12"/>
  <c r="BC27" i="12"/>
  <c r="BC28" i="12"/>
  <c r="BC29" i="12"/>
  <c r="BC30" i="12"/>
  <c r="BC31" i="12"/>
  <c r="BC32" i="12"/>
  <c r="BC33" i="12"/>
  <c r="BC34" i="12"/>
  <c r="BC35" i="12"/>
  <c r="BC36" i="12"/>
  <c r="BC37" i="12"/>
  <c r="BC38" i="12"/>
  <c r="BC39" i="12"/>
  <c r="BC40" i="12"/>
  <c r="BC41" i="12"/>
  <c r="BC42" i="12"/>
  <c r="C8" i="12"/>
  <c r="D8" i="12"/>
  <c r="C9" i="12"/>
  <c r="D9" i="12"/>
  <c r="C10" i="12"/>
  <c r="D10" i="12"/>
  <c r="C11" i="12"/>
  <c r="D11" i="12"/>
  <c r="C12" i="12"/>
  <c r="D12" i="12"/>
  <c r="C13" i="12"/>
  <c r="D13" i="12"/>
  <c r="C14" i="12"/>
  <c r="D14" i="12"/>
  <c r="C15" i="12"/>
  <c r="D15" i="12"/>
  <c r="C16" i="12"/>
  <c r="D16" i="12"/>
  <c r="C17" i="12"/>
  <c r="D17" i="12"/>
  <c r="C18" i="12"/>
  <c r="D18" i="12"/>
  <c r="C19" i="12"/>
  <c r="D19" i="12"/>
  <c r="C20" i="12"/>
  <c r="D20" i="12"/>
  <c r="C21" i="12"/>
  <c r="D21" i="12"/>
  <c r="C22" i="12"/>
  <c r="D22" i="12"/>
  <c r="C23" i="12"/>
  <c r="D23" i="12"/>
  <c r="C24" i="12"/>
  <c r="D24" i="12"/>
  <c r="C25" i="12"/>
  <c r="D25" i="12"/>
  <c r="C26" i="12"/>
  <c r="D26" i="12"/>
  <c r="C27" i="12"/>
  <c r="D27" i="12"/>
  <c r="C28" i="12"/>
  <c r="D28" i="12"/>
  <c r="C29" i="12"/>
  <c r="D29" i="12"/>
  <c r="C30" i="12"/>
  <c r="D30" i="12"/>
  <c r="C31" i="12"/>
  <c r="D31" i="12"/>
  <c r="C32" i="12"/>
  <c r="D32" i="12"/>
  <c r="C33" i="12"/>
  <c r="D33" i="12"/>
  <c r="C34" i="12"/>
  <c r="D34" i="12"/>
  <c r="C35" i="12"/>
  <c r="D35" i="12"/>
  <c r="C36" i="12"/>
  <c r="D36" i="12"/>
  <c r="C37" i="12"/>
  <c r="D37" i="12"/>
  <c r="C38" i="12"/>
  <c r="D38" i="12"/>
  <c r="C39" i="12"/>
  <c r="D39" i="12"/>
  <c r="C40" i="12"/>
  <c r="D40" i="12"/>
  <c r="C41" i="12"/>
  <c r="D41" i="12"/>
  <c r="C42" i="12"/>
  <c r="D42" i="12"/>
  <c r="C7" i="12"/>
  <c r="M7" i="12"/>
  <c r="P44" i="12"/>
  <c r="BC7" i="12"/>
  <c r="BC43" i="12"/>
  <c r="G42" i="12"/>
  <c r="G40" i="12"/>
  <c r="G38" i="12"/>
  <c r="G36" i="12"/>
  <c r="G34" i="12"/>
  <c r="G32" i="12"/>
  <c r="G30" i="12"/>
  <c r="G28" i="12"/>
  <c r="G26" i="12"/>
  <c r="G24" i="12"/>
  <c r="G22" i="12"/>
  <c r="G20" i="12"/>
  <c r="G18" i="12"/>
  <c r="G16" i="12"/>
  <c r="G14" i="12"/>
  <c r="G12" i="12"/>
  <c r="G10" i="12"/>
  <c r="G8" i="12"/>
  <c r="J42" i="12"/>
  <c r="J40" i="12"/>
  <c r="J38" i="12"/>
  <c r="J36" i="12"/>
  <c r="J34" i="12"/>
  <c r="J32" i="12"/>
  <c r="J30" i="12"/>
  <c r="J28" i="12"/>
  <c r="J26" i="12"/>
  <c r="J24" i="12"/>
  <c r="J22" i="12"/>
  <c r="J20" i="12"/>
  <c r="J18" i="12"/>
  <c r="J16" i="12"/>
  <c r="J14" i="12"/>
  <c r="J12" i="12"/>
  <c r="J10" i="12"/>
  <c r="J8" i="12"/>
  <c r="M42" i="12"/>
  <c r="M40" i="12"/>
  <c r="M38" i="12"/>
  <c r="M36" i="12"/>
  <c r="M34" i="12"/>
  <c r="M32" i="12"/>
  <c r="M30" i="12"/>
  <c r="M28" i="12"/>
  <c r="M26" i="12"/>
  <c r="M24" i="12"/>
  <c r="M22" i="12"/>
  <c r="M20" i="12"/>
  <c r="M18" i="12"/>
  <c r="M16" i="12"/>
  <c r="M14" i="12"/>
  <c r="M12" i="12"/>
  <c r="M10" i="12"/>
  <c r="M8" i="12"/>
  <c r="D7" i="12"/>
  <c r="G7" i="12"/>
  <c r="G41" i="12"/>
  <c r="G39" i="12"/>
  <c r="G37" i="12"/>
  <c r="G35" i="12"/>
  <c r="G33" i="12"/>
  <c r="G31" i="12"/>
  <c r="G29" i="12"/>
  <c r="G27" i="12"/>
  <c r="G25" i="12"/>
  <c r="G23" i="12"/>
  <c r="G21" i="12"/>
  <c r="G19" i="12"/>
  <c r="G17" i="12"/>
  <c r="G15" i="12"/>
  <c r="G13" i="12"/>
  <c r="G11" i="12"/>
  <c r="G9" i="12"/>
  <c r="J7" i="12"/>
  <c r="J41" i="12"/>
  <c r="J39" i="12"/>
  <c r="J37" i="12"/>
  <c r="J35" i="12"/>
  <c r="J33" i="12"/>
  <c r="J31" i="12"/>
  <c r="J29" i="12"/>
  <c r="J27" i="12"/>
  <c r="J25" i="12"/>
  <c r="J23" i="12"/>
  <c r="J21" i="12"/>
  <c r="J19" i="12"/>
  <c r="J17" i="12"/>
  <c r="J15" i="12"/>
  <c r="J13" i="12"/>
  <c r="J11" i="12"/>
  <c r="J9" i="12"/>
  <c r="M41" i="12"/>
  <c r="M39" i="12"/>
  <c r="M37" i="12"/>
  <c r="M35" i="12"/>
  <c r="M33" i="12"/>
  <c r="M31" i="12"/>
  <c r="M29" i="12"/>
  <c r="M27" i="12"/>
  <c r="M25" i="12"/>
  <c r="M23" i="12"/>
  <c r="M21" i="12"/>
  <c r="M19" i="12"/>
  <c r="M17" i="12"/>
  <c r="M15" i="12"/>
  <c r="M13" i="12"/>
  <c r="M11" i="12"/>
  <c r="M9" i="12"/>
  <c r="D47" i="6"/>
  <c r="E47" i="6"/>
  <c r="F47" i="6"/>
  <c r="G47" i="6"/>
  <c r="H47" i="6"/>
  <c r="I47" i="6"/>
  <c r="J47" i="6"/>
  <c r="K47" i="6"/>
  <c r="L47" i="6"/>
  <c r="M47" i="6"/>
  <c r="N47" i="6"/>
  <c r="O47" i="6"/>
  <c r="P47" i="6"/>
  <c r="Q47" i="6"/>
  <c r="C47" i="6"/>
  <c r="C8" i="2"/>
  <c r="N14" i="7"/>
  <c r="N13" i="7"/>
  <c r="M13" i="7"/>
  <c r="M12" i="7"/>
  <c r="O12" i="7"/>
  <c r="O23" i="7"/>
  <c r="L12" i="7"/>
  <c r="L23" i="7"/>
  <c r="K12" i="7"/>
  <c r="K23" i="7"/>
  <c r="O10" i="7"/>
  <c r="N10" i="7"/>
  <c r="M10" i="7"/>
  <c r="O9" i="7"/>
  <c r="N9" i="7"/>
  <c r="N8" i="7"/>
  <c r="M9" i="7"/>
  <c r="L9" i="7"/>
  <c r="L19" i="7"/>
  <c r="L20" i="7"/>
  <c r="L22" i="7"/>
  <c r="L24" i="7"/>
  <c r="L26" i="7"/>
  <c r="K9" i="7"/>
  <c r="K19" i="7"/>
  <c r="K20" i="7"/>
  <c r="K22" i="7"/>
  <c r="K24" i="7"/>
  <c r="K26" i="7"/>
  <c r="L8" i="7"/>
  <c r="N12" i="7"/>
  <c r="N23" i="7"/>
  <c r="G8" i="7"/>
  <c r="M8" i="7"/>
  <c r="K10" i="8"/>
  <c r="K19" i="8"/>
  <c r="L10" i="8"/>
  <c r="L19" i="8"/>
  <c r="M10" i="8"/>
  <c r="M19" i="8"/>
  <c r="N10" i="8"/>
  <c r="N15" i="8"/>
  <c r="N16" i="8"/>
  <c r="N18" i="8"/>
  <c r="J10" i="8"/>
  <c r="J19" i="8"/>
  <c r="K8" i="8"/>
  <c r="K7" i="8"/>
  <c r="K15" i="8"/>
  <c r="K16" i="8"/>
  <c r="M8" i="8"/>
  <c r="N8" i="8"/>
  <c r="J8" i="8"/>
  <c r="J7" i="8"/>
  <c r="D22" i="6"/>
  <c r="L13" i="6"/>
  <c r="M13" i="6"/>
  <c r="M18" i="6"/>
  <c r="N13" i="6"/>
  <c r="O13" i="6"/>
  <c r="O18" i="6"/>
  <c r="O21" i="6"/>
  <c r="P13" i="6"/>
  <c r="Q13" i="6"/>
  <c r="Q18" i="6"/>
  <c r="C22" i="6"/>
  <c r="E59" i="5"/>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3" i="4"/>
  <c r="M6" i="4"/>
  <c r="O6" i="4" a="1"/>
  <c r="O7" i="4"/>
  <c r="M15" i="8"/>
  <c r="M16" i="8"/>
  <c r="M18" i="8"/>
  <c r="M21" i="8"/>
  <c r="N19" i="8"/>
  <c r="P18" i="6"/>
  <c r="P21" i="6"/>
  <c r="N18" i="6"/>
  <c r="L18" i="6"/>
  <c r="L21" i="6"/>
  <c r="Q21" i="6"/>
  <c r="M21" i="6"/>
  <c r="N21" i="6"/>
  <c r="W35" i="2"/>
  <c r="N35" i="2"/>
  <c r="O35" i="2"/>
  <c r="P35" i="2"/>
  <c r="Q35" i="2"/>
  <c r="R35" i="2"/>
  <c r="S35" i="2"/>
  <c r="T35" i="2"/>
  <c r="U35" i="2"/>
  <c r="V35" i="2"/>
  <c r="M35" i="2"/>
  <c r="M23" i="2"/>
  <c r="C15" i="2"/>
  <c r="C13" i="2"/>
  <c r="C52" i="2"/>
  <c r="C14" i="2"/>
  <c r="C62" i="2"/>
  <c r="E62" i="2"/>
  <c r="N23" i="2"/>
  <c r="O23" i="2"/>
  <c r="O21" i="2"/>
  <c r="O33" i="2"/>
  <c r="C64" i="2"/>
  <c r="E64" i="2"/>
  <c r="C60" i="2"/>
  <c r="E60" i="2"/>
  <c r="F60" i="2"/>
  <c r="N21" i="2"/>
  <c r="N33" i="2"/>
  <c r="C30" i="2"/>
  <c r="E30" i="2"/>
  <c r="M33" i="2"/>
  <c r="M27" i="2"/>
  <c r="F37" i="2"/>
  <c r="M29" i="2"/>
  <c r="H46" i="2"/>
  <c r="C70" i="2"/>
  <c r="E70" i="2"/>
  <c r="C71" i="2"/>
  <c r="E71" i="2"/>
  <c r="H76" i="2"/>
  <c r="C68" i="2"/>
  <c r="E68" i="2"/>
  <c r="P8" i="4"/>
  <c r="F30" i="2"/>
  <c r="C63" i="2"/>
  <c r="E63" i="2"/>
  <c r="N31" i="2"/>
  <c r="N29" i="2"/>
  <c r="C61" i="2"/>
  <c r="E61" i="2"/>
  <c r="F61" i="2"/>
  <c r="F62" i="2"/>
  <c r="F63" i="2"/>
  <c r="F64" i="2"/>
  <c r="L8" i="8"/>
  <c r="L7" i="8"/>
  <c r="L15" i="8"/>
  <c r="M7" i="2"/>
  <c r="N7" i="2"/>
  <c r="L7" i="2"/>
  <c r="N19" i="7"/>
  <c r="N20" i="7"/>
  <c r="N22" i="7"/>
  <c r="N24" i="7"/>
  <c r="N26" i="7"/>
  <c r="K8" i="7"/>
  <c r="E8" i="7"/>
  <c r="O8" i="7"/>
  <c r="O17" i="7"/>
  <c r="O19" i="7"/>
  <c r="O20" i="7"/>
  <c r="O22" i="7"/>
  <c r="O24" i="7"/>
  <c r="O26" i="7"/>
  <c r="K22" i="6"/>
  <c r="N27" i="2"/>
  <c r="F38" i="2"/>
  <c r="F39" i="2"/>
  <c r="F40" i="2"/>
  <c r="F41" i="2"/>
  <c r="O31" i="2"/>
  <c r="O29" i="2"/>
  <c r="P23" i="2"/>
  <c r="C53" i="2"/>
  <c r="E52" i="2"/>
  <c r="P7" i="4"/>
  <c r="O8" i="4"/>
  <c r="O6" i="4"/>
  <c r="P6" i="4"/>
  <c r="N21" i="8"/>
  <c r="C69" i="2"/>
  <c r="E69" i="2"/>
  <c r="C67" i="2"/>
  <c r="M23" i="7"/>
  <c r="M19" i="7"/>
  <c r="J15" i="8"/>
  <c r="J16" i="8"/>
  <c r="F8" i="7"/>
  <c r="L16" i="8"/>
  <c r="L18" i="8"/>
  <c r="L21" i="8"/>
  <c r="J18" i="8"/>
  <c r="J21" i="8"/>
  <c r="K18" i="8"/>
  <c r="K21" i="8"/>
  <c r="N12" i="2"/>
  <c r="N13" i="2"/>
  <c r="N8" i="2"/>
  <c r="L8" i="2"/>
  <c r="L9" i="2"/>
  <c r="L12" i="2"/>
  <c r="L13" i="2"/>
  <c r="L14" i="2"/>
  <c r="M8" i="2"/>
  <c r="M12" i="2"/>
  <c r="M13" i="2"/>
  <c r="M14" i="2"/>
  <c r="N14" i="2"/>
  <c r="B76" i="2"/>
  <c r="F52" i="2"/>
  <c r="Q23" i="2"/>
  <c r="P31" i="2"/>
  <c r="P21" i="2"/>
  <c r="P33" i="2"/>
  <c r="P27" i="2"/>
  <c r="F31" i="2"/>
  <c r="F32" i="2"/>
  <c r="F33" i="2"/>
  <c r="F34" i="2"/>
  <c r="M20" i="7"/>
  <c r="M22" i="7"/>
  <c r="M24" i="7"/>
  <c r="M26" i="7"/>
  <c r="K28" i="7"/>
  <c r="E10" i="9"/>
  <c r="E67" i="2"/>
  <c r="F67" i="2"/>
  <c r="F68" i="2"/>
  <c r="F69" i="2"/>
  <c r="F70" i="2"/>
  <c r="F71" i="2"/>
  <c r="E53" i="2"/>
  <c r="C76" i="2"/>
  <c r="C54" i="2"/>
  <c r="K21" i="6"/>
  <c r="O27" i="2"/>
  <c r="D21" i="6"/>
  <c r="AH39" i="12"/>
  <c r="AI39" i="12"/>
  <c r="F22" i="2"/>
  <c r="O14" i="2"/>
  <c r="P14" i="2"/>
  <c r="Q14" i="2"/>
  <c r="R14" i="2"/>
  <c r="C21" i="6"/>
  <c r="M9" i="2"/>
  <c r="N9" i="2"/>
  <c r="E9" i="9"/>
  <c r="D22" i="9"/>
  <c r="E12" i="9"/>
  <c r="Q31" i="2"/>
  <c r="R23" i="2"/>
  <c r="Q21" i="2"/>
  <c r="Q33" i="2"/>
  <c r="Q27" i="2"/>
  <c r="C55" i="2"/>
  <c r="E54" i="2"/>
  <c r="D76" i="2"/>
  <c r="P29" i="2"/>
  <c r="F53" i="2"/>
  <c r="F54" i="2"/>
  <c r="R9" i="2"/>
  <c r="O9" i="2"/>
  <c r="P9" i="2"/>
  <c r="Q9" i="2"/>
  <c r="E22" i="6"/>
  <c r="C46" i="2"/>
  <c r="F23" i="2"/>
  <c r="C56" i="2"/>
  <c r="E55" i="2"/>
  <c r="E76" i="2"/>
  <c r="R21" i="2"/>
  <c r="R33" i="2"/>
  <c r="R31" i="2"/>
  <c r="R29" i="2"/>
  <c r="S23" i="2"/>
  <c r="D21" i="9"/>
  <c r="E11" i="9"/>
  <c r="Q29" i="2"/>
  <c r="O21" i="9"/>
  <c r="F24" i="2"/>
  <c r="F22" i="6"/>
  <c r="E21" i="6"/>
  <c r="D46" i="2"/>
  <c r="F55" i="2"/>
  <c r="E56" i="2"/>
  <c r="F56" i="2"/>
  <c r="S21" i="2"/>
  <c r="S33" i="2"/>
  <c r="S31" i="2"/>
  <c r="S29" i="2"/>
  <c r="T23" i="2"/>
  <c r="R27" i="2"/>
  <c r="F76" i="2"/>
  <c r="C57" i="2"/>
  <c r="E57" i="2"/>
  <c r="G76" i="2"/>
  <c r="G22" i="6"/>
  <c r="F21" i="6"/>
  <c r="E46" i="2"/>
  <c r="F25" i="2"/>
  <c r="F26" i="2"/>
  <c r="F27" i="2"/>
  <c r="F57" i="2"/>
  <c r="T21" i="2"/>
  <c r="T33" i="2"/>
  <c r="T31" i="2"/>
  <c r="T27" i="2"/>
  <c r="U23" i="2"/>
  <c r="S27" i="2"/>
  <c r="F46" i="2"/>
  <c r="G21" i="6"/>
  <c r="H22" i="6"/>
  <c r="G46" i="2"/>
  <c r="U21" i="2"/>
  <c r="U33" i="2"/>
  <c r="U31" i="2"/>
  <c r="V23" i="2"/>
  <c r="T29" i="2"/>
  <c r="U29" i="2"/>
  <c r="I22" i="6"/>
  <c r="J22" i="6"/>
  <c r="W23" i="2"/>
  <c r="V31" i="2"/>
  <c r="V21" i="2"/>
  <c r="V33" i="2"/>
  <c r="V29" i="2"/>
  <c r="U27" i="2"/>
  <c r="I21" i="6"/>
  <c r="H21" i="6"/>
  <c r="S23" i="6"/>
  <c r="V27" i="2"/>
  <c r="W21" i="2"/>
  <c r="W33" i="2"/>
  <c r="W31" i="2"/>
  <c r="W29" i="2"/>
  <c r="J21" i="6"/>
  <c r="W27" i="2"/>
  <c r="M7" i="4"/>
  <c r="M8" i="4"/>
  <c r="L17" i="4"/>
  <c r="L18" i="4"/>
  <c r="C25" i="6"/>
  <c r="V52" i="19"/>
  <c r="C19" i="19"/>
  <c r="C22" i="19"/>
  <c r="C2" i="19"/>
  <c r="C16" i="19"/>
  <c r="C11" i="19"/>
  <c r="C25" i="19"/>
  <c r="D25" i="6"/>
  <c r="W52" i="19"/>
  <c r="D19" i="19"/>
  <c r="D22" i="19"/>
  <c r="D16" i="19"/>
  <c r="D11" i="19"/>
  <c r="D25" i="19"/>
  <c r="E25" i="6"/>
  <c r="X52" i="19"/>
  <c r="E19" i="19"/>
  <c r="E22" i="19"/>
  <c r="E16" i="19"/>
  <c r="E11" i="19"/>
  <c r="E25" i="19"/>
  <c r="F25" i="6"/>
  <c r="Y52" i="19"/>
  <c r="F19" i="19"/>
  <c r="F22" i="19"/>
  <c r="F16" i="19"/>
  <c r="F11" i="19"/>
  <c r="F25" i="19"/>
  <c r="G25" i="6"/>
  <c r="Z52" i="19"/>
  <c r="G19" i="19"/>
  <c r="H25" i="6"/>
  <c r="AA52" i="19"/>
  <c r="H19" i="19"/>
  <c r="I25" i="6"/>
  <c r="AB52" i="19"/>
  <c r="I19" i="19"/>
  <c r="J25" i="6"/>
  <c r="AC52" i="19"/>
  <c r="J19" i="19"/>
  <c r="K25" i="6"/>
  <c r="AD52" i="19"/>
  <c r="K19" i="19"/>
  <c r="C52" i="19"/>
  <c r="C55" i="19"/>
  <c r="C49" i="19"/>
  <c r="C44" i="19"/>
  <c r="C58" i="19"/>
  <c r="D52" i="19"/>
  <c r="D55" i="19"/>
  <c r="D49" i="19"/>
  <c r="D44" i="19"/>
  <c r="D58" i="19"/>
  <c r="E52" i="19"/>
  <c r="E55" i="19"/>
  <c r="E49" i="19"/>
  <c r="E44" i="19"/>
  <c r="E58" i="19"/>
  <c r="F52" i="19"/>
  <c r="F55" i="19"/>
  <c r="F49" i="19"/>
  <c r="F44" i="19"/>
  <c r="F58" i="19"/>
  <c r="G52" i="19"/>
  <c r="H52" i="19"/>
  <c r="I52" i="19"/>
  <c r="J52" i="19"/>
  <c r="K52" i="19"/>
  <c r="L25" i="6"/>
  <c r="AE52" i="19"/>
  <c r="L52" i="19"/>
  <c r="M25" i="6"/>
  <c r="AF52" i="19"/>
  <c r="M52" i="19"/>
  <c r="N25" i="6"/>
  <c r="AG52" i="19"/>
  <c r="N52" i="19"/>
  <c r="O25" i="6"/>
  <c r="AH52" i="19"/>
  <c r="O52" i="19"/>
  <c r="P25" i="6"/>
  <c r="AI52" i="19"/>
  <c r="P52" i="19"/>
  <c r="Q25" i="6"/>
  <c r="AJ52" i="19"/>
  <c r="Q52" i="19"/>
  <c r="G16" i="11"/>
  <c r="K28" i="11"/>
  <c r="L28" i="11"/>
  <c r="M28" i="11"/>
  <c r="N28" i="11"/>
  <c r="O28" i="11"/>
  <c r="P28" i="11"/>
  <c r="Q28" i="11"/>
  <c r="R28" i="11"/>
  <c r="S28" i="11"/>
  <c r="T28" i="11"/>
  <c r="U28" i="11"/>
  <c r="V28" i="11"/>
  <c r="W28" i="11"/>
  <c r="Q7" i="12"/>
  <c r="C27" i="6"/>
  <c r="R7" i="12"/>
  <c r="S7" i="12"/>
  <c r="K52" i="11"/>
  <c r="L52" i="11"/>
  <c r="M52" i="11"/>
  <c r="N52" i="11"/>
  <c r="O52" i="11"/>
  <c r="P52" i="11"/>
  <c r="Q52" i="11"/>
  <c r="R52" i="11"/>
  <c r="S52" i="11"/>
  <c r="T52" i="11"/>
  <c r="U52" i="11"/>
  <c r="V52" i="11"/>
  <c r="W52" i="11"/>
  <c r="Q8" i="12"/>
  <c r="R8" i="12"/>
  <c r="S8" i="12"/>
  <c r="K76" i="11"/>
  <c r="L76" i="11"/>
  <c r="M76" i="11"/>
  <c r="N76" i="11"/>
  <c r="O76" i="11"/>
  <c r="P76" i="11"/>
  <c r="Q76" i="11"/>
  <c r="R76" i="11"/>
  <c r="S76" i="11"/>
  <c r="T76" i="11"/>
  <c r="U76" i="11"/>
  <c r="V76" i="11"/>
  <c r="W76" i="11"/>
  <c r="Q9" i="12"/>
  <c r="R9" i="12"/>
  <c r="S9" i="12"/>
  <c r="K100" i="11"/>
  <c r="L100" i="11"/>
  <c r="M100" i="11"/>
  <c r="N100" i="11"/>
  <c r="O100" i="11"/>
  <c r="P100" i="11"/>
  <c r="Q100" i="11"/>
  <c r="R100" i="11"/>
  <c r="S100" i="11"/>
  <c r="T100" i="11"/>
  <c r="U100" i="11"/>
  <c r="V100" i="11"/>
  <c r="W100" i="11"/>
  <c r="Q10" i="12"/>
  <c r="R10" i="12"/>
  <c r="S10" i="12"/>
  <c r="K124" i="11"/>
  <c r="L124" i="11"/>
  <c r="M124" i="11"/>
  <c r="N124" i="11"/>
  <c r="O124" i="11"/>
  <c r="P124" i="11"/>
  <c r="Q124" i="11"/>
  <c r="R124" i="11"/>
  <c r="S124" i="11"/>
  <c r="T124" i="11"/>
  <c r="U124" i="11"/>
  <c r="V124" i="11"/>
  <c r="W124" i="11"/>
  <c r="Q11" i="12"/>
  <c r="R11" i="12"/>
  <c r="S11" i="12"/>
  <c r="K148" i="11"/>
  <c r="L148" i="11"/>
  <c r="M148" i="11"/>
  <c r="N148" i="11"/>
  <c r="O148" i="11"/>
  <c r="P148" i="11"/>
  <c r="Q148" i="11"/>
  <c r="R148" i="11"/>
  <c r="S148" i="11"/>
  <c r="T148" i="11"/>
  <c r="U148" i="11"/>
  <c r="V148" i="11"/>
  <c r="W148" i="11"/>
  <c r="Q12" i="12"/>
  <c r="R12" i="12"/>
  <c r="S12" i="12"/>
  <c r="K172" i="11"/>
  <c r="L172" i="11"/>
  <c r="M172" i="11"/>
  <c r="N172" i="11"/>
  <c r="O172" i="11"/>
  <c r="P172" i="11"/>
  <c r="Q172" i="11"/>
  <c r="R172" i="11"/>
  <c r="S172" i="11"/>
  <c r="T172" i="11"/>
  <c r="U172" i="11"/>
  <c r="V172" i="11"/>
  <c r="W172" i="11"/>
  <c r="Q13" i="12"/>
  <c r="R13" i="12"/>
  <c r="S13" i="12"/>
  <c r="K196" i="11"/>
  <c r="L196" i="11"/>
  <c r="M196" i="11"/>
  <c r="N196" i="11"/>
  <c r="O196" i="11"/>
  <c r="P196" i="11"/>
  <c r="Q196" i="11"/>
  <c r="R196" i="11"/>
  <c r="S196" i="11"/>
  <c r="T196" i="11"/>
  <c r="U196" i="11"/>
  <c r="V196" i="11"/>
  <c r="W196" i="11"/>
  <c r="Q14" i="12"/>
  <c r="R14" i="12"/>
  <c r="S14" i="12"/>
  <c r="K220" i="11"/>
  <c r="L220" i="11"/>
  <c r="M220" i="11"/>
  <c r="N220" i="11"/>
  <c r="O220" i="11"/>
  <c r="P220" i="11"/>
  <c r="Q220" i="11"/>
  <c r="R220" i="11"/>
  <c r="S220" i="11"/>
  <c r="T220" i="11"/>
  <c r="U220" i="11"/>
  <c r="V220" i="11"/>
  <c r="W220" i="11"/>
  <c r="Q15" i="12"/>
  <c r="R15" i="12"/>
  <c r="S15" i="12"/>
  <c r="K244" i="11"/>
  <c r="L244" i="11"/>
  <c r="M244" i="11"/>
  <c r="N244" i="11"/>
  <c r="O244" i="11"/>
  <c r="P244" i="11"/>
  <c r="Q244" i="11"/>
  <c r="R244" i="11"/>
  <c r="S244" i="11"/>
  <c r="T244" i="11"/>
  <c r="U244" i="11"/>
  <c r="V244" i="11"/>
  <c r="W244" i="11"/>
  <c r="Q16" i="12"/>
  <c r="R16" i="12"/>
  <c r="S16" i="12"/>
  <c r="K268" i="11"/>
  <c r="L268" i="11"/>
  <c r="M268" i="11"/>
  <c r="N268" i="11"/>
  <c r="O268" i="11"/>
  <c r="P268" i="11"/>
  <c r="Q268" i="11"/>
  <c r="R268" i="11"/>
  <c r="S268" i="11"/>
  <c r="T268" i="11"/>
  <c r="U268" i="11"/>
  <c r="V268" i="11"/>
  <c r="W268" i="11"/>
  <c r="Q17" i="12"/>
  <c r="R17" i="12"/>
  <c r="S17" i="12"/>
  <c r="K293" i="11"/>
  <c r="L293" i="11"/>
  <c r="M293" i="11"/>
  <c r="N293" i="11"/>
  <c r="O293" i="11"/>
  <c r="P293" i="11"/>
  <c r="Q293" i="11"/>
  <c r="R293" i="11"/>
  <c r="S293" i="11"/>
  <c r="T293" i="11"/>
  <c r="U293" i="11"/>
  <c r="V293" i="11"/>
  <c r="W293" i="11"/>
  <c r="Q18" i="12"/>
  <c r="R18" i="12"/>
  <c r="S18" i="12"/>
  <c r="K317" i="11"/>
  <c r="L317" i="11"/>
  <c r="M317" i="11"/>
  <c r="N317" i="11"/>
  <c r="O317" i="11"/>
  <c r="P317" i="11"/>
  <c r="Q317" i="11"/>
  <c r="R317" i="11"/>
  <c r="S317" i="11"/>
  <c r="T317" i="11"/>
  <c r="U317" i="11"/>
  <c r="V317" i="11"/>
  <c r="W317" i="11"/>
  <c r="Q19" i="12"/>
  <c r="R19" i="12"/>
  <c r="S19" i="12"/>
  <c r="K341" i="11"/>
  <c r="L341" i="11"/>
  <c r="M341" i="11"/>
  <c r="N341" i="11"/>
  <c r="O341" i="11"/>
  <c r="P341" i="11"/>
  <c r="Q341" i="11"/>
  <c r="R341" i="11"/>
  <c r="S341" i="11"/>
  <c r="T341" i="11"/>
  <c r="U341" i="11"/>
  <c r="V341" i="11"/>
  <c r="W341" i="11"/>
  <c r="Q20" i="12"/>
  <c r="R20" i="12"/>
  <c r="S20" i="12"/>
  <c r="K365" i="11"/>
  <c r="L365" i="11"/>
  <c r="M365" i="11"/>
  <c r="N365" i="11"/>
  <c r="O365" i="11"/>
  <c r="P365" i="11"/>
  <c r="Q365" i="11"/>
  <c r="R365" i="11"/>
  <c r="S365" i="11"/>
  <c r="T365" i="11"/>
  <c r="U365" i="11"/>
  <c r="V365" i="11"/>
  <c r="W365" i="11"/>
  <c r="Q21" i="12"/>
  <c r="R21" i="12"/>
  <c r="S21" i="12"/>
  <c r="K388" i="11"/>
  <c r="L388" i="11"/>
  <c r="M388" i="11"/>
  <c r="N388" i="11"/>
  <c r="O388" i="11"/>
  <c r="P388" i="11"/>
  <c r="Q388" i="11"/>
  <c r="R388" i="11"/>
  <c r="S388" i="11"/>
  <c r="T388" i="11"/>
  <c r="U388" i="11"/>
  <c r="V388" i="11"/>
  <c r="W388" i="11"/>
  <c r="Q22" i="12"/>
  <c r="R22" i="12"/>
  <c r="S22" i="12"/>
  <c r="K412" i="11"/>
  <c r="L412" i="11"/>
  <c r="M412" i="11"/>
  <c r="N412" i="11"/>
  <c r="O412" i="11"/>
  <c r="P412" i="11"/>
  <c r="Q412" i="11"/>
  <c r="R412" i="11"/>
  <c r="S412" i="11"/>
  <c r="T412" i="11"/>
  <c r="U412" i="11"/>
  <c r="V412" i="11"/>
  <c r="W412" i="11"/>
  <c r="Q23" i="12"/>
  <c r="R23" i="12"/>
  <c r="S23" i="12"/>
  <c r="K436" i="11"/>
  <c r="L436" i="11"/>
  <c r="M436" i="11"/>
  <c r="N436" i="11"/>
  <c r="O436" i="11"/>
  <c r="P436" i="11"/>
  <c r="Q436" i="11"/>
  <c r="R436" i="11"/>
  <c r="S436" i="11"/>
  <c r="T436" i="11"/>
  <c r="U436" i="11"/>
  <c r="V436" i="11"/>
  <c r="W436" i="11"/>
  <c r="Q24" i="12"/>
  <c r="R24" i="12"/>
  <c r="S24" i="12"/>
  <c r="K460" i="11"/>
  <c r="L460" i="11"/>
  <c r="M460" i="11"/>
  <c r="N460" i="11"/>
  <c r="O460" i="11"/>
  <c r="P460" i="11"/>
  <c r="Q460" i="11"/>
  <c r="R460" i="11"/>
  <c r="S460" i="11"/>
  <c r="T460" i="11"/>
  <c r="U460" i="11"/>
  <c r="V460" i="11"/>
  <c r="W460" i="11"/>
  <c r="Q25" i="12"/>
  <c r="R25" i="12"/>
  <c r="S25" i="12"/>
  <c r="K484" i="11"/>
  <c r="L484" i="11"/>
  <c r="M484" i="11"/>
  <c r="N484" i="11"/>
  <c r="O484" i="11"/>
  <c r="P484" i="11"/>
  <c r="Q484" i="11"/>
  <c r="R484" i="11"/>
  <c r="S484" i="11"/>
  <c r="T484" i="11"/>
  <c r="U484" i="11"/>
  <c r="V484" i="11"/>
  <c r="W484" i="11"/>
  <c r="Q26" i="12"/>
  <c r="R26" i="12"/>
  <c r="S26" i="12"/>
  <c r="K508" i="11"/>
  <c r="L508" i="11"/>
  <c r="M508" i="11"/>
  <c r="N508" i="11"/>
  <c r="O508" i="11"/>
  <c r="P508" i="11"/>
  <c r="Q508" i="11"/>
  <c r="R508" i="11"/>
  <c r="S508" i="11"/>
  <c r="T508" i="11"/>
  <c r="U508" i="11"/>
  <c r="V508" i="11"/>
  <c r="W508" i="11"/>
  <c r="Q27" i="12"/>
  <c r="R27" i="12"/>
  <c r="S27" i="12"/>
  <c r="K532" i="11"/>
  <c r="L532" i="11"/>
  <c r="M532" i="11"/>
  <c r="N532" i="11"/>
  <c r="O532" i="11"/>
  <c r="P532" i="11"/>
  <c r="Q532" i="11"/>
  <c r="R532" i="11"/>
  <c r="S532" i="11"/>
  <c r="T532" i="11"/>
  <c r="U532" i="11"/>
  <c r="V532" i="11"/>
  <c r="W532" i="11"/>
  <c r="Q28" i="12"/>
  <c r="R28" i="12"/>
  <c r="S28" i="12"/>
  <c r="K557" i="11"/>
  <c r="L557" i="11"/>
  <c r="M557" i="11"/>
  <c r="N557" i="11"/>
  <c r="O557" i="11"/>
  <c r="P557" i="11"/>
  <c r="Q557" i="11"/>
  <c r="R557" i="11"/>
  <c r="S557" i="11"/>
  <c r="T557" i="11"/>
  <c r="U557" i="11"/>
  <c r="V557" i="11"/>
  <c r="W557" i="11"/>
  <c r="Q29" i="12"/>
  <c r="R29" i="12"/>
  <c r="S29" i="12"/>
  <c r="K582" i="11"/>
  <c r="L582" i="11"/>
  <c r="M582" i="11"/>
  <c r="N582" i="11"/>
  <c r="O582" i="11"/>
  <c r="P582" i="11"/>
  <c r="Q582" i="11"/>
  <c r="R582" i="11"/>
  <c r="S582" i="11"/>
  <c r="T582" i="11"/>
  <c r="U582" i="11"/>
  <c r="V582" i="11"/>
  <c r="W582" i="11"/>
  <c r="Q30" i="12"/>
  <c r="R30" i="12"/>
  <c r="S30" i="12"/>
  <c r="K606" i="11"/>
  <c r="L606" i="11"/>
  <c r="M606" i="11"/>
  <c r="N606" i="11"/>
  <c r="O606" i="11"/>
  <c r="P606" i="11"/>
  <c r="Q606" i="11"/>
  <c r="R606" i="11"/>
  <c r="S606" i="11"/>
  <c r="T606" i="11"/>
  <c r="U606" i="11"/>
  <c r="V606" i="11"/>
  <c r="W606" i="11"/>
  <c r="Q31" i="12"/>
  <c r="R31" i="12"/>
  <c r="S31" i="12"/>
  <c r="K631" i="11"/>
  <c r="L631" i="11"/>
  <c r="M631" i="11"/>
  <c r="N631" i="11"/>
  <c r="O631" i="11"/>
  <c r="P631" i="11"/>
  <c r="Q631" i="11"/>
  <c r="R631" i="11"/>
  <c r="S631" i="11"/>
  <c r="T631" i="11"/>
  <c r="U631" i="11"/>
  <c r="V631" i="11"/>
  <c r="W631" i="11"/>
  <c r="Q32" i="12"/>
  <c r="R32" i="12"/>
  <c r="S32" i="12"/>
  <c r="K655" i="11"/>
  <c r="L655" i="11"/>
  <c r="M655" i="11"/>
  <c r="N655" i="11"/>
  <c r="O655" i="11"/>
  <c r="P655" i="11"/>
  <c r="Q655" i="11"/>
  <c r="R655" i="11"/>
  <c r="S655" i="11"/>
  <c r="T655" i="11"/>
  <c r="U655" i="11"/>
  <c r="V655" i="11"/>
  <c r="W655" i="11"/>
  <c r="Q33" i="12"/>
  <c r="R33" i="12"/>
  <c r="S33" i="12"/>
  <c r="K680" i="11"/>
  <c r="L680" i="11"/>
  <c r="M680" i="11"/>
  <c r="N680" i="11"/>
  <c r="O680" i="11"/>
  <c r="P680" i="11"/>
  <c r="Q680" i="11"/>
  <c r="R680" i="11"/>
  <c r="S680" i="11"/>
  <c r="T680" i="11"/>
  <c r="U680" i="11"/>
  <c r="V680" i="11"/>
  <c r="W680" i="11"/>
  <c r="Q34" i="12"/>
  <c r="R34" i="12"/>
  <c r="S34" i="12"/>
  <c r="K705" i="11"/>
  <c r="L705" i="11"/>
  <c r="M705" i="11"/>
  <c r="N705" i="11"/>
  <c r="O705" i="11"/>
  <c r="P705" i="11"/>
  <c r="Q705" i="11"/>
  <c r="R705" i="11"/>
  <c r="S705" i="11"/>
  <c r="T705" i="11"/>
  <c r="U705" i="11"/>
  <c r="V705" i="11"/>
  <c r="W705" i="11"/>
  <c r="Q35" i="12"/>
  <c r="R35" i="12"/>
  <c r="S35" i="12"/>
  <c r="K729" i="11"/>
  <c r="L729" i="11"/>
  <c r="M729" i="11"/>
  <c r="N729" i="11"/>
  <c r="O729" i="11"/>
  <c r="P729" i="11"/>
  <c r="Q729" i="11"/>
  <c r="R729" i="11"/>
  <c r="S729" i="11"/>
  <c r="T729" i="11"/>
  <c r="U729" i="11"/>
  <c r="V729" i="11"/>
  <c r="W729" i="11"/>
  <c r="Q36" i="12"/>
  <c r="R36" i="12"/>
  <c r="S36" i="12"/>
  <c r="K754" i="11"/>
  <c r="L754" i="11"/>
  <c r="M754" i="11"/>
  <c r="N754" i="11"/>
  <c r="O754" i="11"/>
  <c r="P754" i="11"/>
  <c r="Q754" i="11"/>
  <c r="R754" i="11"/>
  <c r="S754" i="11"/>
  <c r="T754" i="11"/>
  <c r="U754" i="11"/>
  <c r="V754" i="11"/>
  <c r="W754" i="11"/>
  <c r="Q37" i="12"/>
  <c r="R37" i="12"/>
  <c r="S37" i="12"/>
  <c r="K778" i="11"/>
  <c r="L778" i="11"/>
  <c r="M778" i="11"/>
  <c r="N778" i="11"/>
  <c r="O778" i="11"/>
  <c r="P778" i="11"/>
  <c r="Q778" i="11"/>
  <c r="R778" i="11"/>
  <c r="S778" i="11"/>
  <c r="T778" i="11"/>
  <c r="U778" i="11"/>
  <c r="V778" i="11"/>
  <c r="W778" i="11"/>
  <c r="Q38" i="12"/>
  <c r="R38" i="12"/>
  <c r="S38" i="12"/>
  <c r="K802" i="11"/>
  <c r="L802" i="11"/>
  <c r="M802" i="11"/>
  <c r="N802" i="11"/>
  <c r="O802" i="11"/>
  <c r="P802" i="11"/>
  <c r="Q802" i="11"/>
  <c r="R802" i="11"/>
  <c r="S802" i="11"/>
  <c r="T802" i="11"/>
  <c r="U802" i="11"/>
  <c r="V802" i="11"/>
  <c r="W802" i="11"/>
  <c r="Q39" i="12"/>
  <c r="R39" i="12"/>
  <c r="S39" i="12"/>
  <c r="K826" i="11"/>
  <c r="L826" i="11"/>
  <c r="M826" i="11"/>
  <c r="N826" i="11"/>
  <c r="O826" i="11"/>
  <c r="P826" i="11"/>
  <c r="Q826" i="11"/>
  <c r="R826" i="11"/>
  <c r="S826" i="11"/>
  <c r="T826" i="11"/>
  <c r="U826" i="11"/>
  <c r="V826" i="11"/>
  <c r="W826" i="11"/>
  <c r="Q40" i="12"/>
  <c r="R40" i="12"/>
  <c r="S40" i="12"/>
  <c r="K849" i="11"/>
  <c r="L849" i="11"/>
  <c r="M849" i="11"/>
  <c r="N849" i="11"/>
  <c r="O849" i="11"/>
  <c r="P849" i="11"/>
  <c r="Q849" i="11"/>
  <c r="R849" i="11"/>
  <c r="S849" i="11"/>
  <c r="T849" i="11"/>
  <c r="U849" i="11"/>
  <c r="V849" i="11"/>
  <c r="W849" i="11"/>
  <c r="Q41" i="12"/>
  <c r="R41" i="12"/>
  <c r="S41" i="12"/>
  <c r="K875" i="11"/>
  <c r="L875" i="11"/>
  <c r="M875" i="11"/>
  <c r="N875" i="11"/>
  <c r="O875" i="11"/>
  <c r="P875" i="11"/>
  <c r="Q875" i="11"/>
  <c r="R875" i="11"/>
  <c r="S875" i="11"/>
  <c r="T875" i="11"/>
  <c r="U875" i="11"/>
  <c r="V875" i="11"/>
  <c r="W875" i="11"/>
  <c r="Q42" i="12"/>
  <c r="R42" i="12"/>
  <c r="S42" i="12"/>
  <c r="AF25" i="12"/>
  <c r="T7" i="12"/>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AF24" i="12"/>
  <c r="Y7" i="12"/>
  <c r="Y8" i="12"/>
  <c r="Y9"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AF26" i="12"/>
  <c r="AF27" i="12"/>
  <c r="AF29" i="12"/>
  <c r="AF28" i="12"/>
  <c r="AF30" i="12"/>
  <c r="W7" i="12"/>
  <c r="X7" i="12"/>
  <c r="W8" i="12"/>
  <c r="X8" i="12"/>
  <c r="W9" i="12"/>
  <c r="X9" i="12"/>
  <c r="W10" i="12"/>
  <c r="X10" i="12"/>
  <c r="W11" i="12"/>
  <c r="X11" i="12"/>
  <c r="W12" i="12"/>
  <c r="X12" i="12"/>
  <c r="W13" i="12"/>
  <c r="X13" i="12"/>
  <c r="W14" i="12"/>
  <c r="X14" i="12"/>
  <c r="W15" i="12"/>
  <c r="X15" i="12"/>
  <c r="W16" i="12"/>
  <c r="X16" i="12"/>
  <c r="W17" i="12"/>
  <c r="X17" i="12"/>
  <c r="W18" i="12"/>
  <c r="X18" i="12"/>
  <c r="W19" i="12"/>
  <c r="X19" i="12"/>
  <c r="W20" i="12"/>
  <c r="X20" i="12"/>
  <c r="W21" i="12"/>
  <c r="X21" i="12"/>
  <c r="W22" i="12"/>
  <c r="X22" i="12"/>
  <c r="W23" i="12"/>
  <c r="X23" i="12"/>
  <c r="W24" i="12"/>
  <c r="X24" i="12"/>
  <c r="W25" i="12"/>
  <c r="X25" i="12"/>
  <c r="W26" i="12"/>
  <c r="X26" i="12"/>
  <c r="W27" i="12"/>
  <c r="X27" i="12"/>
  <c r="W28" i="12"/>
  <c r="X28" i="12"/>
  <c r="W29" i="12"/>
  <c r="X29" i="12"/>
  <c r="W30" i="12"/>
  <c r="X30" i="12"/>
  <c r="W31" i="12"/>
  <c r="X31" i="12"/>
  <c r="W32" i="12"/>
  <c r="X32" i="12"/>
  <c r="W33" i="12"/>
  <c r="X33" i="12"/>
  <c r="W34" i="12"/>
  <c r="X34" i="12"/>
  <c r="W35" i="12"/>
  <c r="X35" i="12"/>
  <c r="W36" i="12"/>
  <c r="X36" i="12"/>
  <c r="W37" i="12"/>
  <c r="X37" i="12"/>
  <c r="W38" i="12"/>
  <c r="X38" i="12"/>
  <c r="W39" i="12"/>
  <c r="X39" i="12"/>
  <c r="W40" i="12"/>
  <c r="X40" i="12"/>
  <c r="W41" i="12"/>
  <c r="X41" i="12"/>
  <c r="W42" i="12"/>
  <c r="X42" i="12"/>
  <c r="X44" i="12"/>
  <c r="T44" i="12"/>
  <c r="Y44" i="12"/>
  <c r="Y43" i="12"/>
  <c r="BE23" i="12"/>
  <c r="AM23" i="12"/>
  <c r="AN23" i="12"/>
  <c r="AO23" i="12"/>
  <c r="AP23" i="12"/>
  <c r="AQ23" i="12"/>
  <c r="AR23" i="12"/>
  <c r="AS23" i="12"/>
  <c r="AT23" i="12"/>
  <c r="AU23" i="12"/>
  <c r="AV23" i="12"/>
  <c r="AW23" i="12"/>
  <c r="AX23" i="12"/>
  <c r="AY23" i="12"/>
  <c r="AZ23" i="12"/>
  <c r="BA23" i="12"/>
  <c r="BB23" i="12"/>
  <c r="BD23" i="12"/>
  <c r="BF23" i="12"/>
  <c r="AM7" i="12"/>
  <c r="AN7" i="12"/>
  <c r="AO7" i="12"/>
  <c r="AP7" i="12"/>
  <c r="AQ7" i="12"/>
  <c r="AR7" i="12"/>
  <c r="AS7" i="12"/>
  <c r="AT7" i="12"/>
  <c r="AU7" i="12"/>
  <c r="AV7" i="12"/>
  <c r="AW7" i="12"/>
  <c r="AX7" i="12"/>
  <c r="AY7" i="12"/>
  <c r="AZ7" i="12"/>
  <c r="BA7" i="12"/>
  <c r="BB7" i="12"/>
  <c r="U7" i="12"/>
  <c r="V7" i="12"/>
  <c r="AM8" i="12"/>
  <c r="AN8" i="12"/>
  <c r="AO8" i="12"/>
  <c r="AP8" i="12"/>
  <c r="AQ8" i="12"/>
  <c r="AR8" i="12"/>
  <c r="AS8" i="12"/>
  <c r="AT8" i="12"/>
  <c r="AU8" i="12"/>
  <c r="AV8" i="12"/>
  <c r="AW8" i="12"/>
  <c r="AX8" i="12"/>
  <c r="AY8" i="12"/>
  <c r="AZ8" i="12"/>
  <c r="BA8" i="12"/>
  <c r="BB8" i="12"/>
  <c r="U8" i="12"/>
  <c r="V8" i="12"/>
  <c r="AM9" i="12"/>
  <c r="AN9" i="12"/>
  <c r="AO9" i="12"/>
  <c r="AP9" i="12"/>
  <c r="AQ9" i="12"/>
  <c r="AR9" i="12"/>
  <c r="AS9" i="12"/>
  <c r="AT9" i="12"/>
  <c r="AU9" i="12"/>
  <c r="AV9" i="12"/>
  <c r="AW9" i="12"/>
  <c r="AX9" i="12"/>
  <c r="AY9" i="12"/>
  <c r="AZ9" i="12"/>
  <c r="BA9" i="12"/>
  <c r="BB9" i="12"/>
  <c r="U9" i="12"/>
  <c r="V9" i="12"/>
  <c r="AM10" i="12"/>
  <c r="AN10" i="12"/>
  <c r="AO10" i="12"/>
  <c r="AP10" i="12"/>
  <c r="AQ10" i="12"/>
  <c r="AR10" i="12"/>
  <c r="AS10" i="12"/>
  <c r="AT10" i="12"/>
  <c r="AU10" i="12"/>
  <c r="AV10" i="12"/>
  <c r="AW10" i="12"/>
  <c r="AX10" i="12"/>
  <c r="AY10" i="12"/>
  <c r="AZ10" i="12"/>
  <c r="BA10" i="12"/>
  <c r="BB10" i="12"/>
  <c r="U10" i="12"/>
  <c r="V10" i="12"/>
  <c r="AM11" i="12"/>
  <c r="AN11" i="12"/>
  <c r="AO11" i="12"/>
  <c r="AP11" i="12"/>
  <c r="AQ11" i="12"/>
  <c r="AR11" i="12"/>
  <c r="AS11" i="12"/>
  <c r="AT11" i="12"/>
  <c r="AU11" i="12"/>
  <c r="AV11" i="12"/>
  <c r="AW11" i="12"/>
  <c r="AX11" i="12"/>
  <c r="AY11" i="12"/>
  <c r="AZ11" i="12"/>
  <c r="BA11" i="12"/>
  <c r="BB11" i="12"/>
  <c r="U11" i="12"/>
  <c r="V11" i="12"/>
  <c r="AM12" i="12"/>
  <c r="AN12" i="12"/>
  <c r="AO12" i="12"/>
  <c r="AP12" i="12"/>
  <c r="AQ12" i="12"/>
  <c r="AR12" i="12"/>
  <c r="AS12" i="12"/>
  <c r="AT12" i="12"/>
  <c r="AU12" i="12"/>
  <c r="AV12" i="12"/>
  <c r="AW12" i="12"/>
  <c r="AX12" i="12"/>
  <c r="AY12" i="12"/>
  <c r="AZ12" i="12"/>
  <c r="BA12" i="12"/>
  <c r="BB12" i="12"/>
  <c r="U12" i="12"/>
  <c r="V12" i="12"/>
  <c r="AM13" i="12"/>
  <c r="AN13" i="12"/>
  <c r="AO13" i="12"/>
  <c r="AP13" i="12"/>
  <c r="AQ13" i="12"/>
  <c r="AR13" i="12"/>
  <c r="AS13" i="12"/>
  <c r="AT13" i="12"/>
  <c r="AU13" i="12"/>
  <c r="AV13" i="12"/>
  <c r="AW13" i="12"/>
  <c r="AX13" i="12"/>
  <c r="AY13" i="12"/>
  <c r="AZ13" i="12"/>
  <c r="BA13" i="12"/>
  <c r="BB13" i="12"/>
  <c r="U13" i="12"/>
  <c r="V13" i="12"/>
  <c r="AM14" i="12"/>
  <c r="AN14" i="12"/>
  <c r="AO14" i="12"/>
  <c r="AP14" i="12"/>
  <c r="AQ14" i="12"/>
  <c r="AR14" i="12"/>
  <c r="AS14" i="12"/>
  <c r="AT14" i="12"/>
  <c r="AU14" i="12"/>
  <c r="AV14" i="12"/>
  <c r="AW14" i="12"/>
  <c r="AX14" i="12"/>
  <c r="AY14" i="12"/>
  <c r="AZ14" i="12"/>
  <c r="BA14" i="12"/>
  <c r="BB14" i="12"/>
  <c r="U14" i="12"/>
  <c r="V14" i="12"/>
  <c r="AM15" i="12"/>
  <c r="AN15" i="12"/>
  <c r="AO15" i="12"/>
  <c r="AP15" i="12"/>
  <c r="AQ15" i="12"/>
  <c r="AR15" i="12"/>
  <c r="AS15" i="12"/>
  <c r="AT15" i="12"/>
  <c r="AU15" i="12"/>
  <c r="AV15" i="12"/>
  <c r="AW15" i="12"/>
  <c r="AX15" i="12"/>
  <c r="AY15" i="12"/>
  <c r="AZ15" i="12"/>
  <c r="BA15" i="12"/>
  <c r="BB15" i="12"/>
  <c r="U15" i="12"/>
  <c r="V15" i="12"/>
  <c r="AM16" i="12"/>
  <c r="AN16" i="12"/>
  <c r="AO16" i="12"/>
  <c r="AP16" i="12"/>
  <c r="AQ16" i="12"/>
  <c r="AR16" i="12"/>
  <c r="AS16" i="12"/>
  <c r="AT16" i="12"/>
  <c r="AU16" i="12"/>
  <c r="AV16" i="12"/>
  <c r="AW16" i="12"/>
  <c r="AX16" i="12"/>
  <c r="AY16" i="12"/>
  <c r="AZ16" i="12"/>
  <c r="BA16" i="12"/>
  <c r="BB16" i="12"/>
  <c r="U16" i="12"/>
  <c r="V16" i="12"/>
  <c r="AM17" i="12"/>
  <c r="AN17" i="12"/>
  <c r="AO17" i="12"/>
  <c r="AP17" i="12"/>
  <c r="AQ17" i="12"/>
  <c r="AR17" i="12"/>
  <c r="AS17" i="12"/>
  <c r="AT17" i="12"/>
  <c r="AU17" i="12"/>
  <c r="AV17" i="12"/>
  <c r="AW17" i="12"/>
  <c r="AX17" i="12"/>
  <c r="AY17" i="12"/>
  <c r="AZ17" i="12"/>
  <c r="BA17" i="12"/>
  <c r="BB17" i="12"/>
  <c r="U17" i="12"/>
  <c r="V17" i="12"/>
  <c r="AM18" i="12"/>
  <c r="AN18" i="12"/>
  <c r="AO18" i="12"/>
  <c r="AP18" i="12"/>
  <c r="AQ18" i="12"/>
  <c r="AR18" i="12"/>
  <c r="AS18" i="12"/>
  <c r="AT18" i="12"/>
  <c r="AU18" i="12"/>
  <c r="AV18" i="12"/>
  <c r="AW18" i="12"/>
  <c r="AX18" i="12"/>
  <c r="AY18" i="12"/>
  <c r="AZ18" i="12"/>
  <c r="BA18" i="12"/>
  <c r="BB18" i="12"/>
  <c r="U18" i="12"/>
  <c r="V18" i="12"/>
  <c r="AM19" i="12"/>
  <c r="AN19" i="12"/>
  <c r="AO19" i="12"/>
  <c r="AP19" i="12"/>
  <c r="AQ19" i="12"/>
  <c r="AR19" i="12"/>
  <c r="AS19" i="12"/>
  <c r="AT19" i="12"/>
  <c r="AU19" i="12"/>
  <c r="AV19" i="12"/>
  <c r="AW19" i="12"/>
  <c r="AX19" i="12"/>
  <c r="AY19" i="12"/>
  <c r="AZ19" i="12"/>
  <c r="BA19" i="12"/>
  <c r="BB19" i="12"/>
  <c r="U19" i="12"/>
  <c r="V19" i="12"/>
  <c r="AM20" i="12"/>
  <c r="AN20" i="12"/>
  <c r="AO20" i="12"/>
  <c r="AP20" i="12"/>
  <c r="AQ20" i="12"/>
  <c r="AR20" i="12"/>
  <c r="AS20" i="12"/>
  <c r="AT20" i="12"/>
  <c r="AU20" i="12"/>
  <c r="AV20" i="12"/>
  <c r="AW20" i="12"/>
  <c r="AX20" i="12"/>
  <c r="AY20" i="12"/>
  <c r="AZ20" i="12"/>
  <c r="BA20" i="12"/>
  <c r="BB20" i="12"/>
  <c r="U20" i="12"/>
  <c r="V20" i="12"/>
  <c r="AM21" i="12"/>
  <c r="AN21" i="12"/>
  <c r="AO21" i="12"/>
  <c r="AP21" i="12"/>
  <c r="AQ21" i="12"/>
  <c r="AR21" i="12"/>
  <c r="AS21" i="12"/>
  <c r="AT21" i="12"/>
  <c r="AU21" i="12"/>
  <c r="AV21" i="12"/>
  <c r="AW21" i="12"/>
  <c r="AX21" i="12"/>
  <c r="AY21" i="12"/>
  <c r="AZ21" i="12"/>
  <c r="BA21" i="12"/>
  <c r="BB21" i="12"/>
  <c r="U21" i="12"/>
  <c r="V21" i="12"/>
  <c r="AM22" i="12"/>
  <c r="AN22" i="12"/>
  <c r="AO22" i="12"/>
  <c r="AP22" i="12"/>
  <c r="AQ22" i="12"/>
  <c r="AR22" i="12"/>
  <c r="AS22" i="12"/>
  <c r="AT22" i="12"/>
  <c r="AU22" i="12"/>
  <c r="AV22" i="12"/>
  <c r="AW22" i="12"/>
  <c r="AX22" i="12"/>
  <c r="AY22" i="12"/>
  <c r="AZ22" i="12"/>
  <c r="BA22" i="12"/>
  <c r="BB22" i="12"/>
  <c r="U22" i="12"/>
  <c r="V22" i="12"/>
  <c r="U23" i="12"/>
  <c r="V23" i="12"/>
  <c r="AM24" i="12"/>
  <c r="AN24" i="12"/>
  <c r="AO24" i="12"/>
  <c r="AP24" i="12"/>
  <c r="AQ24" i="12"/>
  <c r="AR24" i="12"/>
  <c r="AS24" i="12"/>
  <c r="AT24" i="12"/>
  <c r="AU24" i="12"/>
  <c r="AV24" i="12"/>
  <c r="AW24" i="12"/>
  <c r="AX24" i="12"/>
  <c r="AY24" i="12"/>
  <c r="AZ24" i="12"/>
  <c r="BA24" i="12"/>
  <c r="BB24" i="12"/>
  <c r="U24" i="12"/>
  <c r="V24" i="12"/>
  <c r="AM25" i="12"/>
  <c r="AN25" i="12"/>
  <c r="AO25" i="12"/>
  <c r="AP25" i="12"/>
  <c r="AQ25" i="12"/>
  <c r="AR25" i="12"/>
  <c r="AS25" i="12"/>
  <c r="AT25" i="12"/>
  <c r="AU25" i="12"/>
  <c r="AV25" i="12"/>
  <c r="AW25" i="12"/>
  <c r="AX25" i="12"/>
  <c r="AY25" i="12"/>
  <c r="AZ25" i="12"/>
  <c r="BA25" i="12"/>
  <c r="BB25" i="12"/>
  <c r="U25" i="12"/>
  <c r="V25" i="12"/>
  <c r="AM26" i="12"/>
  <c r="AN26" i="12"/>
  <c r="AO26" i="12"/>
  <c r="AP26" i="12"/>
  <c r="AQ26" i="12"/>
  <c r="AR26" i="12"/>
  <c r="AS26" i="12"/>
  <c r="AT26" i="12"/>
  <c r="AU26" i="12"/>
  <c r="AV26" i="12"/>
  <c r="AW26" i="12"/>
  <c r="AX26" i="12"/>
  <c r="AY26" i="12"/>
  <c r="AZ26" i="12"/>
  <c r="BA26" i="12"/>
  <c r="BB26" i="12"/>
  <c r="U26" i="12"/>
  <c r="V26" i="12"/>
  <c r="AM27" i="12"/>
  <c r="AN27" i="12"/>
  <c r="AO27" i="12"/>
  <c r="AP27" i="12"/>
  <c r="AQ27" i="12"/>
  <c r="AR27" i="12"/>
  <c r="AS27" i="12"/>
  <c r="AT27" i="12"/>
  <c r="AU27" i="12"/>
  <c r="AV27" i="12"/>
  <c r="AW27" i="12"/>
  <c r="AX27" i="12"/>
  <c r="AY27" i="12"/>
  <c r="AZ27" i="12"/>
  <c r="BA27" i="12"/>
  <c r="BB27" i="12"/>
  <c r="U27" i="12"/>
  <c r="V27" i="12"/>
  <c r="AM28" i="12"/>
  <c r="AN28" i="12"/>
  <c r="AO28" i="12"/>
  <c r="AP28" i="12"/>
  <c r="AQ28" i="12"/>
  <c r="AR28" i="12"/>
  <c r="AS28" i="12"/>
  <c r="AT28" i="12"/>
  <c r="AU28" i="12"/>
  <c r="AV28" i="12"/>
  <c r="AW28" i="12"/>
  <c r="AX28" i="12"/>
  <c r="AY28" i="12"/>
  <c r="AZ28" i="12"/>
  <c r="BA28" i="12"/>
  <c r="BB28" i="12"/>
  <c r="U28" i="12"/>
  <c r="V28" i="12"/>
  <c r="AM29" i="12"/>
  <c r="AN29" i="12"/>
  <c r="AO29" i="12"/>
  <c r="AP29" i="12"/>
  <c r="AQ29" i="12"/>
  <c r="AR29" i="12"/>
  <c r="AS29" i="12"/>
  <c r="AT29" i="12"/>
  <c r="AU29" i="12"/>
  <c r="AV29" i="12"/>
  <c r="AW29" i="12"/>
  <c r="AX29" i="12"/>
  <c r="AY29" i="12"/>
  <c r="AZ29" i="12"/>
  <c r="BA29" i="12"/>
  <c r="BB29" i="12"/>
  <c r="U29" i="12"/>
  <c r="V29" i="12"/>
  <c r="AM30" i="12"/>
  <c r="AN30" i="12"/>
  <c r="AO30" i="12"/>
  <c r="AP30" i="12"/>
  <c r="AQ30" i="12"/>
  <c r="AR30" i="12"/>
  <c r="AS30" i="12"/>
  <c r="AT30" i="12"/>
  <c r="AU30" i="12"/>
  <c r="AV30" i="12"/>
  <c r="AW30" i="12"/>
  <c r="AX30" i="12"/>
  <c r="AY30" i="12"/>
  <c r="AZ30" i="12"/>
  <c r="BA30" i="12"/>
  <c r="BB30" i="12"/>
  <c r="U30" i="12"/>
  <c r="V30" i="12"/>
  <c r="AM31" i="12"/>
  <c r="AN31" i="12"/>
  <c r="AO31" i="12"/>
  <c r="AP31" i="12"/>
  <c r="AQ31" i="12"/>
  <c r="AR31" i="12"/>
  <c r="AS31" i="12"/>
  <c r="AT31" i="12"/>
  <c r="AU31" i="12"/>
  <c r="AV31" i="12"/>
  <c r="AW31" i="12"/>
  <c r="AX31" i="12"/>
  <c r="AY31" i="12"/>
  <c r="AZ31" i="12"/>
  <c r="BA31" i="12"/>
  <c r="BB31" i="12"/>
  <c r="U31" i="12"/>
  <c r="V31" i="12"/>
  <c r="AM32" i="12"/>
  <c r="AN32" i="12"/>
  <c r="AO32" i="12"/>
  <c r="AP32" i="12"/>
  <c r="AQ32" i="12"/>
  <c r="AR32" i="12"/>
  <c r="AS32" i="12"/>
  <c r="AT32" i="12"/>
  <c r="AU32" i="12"/>
  <c r="AV32" i="12"/>
  <c r="AW32" i="12"/>
  <c r="AX32" i="12"/>
  <c r="AY32" i="12"/>
  <c r="AZ32" i="12"/>
  <c r="BA32" i="12"/>
  <c r="BB32" i="12"/>
  <c r="U32" i="12"/>
  <c r="V32" i="12"/>
  <c r="AM33" i="12"/>
  <c r="AN33" i="12"/>
  <c r="AO33" i="12"/>
  <c r="AP33" i="12"/>
  <c r="AQ33" i="12"/>
  <c r="AR33" i="12"/>
  <c r="AS33" i="12"/>
  <c r="AT33" i="12"/>
  <c r="AU33" i="12"/>
  <c r="AV33" i="12"/>
  <c r="AW33" i="12"/>
  <c r="AX33" i="12"/>
  <c r="AY33" i="12"/>
  <c r="AZ33" i="12"/>
  <c r="BA33" i="12"/>
  <c r="BB33" i="12"/>
  <c r="U33" i="12"/>
  <c r="V33" i="12"/>
  <c r="AM34" i="12"/>
  <c r="AN34" i="12"/>
  <c r="AO34" i="12"/>
  <c r="AP34" i="12"/>
  <c r="AQ34" i="12"/>
  <c r="AR34" i="12"/>
  <c r="AS34" i="12"/>
  <c r="AT34" i="12"/>
  <c r="AU34" i="12"/>
  <c r="AV34" i="12"/>
  <c r="AW34" i="12"/>
  <c r="AX34" i="12"/>
  <c r="AY34" i="12"/>
  <c r="AZ34" i="12"/>
  <c r="BA34" i="12"/>
  <c r="BB34" i="12"/>
  <c r="U34" i="12"/>
  <c r="V34" i="12"/>
  <c r="AM35" i="12"/>
  <c r="AN35" i="12"/>
  <c r="AO35" i="12"/>
  <c r="AP35" i="12"/>
  <c r="AQ35" i="12"/>
  <c r="AR35" i="12"/>
  <c r="AS35" i="12"/>
  <c r="AT35" i="12"/>
  <c r="AU35" i="12"/>
  <c r="AV35" i="12"/>
  <c r="AW35" i="12"/>
  <c r="AX35" i="12"/>
  <c r="AY35" i="12"/>
  <c r="AZ35" i="12"/>
  <c r="BA35" i="12"/>
  <c r="BB35" i="12"/>
  <c r="U35" i="12"/>
  <c r="V35" i="12"/>
  <c r="AM36" i="12"/>
  <c r="AN36" i="12"/>
  <c r="AO36" i="12"/>
  <c r="AP36" i="12"/>
  <c r="AQ36" i="12"/>
  <c r="AR36" i="12"/>
  <c r="AS36" i="12"/>
  <c r="AT36" i="12"/>
  <c r="AU36" i="12"/>
  <c r="AV36" i="12"/>
  <c r="AW36" i="12"/>
  <c r="AX36" i="12"/>
  <c r="AY36" i="12"/>
  <c r="AZ36" i="12"/>
  <c r="BA36" i="12"/>
  <c r="BB36" i="12"/>
  <c r="U36" i="12"/>
  <c r="V36" i="12"/>
  <c r="AM37" i="12"/>
  <c r="AN37" i="12"/>
  <c r="AO37" i="12"/>
  <c r="AP37" i="12"/>
  <c r="AQ37" i="12"/>
  <c r="AR37" i="12"/>
  <c r="AS37" i="12"/>
  <c r="AT37" i="12"/>
  <c r="AU37" i="12"/>
  <c r="AV37" i="12"/>
  <c r="AW37" i="12"/>
  <c r="AX37" i="12"/>
  <c r="AY37" i="12"/>
  <c r="AZ37" i="12"/>
  <c r="BA37" i="12"/>
  <c r="BB37" i="12"/>
  <c r="U37" i="12"/>
  <c r="V37" i="12"/>
  <c r="AM38" i="12"/>
  <c r="AN38" i="12"/>
  <c r="AO38" i="12"/>
  <c r="AP38" i="12"/>
  <c r="AQ38" i="12"/>
  <c r="AR38" i="12"/>
  <c r="AS38" i="12"/>
  <c r="AT38" i="12"/>
  <c r="AU38" i="12"/>
  <c r="AV38" i="12"/>
  <c r="AW38" i="12"/>
  <c r="AX38" i="12"/>
  <c r="AY38" i="12"/>
  <c r="AZ38" i="12"/>
  <c r="BA38" i="12"/>
  <c r="BB38" i="12"/>
  <c r="U38" i="12"/>
  <c r="V38" i="12"/>
  <c r="AM39" i="12"/>
  <c r="AN39" i="12"/>
  <c r="AO39" i="12"/>
  <c r="AP39" i="12"/>
  <c r="AQ39" i="12"/>
  <c r="AR39" i="12"/>
  <c r="AS39" i="12"/>
  <c r="AT39" i="12"/>
  <c r="AU39" i="12"/>
  <c r="AV39" i="12"/>
  <c r="AW39" i="12"/>
  <c r="AX39" i="12"/>
  <c r="AY39" i="12"/>
  <c r="AZ39" i="12"/>
  <c r="BA39" i="12"/>
  <c r="BB39" i="12"/>
  <c r="U39" i="12"/>
  <c r="V39" i="12"/>
  <c r="AM40" i="12"/>
  <c r="AN40" i="12"/>
  <c r="AO40" i="12"/>
  <c r="AP40" i="12"/>
  <c r="AQ40" i="12"/>
  <c r="AR40" i="12"/>
  <c r="AS40" i="12"/>
  <c r="AT40" i="12"/>
  <c r="AU40" i="12"/>
  <c r="AV40" i="12"/>
  <c r="AW40" i="12"/>
  <c r="AX40" i="12"/>
  <c r="AY40" i="12"/>
  <c r="AZ40" i="12"/>
  <c r="BA40" i="12"/>
  <c r="BB40" i="12"/>
  <c r="U40" i="12"/>
  <c r="V40" i="12"/>
  <c r="AM41" i="12"/>
  <c r="AN41" i="12"/>
  <c r="AO41" i="12"/>
  <c r="AP41" i="12"/>
  <c r="AQ41" i="12"/>
  <c r="AR41" i="12"/>
  <c r="AS41" i="12"/>
  <c r="AT41" i="12"/>
  <c r="AU41" i="12"/>
  <c r="AV41" i="12"/>
  <c r="AW41" i="12"/>
  <c r="AX41" i="12"/>
  <c r="AY41" i="12"/>
  <c r="AZ41" i="12"/>
  <c r="BA41" i="12"/>
  <c r="BB41" i="12"/>
  <c r="U41" i="12"/>
  <c r="V41" i="12"/>
  <c r="AM42" i="12"/>
  <c r="AN42" i="12"/>
  <c r="AO42" i="12"/>
  <c r="AP42" i="12"/>
  <c r="AQ42" i="12"/>
  <c r="AR42" i="12"/>
  <c r="AS42" i="12"/>
  <c r="AT42" i="12"/>
  <c r="AU42" i="12"/>
  <c r="AV42" i="12"/>
  <c r="AW42" i="12"/>
  <c r="AX42" i="12"/>
  <c r="AY42" i="12"/>
  <c r="AZ42" i="12"/>
  <c r="BA42" i="12"/>
  <c r="BB42" i="12"/>
  <c r="U42" i="12"/>
  <c r="V42" i="12"/>
  <c r="V44" i="12"/>
  <c r="BE26" i="12"/>
  <c r="BD26" i="12"/>
  <c r="BF26" i="12"/>
  <c r="AF32" i="12"/>
  <c r="BE27" i="12"/>
  <c r="BD27" i="12"/>
  <c r="BF27" i="12"/>
  <c r="AH38" i="12"/>
  <c r="AI38" i="12"/>
  <c r="C23" i="8"/>
  <c r="D23" i="8"/>
  <c r="E23" i="8"/>
  <c r="F23" i="8"/>
  <c r="G23" i="8"/>
  <c r="C25" i="8"/>
  <c r="AH40" i="12"/>
  <c r="AI40" i="12"/>
  <c r="AI41" i="12"/>
  <c r="BE9" i="12"/>
  <c r="BD9" i="12"/>
  <c r="BF9" i="12"/>
  <c r="Q44" i="12"/>
  <c r="BE24" i="12"/>
  <c r="BD24" i="12"/>
  <c r="BF24" i="12"/>
  <c r="BE28" i="12"/>
  <c r="BD28" i="12"/>
  <c r="BF28" i="12"/>
  <c r="BE16" i="12"/>
  <c r="BD16" i="12"/>
  <c r="BF16" i="12"/>
  <c r="BE15" i="12"/>
  <c r="BD15" i="12"/>
  <c r="BF15" i="12"/>
  <c r="BE11" i="12"/>
  <c r="BD11" i="12"/>
  <c r="BF11" i="12"/>
  <c r="BE21" i="12"/>
  <c r="BD21" i="12"/>
  <c r="BF21" i="12"/>
  <c r="BE22" i="12"/>
  <c r="BD22" i="12"/>
  <c r="BF22" i="12"/>
  <c r="BE30" i="12"/>
  <c r="BD30" i="12"/>
  <c r="BF30" i="12"/>
  <c r="BE17" i="12"/>
  <c r="BD17" i="12"/>
  <c r="BF17" i="12"/>
  <c r="BE25" i="12"/>
  <c r="BD25" i="12"/>
  <c r="BF25" i="12"/>
  <c r="BE19" i="12"/>
  <c r="BD19" i="12"/>
  <c r="BF19" i="12"/>
  <c r="BE8" i="12"/>
  <c r="BD8" i="12"/>
  <c r="BF8" i="12"/>
  <c r="BE34" i="12"/>
  <c r="BD34" i="12"/>
  <c r="BF34" i="12"/>
  <c r="BE42" i="12"/>
  <c r="BD42" i="12"/>
  <c r="BF42" i="12"/>
  <c r="BE36" i="12"/>
  <c r="BD36" i="12"/>
  <c r="BF36" i="12"/>
  <c r="BE39" i="12"/>
  <c r="BD39" i="12"/>
  <c r="BF39" i="12"/>
  <c r="BE40" i="12"/>
  <c r="BD40" i="12"/>
  <c r="BF40" i="12"/>
  <c r="BE10" i="12"/>
  <c r="BD10" i="12"/>
  <c r="BF10" i="12"/>
  <c r="BE41" i="12"/>
  <c r="BD41" i="12"/>
  <c r="BF41" i="12"/>
  <c r="BE38" i="12"/>
  <c r="BD38" i="12"/>
  <c r="BF38" i="12"/>
  <c r="BE18" i="12"/>
  <c r="BD18" i="12"/>
  <c r="BF18" i="12"/>
  <c r="BE31" i="12"/>
  <c r="BD31" i="12"/>
  <c r="BF31" i="12"/>
  <c r="BE33" i="12"/>
  <c r="BD33" i="12"/>
  <c r="BF33" i="12"/>
  <c r="BE37" i="12"/>
  <c r="BD37" i="12"/>
  <c r="BF37" i="12"/>
  <c r="BE7" i="12"/>
  <c r="BD7" i="12"/>
  <c r="BF7" i="12"/>
  <c r="BE29" i="12"/>
  <c r="BD29" i="12"/>
  <c r="BF29" i="12"/>
  <c r="BE20" i="12"/>
  <c r="BD20" i="12"/>
  <c r="BF20" i="12"/>
  <c r="BE35" i="12"/>
  <c r="BD35" i="12"/>
  <c r="BF35" i="12"/>
  <c r="BE12" i="12"/>
  <c r="BD12" i="12"/>
  <c r="BF12" i="12"/>
  <c r="BE14" i="12"/>
  <c r="BD14" i="12"/>
  <c r="BF14" i="12"/>
  <c r="BE32" i="12"/>
  <c r="BD32" i="12"/>
  <c r="BF32" i="12"/>
  <c r="BE13" i="12"/>
  <c r="BD13" i="12"/>
  <c r="BF13" i="12"/>
  <c r="Z7" i="12"/>
  <c r="Z8" i="12"/>
  <c r="Z9" i="12"/>
  <c r="Z10" i="12"/>
  <c r="Z11" i="12"/>
  <c r="Z12"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AF35" i="12"/>
  <c r="Z45" i="12"/>
  <c r="AF34" i="12"/>
  <c r="Z44" i="12"/>
  <c r="Z46" i="12"/>
  <c r="AF33" i="12"/>
  <c r="D9" i="9"/>
  <c r="C21" i="9"/>
  <c r="O20" i="9"/>
  <c r="N20" i="9"/>
  <c r="G21" i="9"/>
  <c r="F9" i="9"/>
  <c r="E21" i="9"/>
  <c r="P20" i="9"/>
  <c r="F21" i="9"/>
  <c r="D11" i="9"/>
  <c r="F11" i="9"/>
  <c r="G11" i="9"/>
  <c r="AP43" i="12"/>
  <c r="AO43" i="12"/>
  <c r="J23" i="8"/>
  <c r="K23" i="8"/>
  <c r="L23" i="8"/>
  <c r="J25" i="8"/>
  <c r="F10" i="9"/>
  <c r="E22" i="9"/>
  <c r="P21" i="9"/>
  <c r="C49" i="6"/>
  <c r="D49" i="6"/>
  <c r="E49" i="6"/>
  <c r="F49" i="6"/>
  <c r="G49" i="6"/>
  <c r="H49" i="6"/>
  <c r="I49" i="6"/>
  <c r="J49" i="6"/>
  <c r="K49" i="6"/>
  <c r="L49" i="6"/>
  <c r="M49" i="6"/>
  <c r="N49" i="6"/>
  <c r="O49" i="6"/>
  <c r="P49" i="6"/>
  <c r="Q49" i="6"/>
  <c r="C51" i="6"/>
  <c r="D10" i="9"/>
  <c r="C22" i="9"/>
  <c r="F22" i="9"/>
  <c r="H22" i="9"/>
  <c r="AM43" i="12"/>
  <c r="AN43" i="12"/>
  <c r="N21" i="9"/>
  <c r="G22" i="9"/>
  <c r="D12" i="9"/>
  <c r="F12" i="9"/>
  <c r="G12" i="9"/>
  <c r="H21" i="9"/>
  <c r="N23" i="8"/>
  <c r="M23" i="8"/>
  <c r="F31" i="16"/>
  <c r="E31" i="16"/>
  <c r="G31" i="16"/>
  <c r="H31" i="16"/>
  <c r="AF31" i="12"/>
  <c r="F32" i="16"/>
  <c r="E32" i="16"/>
  <c r="G32" i="16"/>
  <c r="H32" i="16"/>
  <c r="R11" i="19"/>
  <c r="R16" i="19"/>
  <c r="Q11" i="19"/>
  <c r="Q16" i="19"/>
  <c r="P11" i="19"/>
  <c r="P16" i="19"/>
  <c r="O11" i="19"/>
  <c r="O16" i="19"/>
  <c r="N11" i="19"/>
  <c r="N16" i="19"/>
  <c r="M11" i="19"/>
  <c r="M16" i="19"/>
  <c r="L11" i="19"/>
  <c r="L16" i="19"/>
  <c r="K11" i="19"/>
  <c r="K16" i="19"/>
  <c r="J11" i="19"/>
  <c r="J16" i="19"/>
  <c r="I11" i="19"/>
  <c r="I16" i="19"/>
  <c r="H11" i="19"/>
  <c r="H16" i="19"/>
  <c r="G11" i="19"/>
  <c r="G16" i="19"/>
  <c r="V56" i="19"/>
  <c r="W56" i="19"/>
  <c r="X56" i="19"/>
  <c r="Y56" i="19"/>
  <c r="R44" i="19"/>
  <c r="R49" i="19"/>
  <c r="Q44" i="19"/>
  <c r="Q49" i="19"/>
  <c r="P44" i="19"/>
  <c r="P49" i="19"/>
  <c r="O44" i="19"/>
  <c r="O49" i="19"/>
  <c r="N44" i="19"/>
  <c r="N49" i="19"/>
  <c r="M44" i="19"/>
  <c r="M49" i="19"/>
  <c r="L44" i="19"/>
  <c r="L49" i="19"/>
  <c r="K44" i="19"/>
  <c r="K49" i="19"/>
  <c r="J44" i="19"/>
  <c r="J49" i="19"/>
  <c r="I44" i="19"/>
  <c r="I49" i="19"/>
  <c r="H44" i="19"/>
  <c r="H49" i="19"/>
  <c r="G44" i="19"/>
  <c r="G49" i="19"/>
  <c r="C82" i="19"/>
  <c r="C77" i="19"/>
  <c r="C91" i="19"/>
  <c r="D82" i="19"/>
  <c r="D77" i="19"/>
  <c r="D91" i="19"/>
  <c r="E82" i="19"/>
  <c r="E77" i="19"/>
  <c r="E91" i="19"/>
  <c r="F82" i="19"/>
  <c r="F77" i="19"/>
  <c r="F91" i="19"/>
  <c r="G82" i="19"/>
  <c r="G77" i="19"/>
  <c r="G91" i="19"/>
  <c r="H82" i="19"/>
  <c r="H77" i="19"/>
  <c r="H91" i="19"/>
  <c r="I82" i="19"/>
  <c r="I77" i="19"/>
  <c r="I91" i="19"/>
  <c r="J82" i="19"/>
  <c r="J77" i="19"/>
  <c r="J91" i="19"/>
  <c r="K82" i="19"/>
  <c r="K77" i="19"/>
  <c r="K91" i="19"/>
  <c r="L82" i="19"/>
  <c r="L77" i="19"/>
  <c r="L91" i="19"/>
  <c r="M82" i="19"/>
  <c r="M77" i="19"/>
  <c r="M91" i="19"/>
  <c r="N82" i="19"/>
  <c r="N77" i="19"/>
  <c r="N91" i="19"/>
  <c r="O82" i="19"/>
  <c r="O77" i="19"/>
  <c r="O91" i="19"/>
  <c r="P82" i="19"/>
  <c r="P77" i="19"/>
  <c r="P91" i="19"/>
  <c r="Q82" i="19"/>
  <c r="Q77" i="19"/>
  <c r="Q91" i="19"/>
  <c r="R82" i="19"/>
  <c r="R77" i="19"/>
  <c r="R91" i="19"/>
  <c r="C95" i="19"/>
  <c r="C98" i="19"/>
  <c r="C101" i="19"/>
  <c r="C115" i="19"/>
  <c r="C110" i="19"/>
  <c r="C124" i="19"/>
  <c r="D115" i="19"/>
  <c r="D110" i="19"/>
  <c r="D124" i="19"/>
  <c r="E115" i="19"/>
  <c r="E110" i="19"/>
  <c r="E124" i="19"/>
  <c r="F115" i="19"/>
  <c r="F110" i="19"/>
  <c r="F124" i="19"/>
  <c r="G115" i="19"/>
  <c r="G110" i="19"/>
  <c r="G124" i="19"/>
  <c r="H115" i="19"/>
  <c r="H110" i="19"/>
  <c r="H124" i="19"/>
  <c r="I115" i="19"/>
  <c r="I110" i="19"/>
  <c r="I124" i="19"/>
  <c r="J115" i="19"/>
  <c r="J110" i="19"/>
  <c r="J124" i="19"/>
  <c r="K115" i="19"/>
  <c r="K110" i="19"/>
  <c r="K124" i="19"/>
  <c r="L115" i="19"/>
  <c r="L110" i="19"/>
  <c r="L124" i="19"/>
  <c r="M115" i="19"/>
  <c r="M110" i="19"/>
  <c r="M124" i="19"/>
  <c r="N115" i="19"/>
  <c r="N110" i="19"/>
  <c r="N124" i="19"/>
  <c r="O115" i="19"/>
  <c r="O110" i="19"/>
  <c r="O124" i="19"/>
  <c r="P115" i="19"/>
  <c r="P110" i="19"/>
  <c r="P124" i="19"/>
  <c r="Q115" i="19"/>
  <c r="Q110" i="19"/>
  <c r="Q124" i="19"/>
  <c r="R115" i="19"/>
  <c r="R110" i="19"/>
  <c r="R124" i="19"/>
  <c r="C128" i="19"/>
  <c r="C131" i="19"/>
  <c r="C134" i="19"/>
  <c r="C148" i="19"/>
  <c r="C143" i="19"/>
  <c r="C157" i="19"/>
  <c r="D148" i="19"/>
  <c r="D143" i="19"/>
  <c r="D157" i="19"/>
  <c r="E148" i="19"/>
  <c r="E143" i="19"/>
  <c r="E157" i="19"/>
  <c r="F148" i="19"/>
  <c r="F143" i="19"/>
  <c r="F157" i="19"/>
  <c r="G148" i="19"/>
  <c r="G143" i="19"/>
  <c r="G157" i="19"/>
  <c r="H148" i="19"/>
  <c r="H143" i="19"/>
  <c r="H157" i="19"/>
  <c r="I148" i="19"/>
  <c r="I143" i="19"/>
  <c r="I157" i="19"/>
  <c r="J148" i="19"/>
  <c r="J143" i="19"/>
  <c r="J157" i="19"/>
  <c r="K148" i="19"/>
  <c r="K143" i="19"/>
  <c r="K157" i="19"/>
  <c r="L148" i="19"/>
  <c r="L143" i="19"/>
  <c r="L157" i="19"/>
  <c r="M148" i="19"/>
  <c r="M143" i="19"/>
  <c r="M157" i="19"/>
  <c r="N148" i="19"/>
  <c r="N143" i="19"/>
  <c r="N157" i="19"/>
  <c r="O148" i="19"/>
  <c r="O143" i="19"/>
  <c r="O157" i="19"/>
  <c r="P148" i="19"/>
  <c r="P143" i="19"/>
  <c r="P157" i="19"/>
  <c r="Q148" i="19"/>
  <c r="Q143" i="19"/>
  <c r="Q157" i="19"/>
  <c r="R148" i="19"/>
  <c r="R143" i="19"/>
  <c r="R157" i="19"/>
  <c r="C161" i="19"/>
  <c r="C164" i="19"/>
  <c r="C167" i="19"/>
  <c r="C181" i="19"/>
  <c r="C176" i="19"/>
  <c r="C190" i="19"/>
  <c r="D181" i="19"/>
  <c r="D176" i="19"/>
  <c r="D190" i="19"/>
  <c r="E181" i="19"/>
  <c r="E176" i="19"/>
  <c r="E190" i="19"/>
  <c r="F181" i="19"/>
  <c r="F176" i="19"/>
  <c r="F190" i="19"/>
  <c r="G181" i="19"/>
  <c r="G176" i="19"/>
  <c r="G190" i="19"/>
  <c r="H181" i="19"/>
  <c r="H176" i="19"/>
  <c r="H190" i="19"/>
  <c r="I181" i="19"/>
  <c r="I176" i="19"/>
  <c r="I190" i="19"/>
  <c r="J181" i="19"/>
  <c r="J176" i="19"/>
  <c r="J190" i="19"/>
  <c r="K181" i="19"/>
  <c r="K176" i="19"/>
  <c r="K190" i="19"/>
  <c r="L181" i="19"/>
  <c r="L176" i="19"/>
  <c r="L190" i="19"/>
  <c r="M181" i="19"/>
  <c r="M176" i="19"/>
  <c r="M190" i="19"/>
  <c r="N181" i="19"/>
  <c r="N176" i="19"/>
  <c r="N190" i="19"/>
  <c r="O181" i="19"/>
  <c r="O176" i="19"/>
  <c r="O190" i="19"/>
  <c r="P181" i="19"/>
  <c r="P176" i="19"/>
  <c r="P190" i="19"/>
  <c r="Q181" i="19"/>
  <c r="Q176" i="19"/>
  <c r="Q190" i="19"/>
  <c r="R181" i="19"/>
  <c r="R176" i="19"/>
  <c r="R190" i="19"/>
  <c r="C194" i="19"/>
  <c r="C197" i="19"/>
  <c r="C200" i="19"/>
  <c r="C214" i="19"/>
  <c r="C209" i="19"/>
  <c r="C223" i="19"/>
  <c r="D214" i="19"/>
  <c r="D209" i="19"/>
  <c r="D223" i="19"/>
  <c r="E214" i="19"/>
  <c r="E209" i="19"/>
  <c r="E223" i="19"/>
  <c r="F214" i="19"/>
  <c r="F209" i="19"/>
  <c r="F223" i="19"/>
  <c r="G214" i="19"/>
  <c r="G209" i="19"/>
  <c r="G223" i="19"/>
  <c r="H214" i="19"/>
  <c r="H209" i="19"/>
  <c r="H223" i="19"/>
  <c r="I214" i="19"/>
  <c r="I209" i="19"/>
  <c r="I223" i="19"/>
  <c r="J214" i="19"/>
  <c r="J209" i="19"/>
  <c r="J223" i="19"/>
  <c r="K214" i="19"/>
  <c r="K209" i="19"/>
  <c r="K223" i="19"/>
  <c r="L214" i="19"/>
  <c r="L209" i="19"/>
  <c r="L223" i="19"/>
  <c r="M214" i="19"/>
  <c r="M209" i="19"/>
  <c r="M223" i="19"/>
  <c r="N214" i="19"/>
  <c r="N209" i="19"/>
  <c r="N223" i="19"/>
  <c r="O214" i="19"/>
  <c r="O209" i="19"/>
  <c r="O223" i="19"/>
  <c r="P214" i="19"/>
  <c r="P209" i="19"/>
  <c r="P223" i="19"/>
  <c r="Q214" i="19"/>
  <c r="Q209" i="19"/>
  <c r="Q223" i="19"/>
  <c r="R214" i="19"/>
  <c r="R209" i="19"/>
  <c r="R223" i="19"/>
  <c r="C227" i="19"/>
  <c r="C230" i="19"/>
  <c r="C233" i="19"/>
  <c r="C247" i="19"/>
  <c r="C242" i="19"/>
  <c r="C256" i="19"/>
  <c r="D247" i="19"/>
  <c r="D242" i="19"/>
  <c r="D256" i="19"/>
  <c r="E247" i="19"/>
  <c r="E242" i="19"/>
  <c r="E256" i="19"/>
  <c r="F247" i="19"/>
  <c r="F242" i="19"/>
  <c r="F256" i="19"/>
  <c r="G247" i="19"/>
  <c r="G242" i="19"/>
  <c r="G256" i="19"/>
  <c r="H247" i="19"/>
  <c r="H242" i="19"/>
  <c r="H256" i="19"/>
  <c r="I247" i="19"/>
  <c r="I242" i="19"/>
  <c r="I256" i="19"/>
  <c r="J247" i="19"/>
  <c r="J242" i="19"/>
  <c r="J256" i="19"/>
  <c r="K247" i="19"/>
  <c r="K242" i="19"/>
  <c r="K256" i="19"/>
  <c r="L247" i="19"/>
  <c r="L242" i="19"/>
  <c r="L256" i="19"/>
  <c r="M247" i="19"/>
  <c r="M242" i="19"/>
  <c r="M256" i="19"/>
  <c r="N247" i="19"/>
  <c r="N242" i="19"/>
  <c r="N256" i="19"/>
  <c r="O247" i="19"/>
  <c r="O242" i="19"/>
  <c r="O256" i="19"/>
  <c r="P247" i="19"/>
  <c r="P242" i="19"/>
  <c r="P256" i="19"/>
  <c r="Q247" i="19"/>
  <c r="Q242" i="19"/>
  <c r="Q256" i="19"/>
  <c r="R247" i="19"/>
  <c r="R242" i="19"/>
  <c r="R256" i="19"/>
  <c r="C260" i="19"/>
  <c r="C263" i="19"/>
  <c r="C266" i="19"/>
  <c r="V53" i="19"/>
  <c r="C283" i="19"/>
  <c r="C286" i="19"/>
  <c r="C280" i="19"/>
  <c r="C275" i="19"/>
  <c r="C289" i="19"/>
  <c r="W53" i="19"/>
  <c r="D283" i="19"/>
  <c r="D286" i="19"/>
  <c r="D280" i="19"/>
  <c r="D275" i="19"/>
  <c r="D289" i="19"/>
  <c r="X53" i="19"/>
  <c r="E283" i="19"/>
  <c r="E286" i="19"/>
  <c r="E280" i="19"/>
  <c r="E275" i="19"/>
  <c r="E289" i="19"/>
  <c r="F280" i="19"/>
  <c r="F275" i="19"/>
  <c r="F289" i="19"/>
  <c r="G280" i="19"/>
  <c r="G275" i="19"/>
  <c r="G289" i="19"/>
  <c r="H280" i="19"/>
  <c r="H275" i="19"/>
  <c r="H289" i="19"/>
  <c r="I280" i="19"/>
  <c r="I275" i="19"/>
  <c r="I289" i="19"/>
  <c r="J280" i="19"/>
  <c r="J275" i="19"/>
  <c r="J289" i="19"/>
  <c r="K280" i="19"/>
  <c r="K275" i="19"/>
  <c r="K289" i="19"/>
  <c r="L280" i="19"/>
  <c r="L275" i="19"/>
  <c r="L289" i="19"/>
  <c r="M280" i="19"/>
  <c r="M275" i="19"/>
  <c r="M289" i="19"/>
  <c r="N280" i="19"/>
  <c r="N275" i="19"/>
  <c r="N289" i="19"/>
  <c r="O280" i="19"/>
  <c r="O275" i="19"/>
  <c r="O289" i="19"/>
  <c r="P280" i="19"/>
  <c r="P275" i="19"/>
  <c r="P289" i="19"/>
  <c r="Q280" i="19"/>
  <c r="Q275" i="19"/>
  <c r="Q289" i="19"/>
  <c r="R280" i="19"/>
  <c r="R275" i="19"/>
  <c r="R289" i="19"/>
  <c r="C293" i="19"/>
  <c r="C296" i="19"/>
  <c r="C299" i="19"/>
  <c r="C313" i="19"/>
  <c r="C308" i="19"/>
  <c r="C322" i="19"/>
  <c r="D313" i="19"/>
  <c r="D308" i="19"/>
  <c r="D322" i="19"/>
  <c r="E313" i="19"/>
  <c r="E308" i="19"/>
  <c r="E322" i="19"/>
  <c r="F313" i="19"/>
  <c r="F308" i="19"/>
  <c r="F322" i="19"/>
  <c r="G313" i="19"/>
  <c r="G308" i="19"/>
  <c r="G322" i="19"/>
  <c r="H313" i="19"/>
  <c r="H308" i="19"/>
  <c r="H322" i="19"/>
  <c r="I313" i="19"/>
  <c r="I308" i="19"/>
  <c r="I322" i="19"/>
  <c r="J313" i="19"/>
  <c r="J308" i="19"/>
  <c r="J322" i="19"/>
  <c r="K313" i="19"/>
  <c r="K308" i="19"/>
  <c r="K322" i="19"/>
  <c r="L313" i="19"/>
  <c r="L308" i="19"/>
  <c r="L322" i="19"/>
  <c r="M313" i="19"/>
  <c r="M308" i="19"/>
  <c r="M322" i="19"/>
  <c r="N313" i="19"/>
  <c r="N308" i="19"/>
  <c r="N322" i="19"/>
  <c r="O313" i="19"/>
  <c r="O308" i="19"/>
  <c r="O322" i="19"/>
  <c r="P313" i="19"/>
  <c r="P308" i="19"/>
  <c r="P322" i="19"/>
  <c r="Q313" i="19"/>
  <c r="Q308" i="19"/>
  <c r="Q322" i="19"/>
  <c r="R313" i="19"/>
  <c r="R308" i="19"/>
  <c r="R322" i="19"/>
  <c r="C326" i="19"/>
  <c r="C329" i="19"/>
  <c r="C332" i="19"/>
  <c r="C346" i="19"/>
  <c r="C341" i="19"/>
  <c r="C355" i="19"/>
  <c r="D346" i="19"/>
  <c r="D341" i="19"/>
  <c r="D355" i="19"/>
  <c r="E346" i="19"/>
  <c r="E341" i="19"/>
  <c r="E355" i="19"/>
  <c r="F346" i="19"/>
  <c r="F341" i="19"/>
  <c r="F355" i="19"/>
  <c r="G346" i="19"/>
  <c r="G341" i="19"/>
  <c r="G355" i="19"/>
  <c r="H346" i="19"/>
  <c r="H341" i="19"/>
  <c r="H355" i="19"/>
  <c r="I346" i="19"/>
  <c r="I341" i="19"/>
  <c r="I355" i="19"/>
  <c r="J346" i="19"/>
  <c r="J341" i="19"/>
  <c r="J355" i="19"/>
  <c r="K346" i="19"/>
  <c r="K341" i="19"/>
  <c r="K355" i="19"/>
  <c r="L346" i="19"/>
  <c r="L341" i="19"/>
  <c r="L355" i="19"/>
  <c r="M346" i="19"/>
  <c r="M341" i="19"/>
  <c r="M355" i="19"/>
  <c r="N346" i="19"/>
  <c r="N341" i="19"/>
  <c r="N355" i="19"/>
  <c r="O346" i="19"/>
  <c r="O341" i="19"/>
  <c r="O355" i="19"/>
  <c r="P346" i="19"/>
  <c r="P341" i="19"/>
  <c r="P355" i="19"/>
  <c r="Q346" i="19"/>
  <c r="Q341" i="19"/>
  <c r="Q355" i="19"/>
  <c r="R346" i="19"/>
  <c r="R341" i="19"/>
  <c r="R355" i="19"/>
  <c r="C359" i="19"/>
  <c r="C362" i="19"/>
  <c r="C365" i="19"/>
  <c r="C379" i="19"/>
  <c r="C374" i="19"/>
  <c r="C388" i="19"/>
  <c r="D379" i="19"/>
  <c r="D374" i="19"/>
  <c r="D388" i="19"/>
  <c r="E379" i="19"/>
  <c r="E374" i="19"/>
  <c r="E388" i="19"/>
  <c r="F379" i="19"/>
  <c r="F374" i="19"/>
  <c r="F388" i="19"/>
  <c r="G379" i="19"/>
  <c r="G374" i="19"/>
  <c r="G388" i="19"/>
  <c r="H379" i="19"/>
  <c r="H374" i="19"/>
  <c r="H388" i="19"/>
  <c r="I379" i="19"/>
  <c r="I374" i="19"/>
  <c r="I388" i="19"/>
  <c r="J379" i="19"/>
  <c r="J374" i="19"/>
  <c r="J388" i="19"/>
  <c r="K379" i="19"/>
  <c r="K374" i="19"/>
  <c r="K388" i="19"/>
  <c r="L379" i="19"/>
  <c r="L374" i="19"/>
  <c r="L388" i="19"/>
  <c r="M379" i="19"/>
  <c r="M374" i="19"/>
  <c r="M388" i="19"/>
  <c r="N379" i="19"/>
  <c r="N374" i="19"/>
  <c r="N388" i="19"/>
  <c r="O379" i="19"/>
  <c r="O374" i="19"/>
  <c r="O388" i="19"/>
  <c r="P379" i="19"/>
  <c r="P374" i="19"/>
  <c r="P388" i="19"/>
  <c r="Q379" i="19"/>
  <c r="Q374" i="19"/>
  <c r="Q388" i="19"/>
  <c r="R379" i="19"/>
  <c r="R374" i="19"/>
  <c r="R388" i="19"/>
  <c r="C392" i="19"/>
  <c r="C395" i="19"/>
  <c r="C398" i="19"/>
  <c r="C412" i="19"/>
  <c r="C407" i="19"/>
  <c r="C421" i="19"/>
  <c r="D412" i="19"/>
  <c r="D407" i="19"/>
  <c r="D421" i="19"/>
  <c r="E412" i="19"/>
  <c r="E407" i="19"/>
  <c r="E421" i="19"/>
  <c r="F412" i="19"/>
  <c r="F407" i="19"/>
  <c r="F421" i="19"/>
  <c r="G412" i="19"/>
  <c r="G407" i="19"/>
  <c r="G421" i="19"/>
  <c r="H412" i="19"/>
  <c r="H407" i="19"/>
  <c r="H421" i="19"/>
  <c r="I412" i="19"/>
  <c r="I407" i="19"/>
  <c r="I421" i="19"/>
  <c r="J412" i="19"/>
  <c r="J407" i="19"/>
  <c r="J421" i="19"/>
  <c r="K412" i="19"/>
  <c r="K407" i="19"/>
  <c r="K421" i="19"/>
  <c r="L412" i="19"/>
  <c r="L407" i="19"/>
  <c r="L421" i="19"/>
  <c r="M412" i="19"/>
  <c r="M407" i="19"/>
  <c r="M421" i="19"/>
  <c r="N412" i="19"/>
  <c r="N407" i="19"/>
  <c r="N421" i="19"/>
  <c r="O412" i="19"/>
  <c r="O407" i="19"/>
  <c r="O421" i="19"/>
  <c r="P412" i="19"/>
  <c r="P407" i="19"/>
  <c r="P421" i="19"/>
  <c r="Q412" i="19"/>
  <c r="Q407" i="19"/>
  <c r="Q421" i="19"/>
  <c r="R412" i="19"/>
  <c r="R407" i="19"/>
  <c r="R421" i="19"/>
  <c r="C425" i="19"/>
  <c r="C428" i="19"/>
  <c r="C431" i="19"/>
  <c r="C445" i="19"/>
  <c r="C440" i="19"/>
  <c r="C454" i="19"/>
  <c r="D445" i="19"/>
  <c r="D440" i="19"/>
  <c r="D454" i="19"/>
  <c r="E445" i="19"/>
  <c r="E440" i="19"/>
  <c r="E454" i="19"/>
  <c r="F445" i="19"/>
  <c r="F440" i="19"/>
  <c r="F454" i="19"/>
  <c r="G445" i="19"/>
  <c r="G440" i="19"/>
  <c r="G454" i="19"/>
  <c r="H445" i="19"/>
  <c r="H440" i="19"/>
  <c r="H454" i="19"/>
  <c r="I445" i="19"/>
  <c r="I440" i="19"/>
  <c r="I454" i="19"/>
  <c r="J445" i="19"/>
  <c r="J440" i="19"/>
  <c r="J454" i="19"/>
  <c r="K445" i="19"/>
  <c r="K440" i="19"/>
  <c r="K454" i="19"/>
  <c r="L445" i="19"/>
  <c r="L440" i="19"/>
  <c r="L454" i="19"/>
  <c r="M445" i="19"/>
  <c r="M440" i="19"/>
  <c r="M454" i="19"/>
  <c r="N445" i="19"/>
  <c r="N440" i="19"/>
  <c r="N454" i="19"/>
  <c r="O445" i="19"/>
  <c r="O440" i="19"/>
  <c r="O454" i="19"/>
  <c r="P445" i="19"/>
  <c r="P440" i="19"/>
  <c r="P454" i="19"/>
  <c r="Q445" i="19"/>
  <c r="Q440" i="19"/>
  <c r="Q454" i="19"/>
  <c r="R445" i="19"/>
  <c r="R440" i="19"/>
  <c r="R454" i="19"/>
  <c r="C458" i="19"/>
  <c r="C461" i="19"/>
  <c r="C464" i="19"/>
  <c r="C478" i="19"/>
  <c r="C473" i="19"/>
  <c r="C487" i="19"/>
  <c r="D478" i="19"/>
  <c r="D473" i="19"/>
  <c r="D487" i="19"/>
  <c r="E478" i="19"/>
  <c r="E473" i="19"/>
  <c r="E487" i="19"/>
  <c r="F478" i="19"/>
  <c r="F473" i="19"/>
  <c r="F487" i="19"/>
  <c r="G478" i="19"/>
  <c r="G473" i="19"/>
  <c r="G487" i="19"/>
  <c r="H478" i="19"/>
  <c r="H473" i="19"/>
  <c r="H487" i="19"/>
  <c r="I478" i="19"/>
  <c r="I473" i="19"/>
  <c r="I487" i="19"/>
  <c r="J478" i="19"/>
  <c r="J473" i="19"/>
  <c r="J487" i="19"/>
  <c r="K478" i="19"/>
  <c r="K473" i="19"/>
  <c r="K487" i="19"/>
  <c r="L478" i="19"/>
  <c r="L473" i="19"/>
  <c r="L487" i="19"/>
  <c r="M478" i="19"/>
  <c r="M473" i="19"/>
  <c r="M487" i="19"/>
  <c r="N478" i="19"/>
  <c r="N473" i="19"/>
  <c r="N487" i="19"/>
  <c r="O478" i="19"/>
  <c r="O473" i="19"/>
  <c r="O487" i="19"/>
  <c r="P478" i="19"/>
  <c r="P473" i="19"/>
  <c r="P487" i="19"/>
  <c r="Q478" i="19"/>
  <c r="Q473" i="19"/>
  <c r="Q487" i="19"/>
  <c r="R478" i="19"/>
  <c r="R473" i="19"/>
  <c r="R487" i="19"/>
  <c r="C491" i="19"/>
  <c r="C494" i="19"/>
  <c r="C497" i="19"/>
  <c r="C511" i="19"/>
  <c r="C506" i="19"/>
  <c r="C520" i="19"/>
  <c r="D511" i="19"/>
  <c r="D506" i="19"/>
  <c r="D520" i="19"/>
  <c r="E511" i="19"/>
  <c r="E506" i="19"/>
  <c r="E520" i="19"/>
  <c r="F511" i="19"/>
  <c r="F506" i="19"/>
  <c r="F520" i="19"/>
  <c r="G511" i="19"/>
  <c r="G506" i="19"/>
  <c r="G520" i="19"/>
  <c r="H511" i="19"/>
  <c r="H506" i="19"/>
  <c r="H520" i="19"/>
  <c r="I511" i="19"/>
  <c r="I506" i="19"/>
  <c r="I520" i="19"/>
  <c r="J511" i="19"/>
  <c r="J506" i="19"/>
  <c r="J520" i="19"/>
  <c r="K511" i="19"/>
  <c r="K506" i="19"/>
  <c r="K520" i="19"/>
  <c r="L511" i="19"/>
  <c r="L506" i="19"/>
  <c r="L520" i="19"/>
  <c r="M511" i="19"/>
  <c r="M506" i="19"/>
  <c r="M520" i="19"/>
  <c r="N511" i="19"/>
  <c r="N506" i="19"/>
  <c r="N520" i="19"/>
  <c r="O511" i="19"/>
  <c r="O506" i="19"/>
  <c r="O520" i="19"/>
  <c r="P511" i="19"/>
  <c r="P506" i="19"/>
  <c r="P520" i="19"/>
  <c r="Q511" i="19"/>
  <c r="Q506" i="19"/>
  <c r="Q520" i="19"/>
  <c r="R511" i="19"/>
  <c r="R506" i="19"/>
  <c r="R520" i="19"/>
  <c r="C524" i="19"/>
  <c r="C527" i="19"/>
  <c r="C530" i="19"/>
  <c r="C544" i="19"/>
  <c r="C539" i="19"/>
  <c r="C553" i="19"/>
  <c r="D544" i="19"/>
  <c r="D539" i="19"/>
  <c r="D553" i="19"/>
  <c r="E544" i="19"/>
  <c r="E539" i="19"/>
  <c r="E553" i="19"/>
  <c r="F544" i="19"/>
  <c r="F539" i="19"/>
  <c r="F553" i="19"/>
  <c r="G544" i="19"/>
  <c r="G539" i="19"/>
  <c r="G553" i="19"/>
  <c r="H544" i="19"/>
  <c r="H539" i="19"/>
  <c r="H553" i="19"/>
  <c r="I544" i="19"/>
  <c r="I539" i="19"/>
  <c r="I553" i="19"/>
  <c r="J544" i="19"/>
  <c r="J539" i="19"/>
  <c r="J553" i="19"/>
  <c r="K544" i="19"/>
  <c r="K539" i="19"/>
  <c r="K553" i="19"/>
  <c r="L544" i="19"/>
  <c r="L539" i="19"/>
  <c r="L553" i="19"/>
  <c r="M544" i="19"/>
  <c r="M539" i="19"/>
  <c r="M553" i="19"/>
  <c r="N544" i="19"/>
  <c r="N539" i="19"/>
  <c r="N553" i="19"/>
  <c r="O544" i="19"/>
  <c r="O539" i="19"/>
  <c r="O553" i="19"/>
  <c r="P544" i="19"/>
  <c r="P539" i="19"/>
  <c r="P553" i="19"/>
  <c r="Q544" i="19"/>
  <c r="Q539" i="19"/>
  <c r="Q553" i="19"/>
  <c r="R544" i="19"/>
  <c r="R539" i="19"/>
  <c r="R553" i="19"/>
  <c r="C557" i="19"/>
  <c r="C560" i="19"/>
  <c r="C563" i="19"/>
  <c r="C577" i="19"/>
  <c r="C572" i="19"/>
  <c r="C586" i="19"/>
  <c r="D577" i="19"/>
  <c r="D572" i="19"/>
  <c r="D586" i="19"/>
  <c r="E577" i="19"/>
  <c r="E572" i="19"/>
  <c r="E586" i="19"/>
  <c r="F577" i="19"/>
  <c r="F572" i="19"/>
  <c r="F586" i="19"/>
  <c r="G577" i="19"/>
  <c r="G572" i="19"/>
  <c r="G586" i="19"/>
  <c r="H577" i="19"/>
  <c r="H572" i="19"/>
  <c r="H586" i="19"/>
  <c r="I577" i="19"/>
  <c r="I572" i="19"/>
  <c r="I586" i="19"/>
  <c r="J577" i="19"/>
  <c r="J572" i="19"/>
  <c r="J586" i="19"/>
  <c r="K577" i="19"/>
  <c r="K572" i="19"/>
  <c r="K586" i="19"/>
  <c r="L577" i="19"/>
  <c r="L572" i="19"/>
  <c r="L586" i="19"/>
  <c r="M577" i="19"/>
  <c r="M572" i="19"/>
  <c r="M586" i="19"/>
  <c r="N577" i="19"/>
  <c r="N572" i="19"/>
  <c r="N586" i="19"/>
  <c r="O577" i="19"/>
  <c r="O572" i="19"/>
  <c r="O586" i="19"/>
  <c r="P577" i="19"/>
  <c r="P572" i="19"/>
  <c r="P586" i="19"/>
  <c r="Q577" i="19"/>
  <c r="Q572" i="19"/>
  <c r="Q586" i="19"/>
  <c r="R577" i="19"/>
  <c r="R572" i="19"/>
  <c r="R586" i="19"/>
  <c r="C590" i="19"/>
  <c r="C593" i="19"/>
  <c r="C596" i="19"/>
  <c r="C610" i="19"/>
  <c r="C605" i="19"/>
  <c r="C619" i="19"/>
  <c r="D610" i="19"/>
  <c r="D605" i="19"/>
  <c r="D619" i="19"/>
  <c r="E610" i="19"/>
  <c r="E605" i="19"/>
  <c r="E619" i="19"/>
  <c r="F610" i="19"/>
  <c r="F605" i="19"/>
  <c r="F619" i="19"/>
  <c r="G610" i="19"/>
  <c r="G605" i="19"/>
  <c r="G619" i="19"/>
  <c r="H610" i="19"/>
  <c r="H605" i="19"/>
  <c r="H619" i="19"/>
  <c r="I610" i="19"/>
  <c r="I605" i="19"/>
  <c r="I619" i="19"/>
  <c r="J610" i="19"/>
  <c r="J605" i="19"/>
  <c r="J619" i="19"/>
  <c r="K610" i="19"/>
  <c r="K605" i="19"/>
  <c r="K619" i="19"/>
  <c r="L610" i="19"/>
  <c r="L605" i="19"/>
  <c r="L619" i="19"/>
  <c r="M610" i="19"/>
  <c r="M605" i="19"/>
  <c r="M619" i="19"/>
  <c r="N610" i="19"/>
  <c r="N605" i="19"/>
  <c r="N619" i="19"/>
  <c r="O610" i="19"/>
  <c r="O605" i="19"/>
  <c r="O619" i="19"/>
  <c r="P610" i="19"/>
  <c r="P605" i="19"/>
  <c r="P619" i="19"/>
  <c r="Q610" i="19"/>
  <c r="Q605" i="19"/>
  <c r="Q619" i="19"/>
  <c r="R610" i="19"/>
  <c r="R605" i="19"/>
  <c r="R619" i="19"/>
  <c r="C623" i="19"/>
  <c r="C626" i="19"/>
  <c r="C629" i="19"/>
  <c r="C643" i="19"/>
  <c r="C638" i="19"/>
  <c r="C652" i="19"/>
  <c r="D643" i="19"/>
  <c r="D638" i="19"/>
  <c r="D652" i="19"/>
  <c r="E643" i="19"/>
  <c r="E638" i="19"/>
  <c r="E652" i="19"/>
  <c r="F643" i="19"/>
  <c r="F638" i="19"/>
  <c r="F652" i="19"/>
  <c r="G643" i="19"/>
  <c r="G638" i="19"/>
  <c r="G652" i="19"/>
  <c r="H643" i="19"/>
  <c r="H638" i="19"/>
  <c r="H652" i="19"/>
  <c r="I643" i="19"/>
  <c r="I638" i="19"/>
  <c r="I652" i="19"/>
  <c r="J643" i="19"/>
  <c r="J638" i="19"/>
  <c r="J652" i="19"/>
  <c r="K643" i="19"/>
  <c r="K638" i="19"/>
  <c r="K652" i="19"/>
  <c r="L643" i="19"/>
  <c r="L638" i="19"/>
  <c r="L652" i="19"/>
  <c r="M643" i="19"/>
  <c r="M638" i="19"/>
  <c r="M652" i="19"/>
  <c r="N643" i="19"/>
  <c r="N638" i="19"/>
  <c r="N652" i="19"/>
  <c r="O643" i="19"/>
  <c r="O638" i="19"/>
  <c r="O652" i="19"/>
  <c r="P643" i="19"/>
  <c r="P638" i="19"/>
  <c r="P652" i="19"/>
  <c r="Q643" i="19"/>
  <c r="Q638" i="19"/>
  <c r="Q652" i="19"/>
  <c r="R643" i="19"/>
  <c r="R638" i="19"/>
  <c r="R652" i="19"/>
  <c r="C656" i="19"/>
  <c r="C659" i="19"/>
  <c r="C662" i="19"/>
  <c r="C676" i="19"/>
  <c r="C671" i="19"/>
  <c r="C685" i="19"/>
  <c r="D676" i="19"/>
  <c r="D671" i="19"/>
  <c r="D685" i="19"/>
  <c r="E676" i="19"/>
  <c r="E671" i="19"/>
  <c r="E685" i="19"/>
  <c r="F676" i="19"/>
  <c r="F671" i="19"/>
  <c r="F685" i="19"/>
  <c r="G676" i="19"/>
  <c r="G671" i="19"/>
  <c r="G685" i="19"/>
  <c r="H676" i="19"/>
  <c r="H671" i="19"/>
  <c r="H685" i="19"/>
  <c r="I676" i="19"/>
  <c r="I671" i="19"/>
  <c r="I685" i="19"/>
  <c r="J676" i="19"/>
  <c r="J671" i="19"/>
  <c r="J685" i="19"/>
  <c r="K676" i="19"/>
  <c r="K671" i="19"/>
  <c r="K685" i="19"/>
  <c r="L676" i="19"/>
  <c r="L671" i="19"/>
  <c r="L685" i="19"/>
  <c r="M676" i="19"/>
  <c r="M671" i="19"/>
  <c r="M685" i="19"/>
  <c r="N676" i="19"/>
  <c r="N671" i="19"/>
  <c r="N685" i="19"/>
  <c r="O676" i="19"/>
  <c r="O671" i="19"/>
  <c r="O685" i="19"/>
  <c r="P676" i="19"/>
  <c r="P671" i="19"/>
  <c r="P685" i="19"/>
  <c r="Q676" i="19"/>
  <c r="Q671" i="19"/>
  <c r="Q685" i="19"/>
  <c r="R676" i="19"/>
  <c r="R671" i="19"/>
  <c r="R685" i="19"/>
  <c r="C689" i="19"/>
  <c r="C692" i="19"/>
  <c r="C695" i="19"/>
  <c r="C709" i="19"/>
  <c r="C704" i="19"/>
  <c r="C718" i="19"/>
  <c r="D709" i="19"/>
  <c r="D704" i="19"/>
  <c r="D718" i="19"/>
  <c r="E709" i="19"/>
  <c r="E704" i="19"/>
  <c r="E718" i="19"/>
  <c r="F709" i="19"/>
  <c r="F704" i="19"/>
  <c r="F718" i="19"/>
  <c r="G709" i="19"/>
  <c r="G704" i="19"/>
  <c r="G718" i="19"/>
  <c r="H709" i="19"/>
  <c r="H704" i="19"/>
  <c r="H718" i="19"/>
  <c r="I709" i="19"/>
  <c r="I704" i="19"/>
  <c r="I718" i="19"/>
  <c r="J709" i="19"/>
  <c r="J704" i="19"/>
  <c r="J718" i="19"/>
  <c r="K709" i="19"/>
  <c r="K704" i="19"/>
  <c r="K718" i="19"/>
  <c r="L709" i="19"/>
  <c r="L704" i="19"/>
  <c r="L718" i="19"/>
  <c r="M709" i="19"/>
  <c r="M704" i="19"/>
  <c r="M718" i="19"/>
  <c r="N709" i="19"/>
  <c r="N704" i="19"/>
  <c r="N718" i="19"/>
  <c r="O709" i="19"/>
  <c r="O704" i="19"/>
  <c r="O718" i="19"/>
  <c r="P709" i="19"/>
  <c r="P704" i="19"/>
  <c r="P718" i="19"/>
  <c r="Q709" i="19"/>
  <c r="Q704" i="19"/>
  <c r="Q718" i="19"/>
  <c r="R709" i="19"/>
  <c r="R704" i="19"/>
  <c r="R718" i="19"/>
  <c r="C722" i="19"/>
  <c r="C725" i="19"/>
  <c r="C728" i="19"/>
  <c r="C742" i="19"/>
  <c r="C737" i="19"/>
  <c r="C751" i="19"/>
  <c r="D742" i="19"/>
  <c r="D737" i="19"/>
  <c r="D751" i="19"/>
  <c r="E742" i="19"/>
  <c r="E737" i="19"/>
  <c r="E751" i="19"/>
  <c r="F742" i="19"/>
  <c r="F737" i="19"/>
  <c r="F751" i="19"/>
  <c r="G742" i="19"/>
  <c r="G737" i="19"/>
  <c r="G751" i="19"/>
  <c r="H742" i="19"/>
  <c r="H737" i="19"/>
  <c r="H751" i="19"/>
  <c r="I742" i="19"/>
  <c r="I737" i="19"/>
  <c r="I751" i="19"/>
  <c r="J742" i="19"/>
  <c r="J737" i="19"/>
  <c r="J751" i="19"/>
  <c r="K742" i="19"/>
  <c r="K737" i="19"/>
  <c r="K751" i="19"/>
  <c r="L742" i="19"/>
  <c r="L737" i="19"/>
  <c r="L751" i="19"/>
  <c r="M742" i="19"/>
  <c r="M737" i="19"/>
  <c r="M751" i="19"/>
  <c r="N742" i="19"/>
  <c r="N737" i="19"/>
  <c r="N751" i="19"/>
  <c r="O742" i="19"/>
  <c r="O737" i="19"/>
  <c r="O751" i="19"/>
  <c r="P742" i="19"/>
  <c r="P737" i="19"/>
  <c r="P751" i="19"/>
  <c r="Q742" i="19"/>
  <c r="Q737" i="19"/>
  <c r="Q751" i="19"/>
  <c r="R742" i="19"/>
  <c r="R737" i="19"/>
  <c r="R751" i="19"/>
  <c r="C755" i="19"/>
  <c r="C758" i="19"/>
  <c r="C761" i="19"/>
  <c r="C775" i="19"/>
  <c r="C770" i="19"/>
  <c r="C784" i="19"/>
  <c r="D775" i="19"/>
  <c r="D770" i="19"/>
  <c r="D784" i="19"/>
  <c r="E775" i="19"/>
  <c r="E770" i="19"/>
  <c r="E784" i="19"/>
  <c r="F775" i="19"/>
  <c r="F770" i="19"/>
  <c r="F784" i="19"/>
  <c r="G775" i="19"/>
  <c r="G770" i="19"/>
  <c r="G784" i="19"/>
  <c r="H775" i="19"/>
  <c r="H770" i="19"/>
  <c r="H784" i="19"/>
  <c r="I775" i="19"/>
  <c r="I770" i="19"/>
  <c r="I784" i="19"/>
  <c r="J775" i="19"/>
  <c r="J770" i="19"/>
  <c r="J784" i="19"/>
  <c r="K775" i="19"/>
  <c r="K770" i="19"/>
  <c r="K784" i="19"/>
  <c r="L775" i="19"/>
  <c r="L770" i="19"/>
  <c r="L784" i="19"/>
  <c r="M775" i="19"/>
  <c r="M770" i="19"/>
  <c r="M784" i="19"/>
  <c r="N775" i="19"/>
  <c r="N770" i="19"/>
  <c r="N784" i="19"/>
  <c r="O775" i="19"/>
  <c r="O770" i="19"/>
  <c r="O784" i="19"/>
  <c r="P775" i="19"/>
  <c r="P770" i="19"/>
  <c r="P784" i="19"/>
  <c r="Q775" i="19"/>
  <c r="Q770" i="19"/>
  <c r="Q784" i="19"/>
  <c r="R775" i="19"/>
  <c r="R770" i="19"/>
  <c r="R784" i="19"/>
  <c r="C788" i="19"/>
  <c r="C791" i="19"/>
  <c r="C794" i="19"/>
  <c r="C808" i="19"/>
  <c r="C803" i="19"/>
  <c r="C817" i="19"/>
  <c r="D808" i="19"/>
  <c r="D803" i="19"/>
  <c r="D817" i="19"/>
  <c r="E808" i="19"/>
  <c r="E803" i="19"/>
  <c r="E817" i="19"/>
  <c r="F808" i="19"/>
  <c r="F803" i="19"/>
  <c r="F817" i="19"/>
  <c r="G808" i="19"/>
  <c r="G803" i="19"/>
  <c r="G817" i="19"/>
  <c r="H808" i="19"/>
  <c r="H803" i="19"/>
  <c r="H817" i="19"/>
  <c r="I808" i="19"/>
  <c r="I803" i="19"/>
  <c r="I817" i="19"/>
  <c r="J808" i="19"/>
  <c r="J803" i="19"/>
  <c r="J817" i="19"/>
  <c r="K808" i="19"/>
  <c r="K803" i="19"/>
  <c r="K817" i="19"/>
  <c r="L808" i="19"/>
  <c r="L803" i="19"/>
  <c r="L817" i="19"/>
  <c r="M808" i="19"/>
  <c r="M803" i="19"/>
  <c r="M817" i="19"/>
  <c r="N808" i="19"/>
  <c r="N803" i="19"/>
  <c r="N817" i="19"/>
  <c r="O808" i="19"/>
  <c r="O803" i="19"/>
  <c r="O817" i="19"/>
  <c r="P808" i="19"/>
  <c r="P803" i="19"/>
  <c r="P817" i="19"/>
  <c r="Q808" i="19"/>
  <c r="Q803" i="19"/>
  <c r="Q817" i="19"/>
  <c r="R808" i="19"/>
  <c r="R803" i="19"/>
  <c r="R817" i="19"/>
  <c r="C821" i="19"/>
  <c r="C824" i="19"/>
  <c r="C827" i="19"/>
  <c r="C841" i="19"/>
  <c r="C836" i="19"/>
  <c r="C850" i="19"/>
  <c r="D841" i="19"/>
  <c r="D836" i="19"/>
  <c r="D850" i="19"/>
  <c r="E841" i="19"/>
  <c r="E836" i="19"/>
  <c r="E850" i="19"/>
  <c r="F841" i="19"/>
  <c r="F836" i="19"/>
  <c r="F850" i="19"/>
  <c r="G841" i="19"/>
  <c r="G836" i="19"/>
  <c r="G850" i="19"/>
  <c r="H841" i="19"/>
  <c r="H836" i="19"/>
  <c r="H850" i="19"/>
  <c r="I841" i="19"/>
  <c r="I836" i="19"/>
  <c r="I850" i="19"/>
  <c r="J841" i="19"/>
  <c r="J836" i="19"/>
  <c r="J850" i="19"/>
  <c r="K841" i="19"/>
  <c r="K836" i="19"/>
  <c r="K850" i="19"/>
  <c r="L841" i="19"/>
  <c r="L836" i="19"/>
  <c r="L850" i="19"/>
  <c r="M841" i="19"/>
  <c r="M836" i="19"/>
  <c r="M850" i="19"/>
  <c r="N841" i="19"/>
  <c r="N836" i="19"/>
  <c r="N850" i="19"/>
  <c r="O841" i="19"/>
  <c r="O836" i="19"/>
  <c r="O850" i="19"/>
  <c r="P841" i="19"/>
  <c r="P836" i="19"/>
  <c r="P850" i="19"/>
  <c r="Q841" i="19"/>
  <c r="Q836" i="19"/>
  <c r="Q850" i="19"/>
  <c r="R841" i="19"/>
  <c r="R836" i="19"/>
  <c r="R850" i="19"/>
  <c r="C854" i="19"/>
  <c r="C857" i="19"/>
  <c r="C860" i="19"/>
  <c r="C874" i="19"/>
  <c r="C869" i="19"/>
  <c r="C883" i="19"/>
  <c r="D874" i="19"/>
  <c r="D869" i="19"/>
  <c r="D883" i="19"/>
  <c r="E874" i="19"/>
  <c r="E869" i="19"/>
  <c r="E883" i="19"/>
  <c r="F874" i="19"/>
  <c r="F869" i="19"/>
  <c r="F883" i="19"/>
  <c r="G874" i="19"/>
  <c r="G869" i="19"/>
  <c r="G883" i="19"/>
  <c r="H874" i="19"/>
  <c r="H869" i="19"/>
  <c r="H883" i="19"/>
  <c r="I874" i="19"/>
  <c r="I869" i="19"/>
  <c r="I883" i="19"/>
  <c r="J874" i="19"/>
  <c r="J869" i="19"/>
  <c r="J883" i="19"/>
  <c r="K874" i="19"/>
  <c r="K869" i="19"/>
  <c r="K883" i="19"/>
  <c r="L874" i="19"/>
  <c r="L869" i="19"/>
  <c r="L883" i="19"/>
  <c r="M874" i="19"/>
  <c r="M869" i="19"/>
  <c r="M883" i="19"/>
  <c r="N874" i="19"/>
  <c r="N869" i="19"/>
  <c r="N883" i="19"/>
  <c r="O874" i="19"/>
  <c r="O869" i="19"/>
  <c r="O883" i="19"/>
  <c r="P874" i="19"/>
  <c r="P869" i="19"/>
  <c r="P883" i="19"/>
  <c r="Q874" i="19"/>
  <c r="Q869" i="19"/>
  <c r="Q883" i="19"/>
  <c r="R874" i="19"/>
  <c r="R869" i="19"/>
  <c r="R883" i="19"/>
  <c r="C887" i="19"/>
  <c r="C890" i="19"/>
  <c r="C893" i="19"/>
  <c r="C910" i="19"/>
  <c r="C913" i="19"/>
  <c r="C907" i="19"/>
  <c r="C902" i="19"/>
  <c r="C916" i="19"/>
  <c r="D910" i="19"/>
  <c r="D913" i="19"/>
  <c r="D907" i="19"/>
  <c r="D902" i="19"/>
  <c r="D916" i="19"/>
  <c r="E910" i="19"/>
  <c r="E913" i="19"/>
  <c r="E907" i="19"/>
  <c r="E902" i="19"/>
  <c r="E916" i="19"/>
  <c r="F907" i="19"/>
  <c r="F902" i="19"/>
  <c r="F916" i="19"/>
  <c r="G907" i="19"/>
  <c r="G902" i="19"/>
  <c r="G916" i="19"/>
  <c r="H907" i="19"/>
  <c r="H902" i="19"/>
  <c r="H916" i="19"/>
  <c r="I907" i="19"/>
  <c r="I902" i="19"/>
  <c r="I916" i="19"/>
  <c r="J907" i="19"/>
  <c r="J902" i="19"/>
  <c r="J916" i="19"/>
  <c r="K907" i="19"/>
  <c r="K902" i="19"/>
  <c r="K916" i="19"/>
  <c r="L907" i="19"/>
  <c r="L902" i="19"/>
  <c r="L916" i="19"/>
  <c r="M907" i="19"/>
  <c r="M902" i="19"/>
  <c r="M916" i="19"/>
  <c r="N907" i="19"/>
  <c r="N902" i="19"/>
  <c r="N916" i="19"/>
  <c r="O907" i="19"/>
  <c r="O902" i="19"/>
  <c r="O916" i="19"/>
  <c r="P907" i="19"/>
  <c r="P902" i="19"/>
  <c r="P916" i="19"/>
  <c r="Q907" i="19"/>
  <c r="Q902" i="19"/>
  <c r="Q916" i="19"/>
  <c r="R907" i="19"/>
  <c r="R902" i="19"/>
  <c r="R916" i="19"/>
  <c r="C920" i="19"/>
  <c r="C923" i="19"/>
  <c r="C926" i="19"/>
  <c r="C943" i="19"/>
  <c r="C946" i="19"/>
  <c r="C940" i="19"/>
  <c r="C935" i="19"/>
  <c r="C949" i="19"/>
  <c r="D943" i="19"/>
  <c r="D946" i="19"/>
  <c r="D940" i="19"/>
  <c r="D935" i="19"/>
  <c r="D949" i="19"/>
  <c r="E943" i="19"/>
  <c r="E946" i="19"/>
  <c r="E940" i="19"/>
  <c r="E935" i="19"/>
  <c r="E949" i="19"/>
  <c r="F940" i="19"/>
  <c r="F935" i="19"/>
  <c r="F949" i="19"/>
  <c r="G940" i="19"/>
  <c r="G935" i="19"/>
  <c r="G949" i="19"/>
  <c r="H940" i="19"/>
  <c r="H935" i="19"/>
  <c r="H949" i="19"/>
  <c r="I940" i="19"/>
  <c r="I935" i="19"/>
  <c r="I949" i="19"/>
  <c r="J940" i="19"/>
  <c r="J935" i="19"/>
  <c r="J949" i="19"/>
  <c r="K940" i="19"/>
  <c r="K935" i="19"/>
  <c r="K949" i="19"/>
  <c r="L940" i="19"/>
  <c r="L935" i="19"/>
  <c r="L949" i="19"/>
  <c r="M940" i="19"/>
  <c r="M935" i="19"/>
  <c r="M949" i="19"/>
  <c r="N940" i="19"/>
  <c r="N935" i="19"/>
  <c r="N949" i="19"/>
  <c r="O940" i="19"/>
  <c r="O935" i="19"/>
  <c r="O949" i="19"/>
  <c r="P940" i="19"/>
  <c r="P935" i="19"/>
  <c r="P949" i="19"/>
  <c r="Q940" i="19"/>
  <c r="Q935" i="19"/>
  <c r="Q949" i="19"/>
  <c r="R940" i="19"/>
  <c r="R935" i="19"/>
  <c r="R949" i="19"/>
  <c r="C953" i="19"/>
  <c r="C956" i="19"/>
  <c r="C959" i="19"/>
  <c r="C976" i="19"/>
  <c r="C979" i="19"/>
  <c r="C973" i="19"/>
  <c r="C968" i="19"/>
  <c r="C982" i="19"/>
  <c r="D976" i="19"/>
  <c r="D979" i="19"/>
  <c r="D973" i="19"/>
  <c r="D968" i="19"/>
  <c r="D982" i="19"/>
  <c r="E976" i="19"/>
  <c r="E979" i="19"/>
  <c r="E973" i="19"/>
  <c r="E968" i="19"/>
  <c r="E982" i="19"/>
  <c r="F973" i="19"/>
  <c r="F968" i="19"/>
  <c r="F982" i="19"/>
  <c r="G973" i="19"/>
  <c r="G968" i="19"/>
  <c r="G982" i="19"/>
  <c r="H973" i="19"/>
  <c r="H968" i="19"/>
  <c r="H982" i="19"/>
  <c r="I973" i="19"/>
  <c r="I968" i="19"/>
  <c r="I982" i="19"/>
  <c r="J973" i="19"/>
  <c r="J968" i="19"/>
  <c r="J982" i="19"/>
  <c r="K973" i="19"/>
  <c r="K968" i="19"/>
  <c r="K982" i="19"/>
  <c r="L973" i="19"/>
  <c r="L968" i="19"/>
  <c r="L982" i="19"/>
  <c r="M973" i="19"/>
  <c r="M968" i="19"/>
  <c r="M982" i="19"/>
  <c r="N973" i="19"/>
  <c r="N968" i="19"/>
  <c r="N982" i="19"/>
  <c r="O973" i="19"/>
  <c r="O968" i="19"/>
  <c r="O982" i="19"/>
  <c r="P973" i="19"/>
  <c r="P968" i="19"/>
  <c r="P982" i="19"/>
  <c r="Q973" i="19"/>
  <c r="Q968" i="19"/>
  <c r="Q982" i="19"/>
  <c r="R973" i="19"/>
  <c r="R968" i="19"/>
  <c r="R982" i="19"/>
  <c r="C986" i="19"/>
  <c r="C989" i="19"/>
  <c r="C992" i="19"/>
  <c r="C1009" i="19"/>
  <c r="C1012" i="19"/>
  <c r="C1006" i="19"/>
  <c r="C1001" i="19"/>
  <c r="C1015" i="19"/>
  <c r="D1009" i="19"/>
  <c r="D1012" i="19"/>
  <c r="D1006" i="19"/>
  <c r="D1001" i="19"/>
  <c r="D1015" i="19"/>
  <c r="E1009" i="19"/>
  <c r="E1012" i="19"/>
  <c r="E1006" i="19"/>
  <c r="E1001" i="19"/>
  <c r="E1015" i="19"/>
  <c r="F1006" i="19"/>
  <c r="F1001" i="19"/>
  <c r="F1015" i="19"/>
  <c r="G1006" i="19"/>
  <c r="G1001" i="19"/>
  <c r="G1015" i="19"/>
  <c r="H1006" i="19"/>
  <c r="H1001" i="19"/>
  <c r="H1015" i="19"/>
  <c r="I1006" i="19"/>
  <c r="I1001" i="19"/>
  <c r="I1015" i="19"/>
  <c r="J1006" i="19"/>
  <c r="J1001" i="19"/>
  <c r="J1015" i="19"/>
  <c r="K1006" i="19"/>
  <c r="K1001" i="19"/>
  <c r="K1015" i="19"/>
  <c r="L1006" i="19"/>
  <c r="L1001" i="19"/>
  <c r="L1015" i="19"/>
  <c r="M1006" i="19"/>
  <c r="M1001" i="19"/>
  <c r="M1015" i="19"/>
  <c r="N1006" i="19"/>
  <c r="N1001" i="19"/>
  <c r="N1015" i="19"/>
  <c r="O1006" i="19"/>
  <c r="O1001" i="19"/>
  <c r="O1015" i="19"/>
  <c r="P1006" i="19"/>
  <c r="P1001" i="19"/>
  <c r="P1015" i="19"/>
  <c r="Q1006" i="19"/>
  <c r="Q1001" i="19"/>
  <c r="Q1015" i="19"/>
  <c r="R1006" i="19"/>
  <c r="R1001" i="19"/>
  <c r="R1015" i="19"/>
  <c r="C1019" i="19"/>
  <c r="C1022" i="19"/>
  <c r="C1025" i="19"/>
  <c r="C1042" i="19"/>
  <c r="C1045" i="19"/>
  <c r="C1039" i="19"/>
  <c r="C1034" i="19"/>
  <c r="C1048" i="19"/>
  <c r="D1042" i="19"/>
  <c r="D1045" i="19"/>
  <c r="D1039" i="19"/>
  <c r="D1034" i="19"/>
  <c r="D1048" i="19"/>
  <c r="E1042" i="19"/>
  <c r="E1045" i="19"/>
  <c r="E1039" i="19"/>
  <c r="E1034" i="19"/>
  <c r="E1048" i="19"/>
  <c r="F1039" i="19"/>
  <c r="F1034" i="19"/>
  <c r="F1048" i="19"/>
  <c r="G1039" i="19"/>
  <c r="G1034" i="19"/>
  <c r="G1048" i="19"/>
  <c r="H1039" i="19"/>
  <c r="H1034" i="19"/>
  <c r="H1048" i="19"/>
  <c r="I1039" i="19"/>
  <c r="I1034" i="19"/>
  <c r="I1048" i="19"/>
  <c r="J1039" i="19"/>
  <c r="J1034" i="19"/>
  <c r="J1048" i="19"/>
  <c r="K1039" i="19"/>
  <c r="K1034" i="19"/>
  <c r="K1048" i="19"/>
  <c r="L1039" i="19"/>
  <c r="L1034" i="19"/>
  <c r="L1048" i="19"/>
  <c r="M1039" i="19"/>
  <c r="M1034" i="19"/>
  <c r="M1048" i="19"/>
  <c r="N1039" i="19"/>
  <c r="N1034" i="19"/>
  <c r="N1048" i="19"/>
  <c r="O1039" i="19"/>
  <c r="O1034" i="19"/>
  <c r="O1048" i="19"/>
  <c r="P1039" i="19"/>
  <c r="P1034" i="19"/>
  <c r="P1048" i="19"/>
  <c r="Q1039" i="19"/>
  <c r="Q1034" i="19"/>
  <c r="Q1048" i="19"/>
  <c r="R1039" i="19"/>
  <c r="R1034" i="19"/>
  <c r="R1048" i="19"/>
  <c r="C1052" i="19"/>
  <c r="C1055" i="19"/>
  <c r="C1058" i="19"/>
  <c r="C1075" i="19"/>
  <c r="C1078" i="19"/>
  <c r="C1072" i="19"/>
  <c r="C1067" i="19"/>
  <c r="C1081" i="19"/>
  <c r="D1075" i="19"/>
  <c r="D1078" i="19"/>
  <c r="D1072" i="19"/>
  <c r="D1067" i="19"/>
  <c r="D1081" i="19"/>
  <c r="E1075" i="19"/>
  <c r="E1078" i="19"/>
  <c r="E1072" i="19"/>
  <c r="E1067" i="19"/>
  <c r="E1081" i="19"/>
  <c r="F1072" i="19"/>
  <c r="F1067" i="19"/>
  <c r="F1081" i="19"/>
  <c r="G1072" i="19"/>
  <c r="G1067" i="19"/>
  <c r="G1081" i="19"/>
  <c r="H1072" i="19"/>
  <c r="H1067" i="19"/>
  <c r="H1081" i="19"/>
  <c r="I1072" i="19"/>
  <c r="I1067" i="19"/>
  <c r="I1081" i="19"/>
  <c r="J1072" i="19"/>
  <c r="J1067" i="19"/>
  <c r="J1081" i="19"/>
  <c r="K1072" i="19"/>
  <c r="K1067" i="19"/>
  <c r="K1081" i="19"/>
  <c r="L1072" i="19"/>
  <c r="L1067" i="19"/>
  <c r="L1081" i="19"/>
  <c r="M1072" i="19"/>
  <c r="M1067" i="19"/>
  <c r="M1081" i="19"/>
  <c r="N1072" i="19"/>
  <c r="N1067" i="19"/>
  <c r="N1081" i="19"/>
  <c r="O1072" i="19"/>
  <c r="O1067" i="19"/>
  <c r="O1081" i="19"/>
  <c r="P1072" i="19"/>
  <c r="P1067" i="19"/>
  <c r="P1081" i="19"/>
  <c r="Q1072" i="19"/>
  <c r="Q1067" i="19"/>
  <c r="Q1081" i="19"/>
  <c r="R1072" i="19"/>
  <c r="R1067" i="19"/>
  <c r="R1081" i="19"/>
  <c r="C1085" i="19"/>
  <c r="C1088" i="19"/>
  <c r="C1091" i="19"/>
  <c r="Z53" i="19"/>
  <c r="Y53" i="19"/>
  <c r="Q7" i="20"/>
  <c r="R7" i="20"/>
  <c r="S7" i="20"/>
  <c r="BE7" i="20"/>
  <c r="AM7" i="20"/>
  <c r="AN7" i="20"/>
  <c r="AO7" i="20"/>
  <c r="AP7" i="20"/>
  <c r="AQ7" i="20"/>
  <c r="AR7" i="20"/>
  <c r="AS7" i="20"/>
  <c r="AT7" i="20"/>
  <c r="AU7" i="20"/>
  <c r="AV7" i="20"/>
  <c r="AW7" i="20"/>
  <c r="AX7" i="20"/>
  <c r="AY7" i="20"/>
  <c r="AZ7" i="20"/>
  <c r="BA7" i="20"/>
  <c r="BB7" i="20"/>
  <c r="BD7" i="20"/>
  <c r="BF7" i="20"/>
  <c r="Q8" i="20"/>
  <c r="R8" i="20"/>
  <c r="S8" i="20"/>
  <c r="BE8" i="20"/>
  <c r="AM8" i="20"/>
  <c r="AN8" i="20"/>
  <c r="AO8" i="20"/>
  <c r="AP8" i="20"/>
  <c r="AQ8" i="20"/>
  <c r="AR8" i="20"/>
  <c r="AS8" i="20"/>
  <c r="AT8" i="20"/>
  <c r="AU8" i="20"/>
  <c r="AV8" i="20"/>
  <c r="AW8" i="20"/>
  <c r="AX8" i="20"/>
  <c r="AY8" i="20"/>
  <c r="AZ8" i="20"/>
  <c r="BA8" i="20"/>
  <c r="BB8" i="20"/>
  <c r="BD8" i="20"/>
  <c r="BF8" i="20"/>
  <c r="Q9" i="20"/>
  <c r="R9" i="20"/>
  <c r="S9" i="20"/>
  <c r="BE9" i="20"/>
  <c r="AM9" i="20"/>
  <c r="AN9" i="20"/>
  <c r="AO9" i="20"/>
  <c r="AP9" i="20"/>
  <c r="AQ9" i="20"/>
  <c r="AR9" i="20"/>
  <c r="AS9" i="20"/>
  <c r="AT9" i="20"/>
  <c r="AU9" i="20"/>
  <c r="AV9" i="20"/>
  <c r="AW9" i="20"/>
  <c r="AX9" i="20"/>
  <c r="AY9" i="20"/>
  <c r="AZ9" i="20"/>
  <c r="BA9" i="20"/>
  <c r="BB9" i="20"/>
  <c r="BD9" i="20"/>
  <c r="BF9" i="20"/>
  <c r="Q10" i="20"/>
  <c r="R10" i="20"/>
  <c r="S10" i="20"/>
  <c r="BE10" i="20"/>
  <c r="AM10" i="20"/>
  <c r="AN10" i="20"/>
  <c r="AO10" i="20"/>
  <c r="AP10" i="20"/>
  <c r="AQ10" i="20"/>
  <c r="AR10" i="20"/>
  <c r="AS10" i="20"/>
  <c r="AT10" i="20"/>
  <c r="AU10" i="20"/>
  <c r="AV10" i="20"/>
  <c r="AW10" i="20"/>
  <c r="AX10" i="20"/>
  <c r="AY10" i="20"/>
  <c r="AZ10" i="20"/>
  <c r="BA10" i="20"/>
  <c r="BB10" i="20"/>
  <c r="BD10" i="20"/>
  <c r="BF10" i="20"/>
  <c r="Q11" i="20"/>
  <c r="R11" i="20"/>
  <c r="S11" i="20"/>
  <c r="BE11" i="20"/>
  <c r="AM11" i="20"/>
  <c r="AN11" i="20"/>
  <c r="AO11" i="20"/>
  <c r="AP11" i="20"/>
  <c r="AQ11" i="20"/>
  <c r="AR11" i="20"/>
  <c r="AS11" i="20"/>
  <c r="AT11" i="20"/>
  <c r="AU11" i="20"/>
  <c r="AV11" i="20"/>
  <c r="AW11" i="20"/>
  <c r="AX11" i="20"/>
  <c r="AY11" i="20"/>
  <c r="AZ11" i="20"/>
  <c r="BA11" i="20"/>
  <c r="BB11" i="20"/>
  <c r="BD11" i="20"/>
  <c r="BF11" i="20"/>
  <c r="Q12" i="20"/>
  <c r="R12" i="20"/>
  <c r="S12" i="20"/>
  <c r="BE12" i="20"/>
  <c r="AM12" i="20"/>
  <c r="AN12" i="20"/>
  <c r="AO12" i="20"/>
  <c r="AP12" i="20"/>
  <c r="AQ12" i="20"/>
  <c r="AR12" i="20"/>
  <c r="AS12" i="20"/>
  <c r="AT12" i="20"/>
  <c r="AU12" i="20"/>
  <c r="AV12" i="20"/>
  <c r="AW12" i="20"/>
  <c r="AX12" i="20"/>
  <c r="AY12" i="20"/>
  <c r="AZ12" i="20"/>
  <c r="BA12" i="20"/>
  <c r="BB12" i="20"/>
  <c r="BD12" i="20"/>
  <c r="BF12" i="20"/>
  <c r="Q13" i="20"/>
  <c r="R13" i="20"/>
  <c r="S13" i="20"/>
  <c r="BE13" i="20"/>
  <c r="AM13" i="20"/>
  <c r="AN13" i="20"/>
  <c r="AO13" i="20"/>
  <c r="AP13" i="20"/>
  <c r="AQ13" i="20"/>
  <c r="AR13" i="20"/>
  <c r="AS13" i="20"/>
  <c r="AT13" i="20"/>
  <c r="AU13" i="20"/>
  <c r="AV13" i="20"/>
  <c r="AW13" i="20"/>
  <c r="AX13" i="20"/>
  <c r="AY13" i="20"/>
  <c r="AZ13" i="20"/>
  <c r="BA13" i="20"/>
  <c r="BB13" i="20"/>
  <c r="BD13" i="20"/>
  <c r="BF13" i="20"/>
  <c r="Q14" i="20"/>
  <c r="R14" i="20"/>
  <c r="S14" i="20"/>
  <c r="BE14" i="20"/>
  <c r="AM14" i="20"/>
  <c r="AN14" i="20"/>
  <c r="AO14" i="20"/>
  <c r="AP14" i="20"/>
  <c r="AQ14" i="20"/>
  <c r="AR14" i="20"/>
  <c r="AS14" i="20"/>
  <c r="AT14" i="20"/>
  <c r="AU14" i="20"/>
  <c r="AV14" i="20"/>
  <c r="AW14" i="20"/>
  <c r="AX14" i="20"/>
  <c r="AY14" i="20"/>
  <c r="AZ14" i="20"/>
  <c r="BA14" i="20"/>
  <c r="BB14" i="20"/>
  <c r="BD14" i="20"/>
  <c r="BF14" i="20"/>
  <c r="Q15" i="20"/>
  <c r="R15" i="20"/>
  <c r="S15" i="20"/>
  <c r="BE15" i="20"/>
  <c r="AM15" i="20"/>
  <c r="AN15" i="20"/>
  <c r="AO15" i="20"/>
  <c r="AP15" i="20"/>
  <c r="AQ15" i="20"/>
  <c r="AR15" i="20"/>
  <c r="AS15" i="20"/>
  <c r="AT15" i="20"/>
  <c r="AU15" i="20"/>
  <c r="AV15" i="20"/>
  <c r="AW15" i="20"/>
  <c r="AX15" i="20"/>
  <c r="AY15" i="20"/>
  <c r="AZ15" i="20"/>
  <c r="BA15" i="20"/>
  <c r="BB15" i="20"/>
  <c r="BD15" i="20"/>
  <c r="BF15" i="20"/>
  <c r="Q16" i="20"/>
  <c r="R16" i="20"/>
  <c r="S16" i="20"/>
  <c r="BE16" i="20"/>
  <c r="AM16" i="20"/>
  <c r="AN16" i="20"/>
  <c r="AO16" i="20"/>
  <c r="AP16" i="20"/>
  <c r="AQ16" i="20"/>
  <c r="AR16" i="20"/>
  <c r="AS16" i="20"/>
  <c r="AT16" i="20"/>
  <c r="AU16" i="20"/>
  <c r="AV16" i="20"/>
  <c r="AW16" i="20"/>
  <c r="AX16" i="20"/>
  <c r="AY16" i="20"/>
  <c r="AZ16" i="20"/>
  <c r="BA16" i="20"/>
  <c r="BB16" i="20"/>
  <c r="BD16" i="20"/>
  <c r="BF16" i="20"/>
  <c r="Q17" i="20"/>
  <c r="R17" i="20"/>
  <c r="S17" i="20"/>
  <c r="BE17" i="20"/>
  <c r="AM17" i="20"/>
  <c r="AN17" i="20"/>
  <c r="AO17" i="20"/>
  <c r="AP17" i="20"/>
  <c r="AQ17" i="20"/>
  <c r="AR17" i="20"/>
  <c r="AS17" i="20"/>
  <c r="AT17" i="20"/>
  <c r="AU17" i="20"/>
  <c r="AV17" i="20"/>
  <c r="AW17" i="20"/>
  <c r="AX17" i="20"/>
  <c r="AY17" i="20"/>
  <c r="AZ17" i="20"/>
  <c r="BA17" i="20"/>
  <c r="BB17" i="20"/>
  <c r="BD17" i="20"/>
  <c r="BF17" i="20"/>
  <c r="Q18" i="20"/>
  <c r="R18" i="20"/>
  <c r="S18" i="20"/>
  <c r="BE18" i="20"/>
  <c r="AM18" i="20"/>
  <c r="AN18" i="20"/>
  <c r="AO18" i="20"/>
  <c r="AP18" i="20"/>
  <c r="AQ18" i="20"/>
  <c r="AR18" i="20"/>
  <c r="AS18" i="20"/>
  <c r="AT18" i="20"/>
  <c r="AU18" i="20"/>
  <c r="AV18" i="20"/>
  <c r="AW18" i="20"/>
  <c r="AX18" i="20"/>
  <c r="AY18" i="20"/>
  <c r="AZ18" i="20"/>
  <c r="BA18" i="20"/>
  <c r="BB18" i="20"/>
  <c r="BD18" i="20"/>
  <c r="BF18" i="20"/>
  <c r="Q19" i="20"/>
  <c r="R19" i="20"/>
  <c r="S19" i="20"/>
  <c r="BE19" i="20"/>
  <c r="AM19" i="20"/>
  <c r="AN19" i="20"/>
  <c r="AO19" i="20"/>
  <c r="AP19" i="20"/>
  <c r="AQ19" i="20"/>
  <c r="AR19" i="20"/>
  <c r="AS19" i="20"/>
  <c r="AT19" i="20"/>
  <c r="AU19" i="20"/>
  <c r="AV19" i="20"/>
  <c r="AW19" i="20"/>
  <c r="AX19" i="20"/>
  <c r="AY19" i="20"/>
  <c r="AZ19" i="20"/>
  <c r="BA19" i="20"/>
  <c r="BB19" i="20"/>
  <c r="BD19" i="20"/>
  <c r="BF19" i="20"/>
  <c r="Q20" i="20"/>
  <c r="R20" i="20"/>
  <c r="S20" i="20"/>
  <c r="BE20" i="20"/>
  <c r="AM20" i="20"/>
  <c r="AN20" i="20"/>
  <c r="AO20" i="20"/>
  <c r="AP20" i="20"/>
  <c r="AQ20" i="20"/>
  <c r="AR20" i="20"/>
  <c r="AS20" i="20"/>
  <c r="AT20" i="20"/>
  <c r="AU20" i="20"/>
  <c r="AV20" i="20"/>
  <c r="AW20" i="20"/>
  <c r="AX20" i="20"/>
  <c r="AY20" i="20"/>
  <c r="AZ20" i="20"/>
  <c r="BA20" i="20"/>
  <c r="BB20" i="20"/>
  <c r="BD20" i="20"/>
  <c r="BF20" i="20"/>
  <c r="Q21" i="20"/>
  <c r="R21" i="20"/>
  <c r="S21" i="20"/>
  <c r="BE21" i="20"/>
  <c r="AM21" i="20"/>
  <c r="AN21" i="20"/>
  <c r="AO21" i="20"/>
  <c r="AP21" i="20"/>
  <c r="AQ21" i="20"/>
  <c r="AR21" i="20"/>
  <c r="AS21" i="20"/>
  <c r="AT21" i="20"/>
  <c r="AU21" i="20"/>
  <c r="AV21" i="20"/>
  <c r="AW21" i="20"/>
  <c r="AX21" i="20"/>
  <c r="AY21" i="20"/>
  <c r="AZ21" i="20"/>
  <c r="BA21" i="20"/>
  <c r="BB21" i="20"/>
  <c r="BD21" i="20"/>
  <c r="BF21" i="20"/>
  <c r="Q22" i="20"/>
  <c r="R22" i="20"/>
  <c r="S22" i="20"/>
  <c r="BE22" i="20"/>
  <c r="AM22" i="20"/>
  <c r="AN22" i="20"/>
  <c r="AO22" i="20"/>
  <c r="AP22" i="20"/>
  <c r="AQ22" i="20"/>
  <c r="AR22" i="20"/>
  <c r="AS22" i="20"/>
  <c r="AT22" i="20"/>
  <c r="AU22" i="20"/>
  <c r="AV22" i="20"/>
  <c r="AW22" i="20"/>
  <c r="AX22" i="20"/>
  <c r="AY22" i="20"/>
  <c r="AZ22" i="20"/>
  <c r="BA22" i="20"/>
  <c r="BB22" i="20"/>
  <c r="BD22" i="20"/>
  <c r="BF22" i="20"/>
  <c r="Q23" i="20"/>
  <c r="R23" i="20"/>
  <c r="S23" i="20"/>
  <c r="BE23" i="20"/>
  <c r="AM23" i="20"/>
  <c r="AN23" i="20"/>
  <c r="AO23" i="20"/>
  <c r="AP23" i="20"/>
  <c r="AQ23" i="20"/>
  <c r="AR23" i="20"/>
  <c r="AS23" i="20"/>
  <c r="AT23" i="20"/>
  <c r="AU23" i="20"/>
  <c r="AV23" i="20"/>
  <c r="AW23" i="20"/>
  <c r="AX23" i="20"/>
  <c r="AY23" i="20"/>
  <c r="AZ23" i="20"/>
  <c r="BA23" i="20"/>
  <c r="BB23" i="20"/>
  <c r="BD23" i="20"/>
  <c r="BF23" i="20"/>
  <c r="Q24" i="20"/>
  <c r="R24" i="20"/>
  <c r="S24" i="20"/>
  <c r="BE24" i="20"/>
  <c r="AM24" i="20"/>
  <c r="AN24" i="20"/>
  <c r="AO24" i="20"/>
  <c r="AP24" i="20"/>
  <c r="AQ24" i="20"/>
  <c r="AR24" i="20"/>
  <c r="AS24" i="20"/>
  <c r="AT24" i="20"/>
  <c r="AU24" i="20"/>
  <c r="AV24" i="20"/>
  <c r="AW24" i="20"/>
  <c r="AX24" i="20"/>
  <c r="AY24" i="20"/>
  <c r="AZ24" i="20"/>
  <c r="BA24" i="20"/>
  <c r="BB24" i="20"/>
  <c r="BD24" i="20"/>
  <c r="BF24" i="20"/>
  <c r="Q25" i="20"/>
  <c r="R25" i="20"/>
  <c r="S25" i="20"/>
  <c r="BE25" i="20"/>
  <c r="AM25" i="20"/>
  <c r="AN25" i="20"/>
  <c r="AO25" i="20"/>
  <c r="AP25" i="20"/>
  <c r="AQ25" i="20"/>
  <c r="AR25" i="20"/>
  <c r="AS25" i="20"/>
  <c r="AT25" i="20"/>
  <c r="AU25" i="20"/>
  <c r="AV25" i="20"/>
  <c r="AW25" i="20"/>
  <c r="AX25" i="20"/>
  <c r="AY25" i="20"/>
  <c r="AZ25" i="20"/>
  <c r="BA25" i="20"/>
  <c r="BB25" i="20"/>
  <c r="BD25" i="20"/>
  <c r="BF25" i="20"/>
  <c r="Q26" i="20"/>
  <c r="R26" i="20"/>
  <c r="S26" i="20"/>
  <c r="BE26" i="20"/>
  <c r="AM26" i="20"/>
  <c r="AN26" i="20"/>
  <c r="AO26" i="20"/>
  <c r="AP26" i="20"/>
  <c r="AQ26" i="20"/>
  <c r="AR26" i="20"/>
  <c r="AS26" i="20"/>
  <c r="AT26" i="20"/>
  <c r="AU26" i="20"/>
  <c r="AV26" i="20"/>
  <c r="AW26" i="20"/>
  <c r="AX26" i="20"/>
  <c r="AY26" i="20"/>
  <c r="AZ26" i="20"/>
  <c r="BA26" i="20"/>
  <c r="BB26" i="20"/>
  <c r="BD26" i="20"/>
  <c r="BF26" i="20"/>
  <c r="Q27" i="20"/>
  <c r="R27" i="20"/>
  <c r="S27" i="20"/>
  <c r="BE27" i="20"/>
  <c r="AM27" i="20"/>
  <c r="AN27" i="20"/>
  <c r="AO27" i="20"/>
  <c r="AP27" i="20"/>
  <c r="AQ27" i="20"/>
  <c r="AR27" i="20"/>
  <c r="AS27" i="20"/>
  <c r="AT27" i="20"/>
  <c r="AU27" i="20"/>
  <c r="AV27" i="20"/>
  <c r="AW27" i="20"/>
  <c r="AX27" i="20"/>
  <c r="AY27" i="20"/>
  <c r="AZ27" i="20"/>
  <c r="BA27" i="20"/>
  <c r="BB27" i="20"/>
  <c r="BD27" i="20"/>
  <c r="BF27" i="20"/>
  <c r="Q28" i="20"/>
  <c r="R28" i="20"/>
  <c r="S28" i="20"/>
  <c r="Q29" i="20"/>
  <c r="R29" i="20"/>
  <c r="S29" i="20"/>
  <c r="Q30" i="20"/>
  <c r="R30" i="20"/>
  <c r="S30" i="20"/>
  <c r="Q31" i="20"/>
  <c r="R31" i="20"/>
  <c r="S31" i="20"/>
  <c r="Q32" i="20"/>
  <c r="R32" i="20"/>
  <c r="S32" i="20"/>
  <c r="Q33" i="20"/>
  <c r="R33" i="20"/>
  <c r="S33" i="20"/>
  <c r="Q34" i="20"/>
  <c r="R34" i="20"/>
  <c r="S34" i="20"/>
  <c r="Q35" i="20"/>
  <c r="R35" i="20"/>
  <c r="S35" i="20"/>
  <c r="Q36" i="20"/>
  <c r="R36" i="20"/>
  <c r="S36" i="20"/>
  <c r="Q37" i="20"/>
  <c r="R37" i="20"/>
  <c r="S37" i="20"/>
  <c r="Q38" i="20"/>
  <c r="R38" i="20"/>
  <c r="S38" i="20"/>
  <c r="Q39" i="20"/>
  <c r="R39" i="20"/>
  <c r="S39" i="20"/>
  <c r="Q40" i="20"/>
  <c r="R40" i="20"/>
  <c r="S40" i="20"/>
  <c r="Q41" i="20"/>
  <c r="R41" i="20"/>
  <c r="S41" i="20"/>
  <c r="Q42" i="20"/>
  <c r="R42" i="20"/>
  <c r="S42" i="20"/>
  <c r="AF25" i="20"/>
  <c r="T7" i="20"/>
  <c r="T8" i="20"/>
  <c r="T9" i="20"/>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T39" i="20"/>
  <c r="T40" i="20"/>
  <c r="T41" i="20"/>
  <c r="T42" i="20"/>
  <c r="AF24" i="20"/>
  <c r="Y7" i="20"/>
  <c r="Y8" i="20"/>
  <c r="Y9" i="20"/>
  <c r="Y10" i="20"/>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42" i="20"/>
  <c r="AF26" i="20"/>
  <c r="AF27" i="20"/>
  <c r="AF28" i="20"/>
  <c r="BE28" i="20"/>
  <c r="AM28" i="20"/>
  <c r="AN28" i="20"/>
  <c r="AO28" i="20"/>
  <c r="AP28" i="20"/>
  <c r="AQ28" i="20"/>
  <c r="AR28" i="20"/>
  <c r="AS28" i="20"/>
  <c r="AT28" i="20"/>
  <c r="AU28" i="20"/>
  <c r="AV28" i="20"/>
  <c r="AW28" i="20"/>
  <c r="AX28" i="20"/>
  <c r="AY28" i="20"/>
  <c r="AZ28" i="20"/>
  <c r="BA28" i="20"/>
  <c r="BB28" i="20"/>
  <c r="BD28" i="20"/>
  <c r="BF28" i="20"/>
  <c r="AF29" i="20"/>
  <c r="BE29" i="20"/>
  <c r="AM29" i="20"/>
  <c r="AN29" i="20"/>
  <c r="AO29" i="20"/>
  <c r="AP29" i="20"/>
  <c r="AQ29" i="20"/>
  <c r="AR29" i="20"/>
  <c r="AS29" i="20"/>
  <c r="AT29" i="20"/>
  <c r="AU29" i="20"/>
  <c r="AV29" i="20"/>
  <c r="AW29" i="20"/>
  <c r="AX29" i="20"/>
  <c r="AY29" i="20"/>
  <c r="AZ29" i="20"/>
  <c r="BA29" i="20"/>
  <c r="BB29" i="20"/>
  <c r="BD29" i="20"/>
  <c r="BF29" i="20"/>
  <c r="AF30" i="20"/>
  <c r="BE30" i="20"/>
  <c r="AM30" i="20"/>
  <c r="AN30" i="20"/>
  <c r="AO30" i="20"/>
  <c r="AP30" i="20"/>
  <c r="AQ30" i="20"/>
  <c r="AR30" i="20"/>
  <c r="AS30" i="20"/>
  <c r="AT30" i="20"/>
  <c r="AU30" i="20"/>
  <c r="AV30" i="20"/>
  <c r="AW30" i="20"/>
  <c r="AX30" i="20"/>
  <c r="AY30" i="20"/>
  <c r="AZ30" i="20"/>
  <c r="BA30" i="20"/>
  <c r="BB30" i="20"/>
  <c r="BD30" i="20"/>
  <c r="BF30" i="20"/>
  <c r="U7" i="20"/>
  <c r="V7" i="20"/>
  <c r="U8" i="20"/>
  <c r="V8" i="20"/>
  <c r="U9" i="20"/>
  <c r="V9" i="20"/>
  <c r="U10" i="20"/>
  <c r="V10" i="20"/>
  <c r="U11" i="20"/>
  <c r="V11" i="20"/>
  <c r="U12" i="20"/>
  <c r="V12" i="20"/>
  <c r="U13" i="20"/>
  <c r="V13" i="20"/>
  <c r="U14" i="20"/>
  <c r="V14" i="20"/>
  <c r="U15" i="20"/>
  <c r="V15" i="20"/>
  <c r="U16" i="20"/>
  <c r="V16" i="20"/>
  <c r="U17" i="20"/>
  <c r="V17" i="20"/>
  <c r="U18" i="20"/>
  <c r="V18" i="20"/>
  <c r="U19" i="20"/>
  <c r="V19" i="20"/>
  <c r="U20" i="20"/>
  <c r="V20" i="20"/>
  <c r="U21" i="20"/>
  <c r="V21" i="20"/>
  <c r="U22" i="20"/>
  <c r="V22" i="20"/>
  <c r="U23" i="20"/>
  <c r="V23" i="20"/>
  <c r="U24" i="20"/>
  <c r="V24" i="20"/>
  <c r="U25" i="20"/>
  <c r="V25" i="20"/>
  <c r="U26" i="20"/>
  <c r="V26" i="20"/>
  <c r="U27" i="20"/>
  <c r="V27" i="20"/>
  <c r="U28" i="20"/>
  <c r="V28" i="20"/>
  <c r="U29" i="20"/>
  <c r="V29" i="20"/>
  <c r="U30" i="20"/>
  <c r="V30" i="20"/>
  <c r="AM31" i="20"/>
  <c r="AN31" i="20"/>
  <c r="AO31" i="20"/>
  <c r="AP31" i="20"/>
  <c r="AQ31" i="20"/>
  <c r="AR31" i="20"/>
  <c r="AS31" i="20"/>
  <c r="AT31" i="20"/>
  <c r="AU31" i="20"/>
  <c r="AV31" i="20"/>
  <c r="AW31" i="20"/>
  <c r="AX31" i="20"/>
  <c r="AY31" i="20"/>
  <c r="AZ31" i="20"/>
  <c r="BA31" i="20"/>
  <c r="BB31" i="20"/>
  <c r="U31" i="20"/>
  <c r="V31" i="20"/>
  <c r="AM32" i="20"/>
  <c r="AN32" i="20"/>
  <c r="AO32" i="20"/>
  <c r="AP32" i="20"/>
  <c r="AQ32" i="20"/>
  <c r="AR32" i="20"/>
  <c r="AS32" i="20"/>
  <c r="AT32" i="20"/>
  <c r="AU32" i="20"/>
  <c r="AV32" i="20"/>
  <c r="AW32" i="20"/>
  <c r="AX32" i="20"/>
  <c r="AY32" i="20"/>
  <c r="AZ32" i="20"/>
  <c r="BA32" i="20"/>
  <c r="BB32" i="20"/>
  <c r="U32" i="20"/>
  <c r="V32" i="20"/>
  <c r="AM33" i="20"/>
  <c r="AN33" i="20"/>
  <c r="AO33" i="20"/>
  <c r="AP33" i="20"/>
  <c r="AQ33" i="20"/>
  <c r="AR33" i="20"/>
  <c r="AS33" i="20"/>
  <c r="AT33" i="20"/>
  <c r="AU33" i="20"/>
  <c r="AV33" i="20"/>
  <c r="AW33" i="20"/>
  <c r="AX33" i="20"/>
  <c r="AY33" i="20"/>
  <c r="AZ33" i="20"/>
  <c r="BA33" i="20"/>
  <c r="BB33" i="20"/>
  <c r="U33" i="20"/>
  <c r="V33" i="20"/>
  <c r="AM34" i="20"/>
  <c r="AN34" i="20"/>
  <c r="AO34" i="20"/>
  <c r="AP34" i="20"/>
  <c r="AQ34" i="20"/>
  <c r="AR34" i="20"/>
  <c r="AS34" i="20"/>
  <c r="AT34" i="20"/>
  <c r="AU34" i="20"/>
  <c r="AV34" i="20"/>
  <c r="AW34" i="20"/>
  <c r="AX34" i="20"/>
  <c r="AY34" i="20"/>
  <c r="AZ34" i="20"/>
  <c r="BA34" i="20"/>
  <c r="BB34" i="20"/>
  <c r="U34" i="20"/>
  <c r="V34" i="20"/>
  <c r="AM35" i="20"/>
  <c r="AN35" i="20"/>
  <c r="AO35" i="20"/>
  <c r="AP35" i="20"/>
  <c r="AQ35" i="20"/>
  <c r="AR35" i="20"/>
  <c r="AS35" i="20"/>
  <c r="AT35" i="20"/>
  <c r="AU35" i="20"/>
  <c r="AV35" i="20"/>
  <c r="AW35" i="20"/>
  <c r="AX35" i="20"/>
  <c r="AY35" i="20"/>
  <c r="AZ35" i="20"/>
  <c r="BA35" i="20"/>
  <c r="BB35" i="20"/>
  <c r="U35" i="20"/>
  <c r="V35" i="20"/>
  <c r="AM36" i="20"/>
  <c r="AN36" i="20"/>
  <c r="AO36" i="20"/>
  <c r="AP36" i="20"/>
  <c r="AQ36" i="20"/>
  <c r="AR36" i="20"/>
  <c r="AS36" i="20"/>
  <c r="AT36" i="20"/>
  <c r="AU36" i="20"/>
  <c r="AV36" i="20"/>
  <c r="AW36" i="20"/>
  <c r="AX36" i="20"/>
  <c r="AY36" i="20"/>
  <c r="AZ36" i="20"/>
  <c r="BA36" i="20"/>
  <c r="BB36" i="20"/>
  <c r="U36" i="20"/>
  <c r="V36" i="20"/>
  <c r="AM37" i="20"/>
  <c r="AN37" i="20"/>
  <c r="AO37" i="20"/>
  <c r="AP37" i="20"/>
  <c r="AQ37" i="20"/>
  <c r="AR37" i="20"/>
  <c r="AS37" i="20"/>
  <c r="AT37" i="20"/>
  <c r="AU37" i="20"/>
  <c r="AV37" i="20"/>
  <c r="AW37" i="20"/>
  <c r="AX37" i="20"/>
  <c r="AY37" i="20"/>
  <c r="AZ37" i="20"/>
  <c r="BA37" i="20"/>
  <c r="BB37" i="20"/>
  <c r="U37" i="20"/>
  <c r="V37" i="20"/>
  <c r="AM38" i="20"/>
  <c r="AN38" i="20"/>
  <c r="AO38" i="20"/>
  <c r="AP38" i="20"/>
  <c r="AQ38" i="20"/>
  <c r="AR38" i="20"/>
  <c r="AS38" i="20"/>
  <c r="AT38" i="20"/>
  <c r="AU38" i="20"/>
  <c r="AV38" i="20"/>
  <c r="AW38" i="20"/>
  <c r="AX38" i="20"/>
  <c r="AY38" i="20"/>
  <c r="AZ38" i="20"/>
  <c r="BA38" i="20"/>
  <c r="BB38" i="20"/>
  <c r="U38" i="20"/>
  <c r="V38" i="20"/>
  <c r="AM39" i="20"/>
  <c r="AN39" i="20"/>
  <c r="AO39" i="20"/>
  <c r="AP39" i="20"/>
  <c r="AQ39" i="20"/>
  <c r="AR39" i="20"/>
  <c r="AS39" i="20"/>
  <c r="AT39" i="20"/>
  <c r="AU39" i="20"/>
  <c r="AV39" i="20"/>
  <c r="AW39" i="20"/>
  <c r="AX39" i="20"/>
  <c r="AY39" i="20"/>
  <c r="AZ39" i="20"/>
  <c r="BA39" i="20"/>
  <c r="BB39" i="20"/>
  <c r="U39" i="20"/>
  <c r="V39" i="20"/>
  <c r="AM40" i="20"/>
  <c r="AN40" i="20"/>
  <c r="AO40" i="20"/>
  <c r="AP40" i="20"/>
  <c r="AQ40" i="20"/>
  <c r="AR40" i="20"/>
  <c r="AS40" i="20"/>
  <c r="AT40" i="20"/>
  <c r="AU40" i="20"/>
  <c r="AV40" i="20"/>
  <c r="AW40" i="20"/>
  <c r="AX40" i="20"/>
  <c r="AY40" i="20"/>
  <c r="AZ40" i="20"/>
  <c r="BA40" i="20"/>
  <c r="BB40" i="20"/>
  <c r="U40" i="20"/>
  <c r="V40" i="20"/>
  <c r="AM41" i="20"/>
  <c r="AN41" i="20"/>
  <c r="AO41" i="20"/>
  <c r="AP41" i="20"/>
  <c r="AQ41" i="20"/>
  <c r="AR41" i="20"/>
  <c r="AS41" i="20"/>
  <c r="AT41" i="20"/>
  <c r="AU41" i="20"/>
  <c r="AV41" i="20"/>
  <c r="AW41" i="20"/>
  <c r="AX41" i="20"/>
  <c r="AY41" i="20"/>
  <c r="AZ41" i="20"/>
  <c r="BA41" i="20"/>
  <c r="BB41" i="20"/>
  <c r="U41" i="20"/>
  <c r="V41" i="20"/>
  <c r="AM42" i="20"/>
  <c r="AN42" i="20"/>
  <c r="AO42" i="20"/>
  <c r="AP42" i="20"/>
  <c r="AQ42" i="20"/>
  <c r="AR42" i="20"/>
  <c r="AS42" i="20"/>
  <c r="AT42" i="20"/>
  <c r="AU42" i="20"/>
  <c r="AV42" i="20"/>
  <c r="AW42" i="20"/>
  <c r="AX42" i="20"/>
  <c r="AY42" i="20"/>
  <c r="AZ42" i="20"/>
  <c r="BA42" i="20"/>
  <c r="BB42" i="20"/>
  <c r="U42" i="20"/>
  <c r="V42" i="20"/>
  <c r="AF31" i="20"/>
  <c r="BE31" i="20"/>
  <c r="BD31" i="20"/>
  <c r="BF31" i="20"/>
  <c r="W7" i="20"/>
  <c r="X7" i="20"/>
  <c r="W8" i="20"/>
  <c r="X8" i="20"/>
  <c r="W9" i="20"/>
  <c r="X9" i="20"/>
  <c r="W10" i="20"/>
  <c r="X10" i="20"/>
  <c r="W11" i="20"/>
  <c r="X11" i="20"/>
  <c r="W12" i="20"/>
  <c r="X12" i="20"/>
  <c r="W13" i="20"/>
  <c r="X13" i="20"/>
  <c r="W14" i="20"/>
  <c r="X14" i="20"/>
  <c r="W15" i="20"/>
  <c r="X15" i="20"/>
  <c r="W16" i="20"/>
  <c r="X16" i="20"/>
  <c r="W17" i="20"/>
  <c r="X17" i="20"/>
  <c r="W18" i="20"/>
  <c r="X18" i="20"/>
  <c r="W19" i="20"/>
  <c r="X19" i="20"/>
  <c r="W20" i="20"/>
  <c r="X20" i="20"/>
  <c r="W21" i="20"/>
  <c r="X21" i="20"/>
  <c r="W22" i="20"/>
  <c r="X22" i="20"/>
  <c r="W23" i="20"/>
  <c r="X23" i="20"/>
  <c r="W24" i="20"/>
  <c r="X24" i="20"/>
  <c r="W25" i="20"/>
  <c r="X25" i="20"/>
  <c r="W26" i="20"/>
  <c r="X26" i="20"/>
  <c r="W27" i="20"/>
  <c r="X27" i="20"/>
  <c r="W28" i="20"/>
  <c r="X28" i="20"/>
  <c r="W29" i="20"/>
  <c r="X29" i="20"/>
  <c r="W30" i="20"/>
  <c r="X30" i="20"/>
  <c r="W31" i="20"/>
  <c r="X31" i="20"/>
  <c r="W32" i="20"/>
  <c r="X32" i="20"/>
  <c r="W33" i="20"/>
  <c r="X33" i="20"/>
  <c r="W34" i="20"/>
  <c r="X34" i="20"/>
  <c r="W35" i="20"/>
  <c r="X35" i="20"/>
  <c r="W36" i="20"/>
  <c r="X36" i="20"/>
  <c r="W37" i="20"/>
  <c r="X37" i="20"/>
  <c r="W38" i="20"/>
  <c r="X38" i="20"/>
  <c r="W39" i="20"/>
  <c r="X39" i="20"/>
  <c r="W40" i="20"/>
  <c r="X40" i="20"/>
  <c r="W41" i="20"/>
  <c r="X41" i="20"/>
  <c r="W42" i="20"/>
  <c r="X42" i="20"/>
  <c r="AF32" i="20"/>
  <c r="BE32" i="20"/>
  <c r="BD32" i="20"/>
  <c r="BF32" i="20"/>
  <c r="Z7" i="20"/>
  <c r="Z8" i="20"/>
  <c r="Z9" i="20"/>
  <c r="Z10" i="20"/>
  <c r="Z11" i="20"/>
  <c r="Z12" i="20"/>
  <c r="Z13" i="20"/>
  <c r="Z14" i="20"/>
  <c r="Z15" i="20"/>
  <c r="Z16" i="20"/>
  <c r="Z17" i="20"/>
  <c r="Z18" i="20"/>
  <c r="Z19" i="20"/>
  <c r="Z20" i="20"/>
  <c r="Z21" i="20"/>
  <c r="Z22" i="20"/>
  <c r="Z23" i="20"/>
  <c r="Z24" i="20"/>
  <c r="Z25" i="20"/>
  <c r="Z26" i="20"/>
  <c r="Z27" i="20"/>
  <c r="Z28" i="20"/>
  <c r="Z29" i="20"/>
  <c r="Z30" i="20"/>
  <c r="Z31" i="20"/>
  <c r="Z32" i="20"/>
  <c r="Z33" i="20"/>
  <c r="Z34" i="20"/>
  <c r="Z35" i="20"/>
  <c r="Z36" i="20"/>
  <c r="Z37" i="20"/>
  <c r="Z38" i="20"/>
  <c r="Z39" i="20"/>
  <c r="Z40" i="20"/>
  <c r="Z41" i="20"/>
  <c r="Z42" i="20"/>
  <c r="AF33" i="20"/>
  <c r="BE33" i="20"/>
  <c r="BD33" i="20"/>
  <c r="BF33" i="20"/>
  <c r="AF34" i="20"/>
  <c r="BE34" i="20"/>
  <c r="BD34" i="20"/>
  <c r="BF34" i="20"/>
  <c r="AF35" i="20"/>
  <c r="BE35" i="20"/>
  <c r="BD35" i="20"/>
  <c r="BF35" i="20"/>
  <c r="BE36" i="20"/>
  <c r="BD36" i="20"/>
  <c r="BF36" i="20"/>
  <c r="BE37" i="20"/>
  <c r="BD37" i="20"/>
  <c r="BF37" i="20"/>
  <c r="BE38" i="20"/>
  <c r="BD38" i="20"/>
  <c r="BF38" i="20"/>
  <c r="BE39" i="20"/>
  <c r="BD39" i="20"/>
  <c r="BF39" i="20"/>
  <c r="BE40" i="20"/>
  <c r="BD40" i="20"/>
  <c r="BF40" i="20"/>
  <c r="AH38" i="20"/>
  <c r="AI38" i="20"/>
  <c r="AH40" i="20"/>
  <c r="AI40" i="20"/>
  <c r="AI41" i="20"/>
  <c r="BE41" i="20"/>
  <c r="BD41" i="20"/>
  <c r="BF41" i="20"/>
  <c r="BE42" i="20"/>
  <c r="BD42" i="20"/>
  <c r="BF42" i="20"/>
  <c r="Y43" i="20"/>
  <c r="AM43" i="20"/>
  <c r="AN43" i="20"/>
  <c r="AO43" i="20"/>
  <c r="AP43" i="20"/>
  <c r="AQ43" i="20"/>
  <c r="AR43" i="20"/>
  <c r="AS43" i="20"/>
  <c r="AT43" i="20"/>
  <c r="AU43" i="20"/>
  <c r="AV43" i="20"/>
  <c r="AW43" i="20"/>
  <c r="AX43" i="20"/>
  <c r="AY43" i="20"/>
  <c r="AZ43" i="20"/>
  <c r="BA43" i="20"/>
  <c r="BB43" i="20"/>
  <c r="Q44" i="20"/>
  <c r="T44" i="20"/>
  <c r="V44" i="20"/>
  <c r="X44" i="20"/>
  <c r="Y44" i="20"/>
  <c r="Z44" i="20"/>
  <c r="Z45" i="20"/>
  <c r="Z46" i="20"/>
  <c r="K52" i="22"/>
  <c r="M52" i="22"/>
  <c r="N52" i="22"/>
  <c r="O52" i="22"/>
  <c r="K51" i="22"/>
  <c r="M51" i="22"/>
  <c r="N51" i="22"/>
  <c r="O51" i="22"/>
  <c r="K50" i="22"/>
  <c r="M50" i="22"/>
  <c r="N50" i="22"/>
  <c r="O50" i="22"/>
  <c r="K49" i="22"/>
  <c r="M49" i="22"/>
  <c r="N49" i="22"/>
  <c r="O49" i="22"/>
  <c r="K48" i="22"/>
  <c r="M48" i="22"/>
  <c r="N48" i="22"/>
  <c r="O48" i="22"/>
  <c r="K47" i="22"/>
  <c r="M47" i="22"/>
  <c r="N47" i="22"/>
  <c r="O47" i="22"/>
  <c r="K46" i="22"/>
  <c r="M46" i="22"/>
  <c r="N46" i="22"/>
  <c r="O46" i="22"/>
  <c r="K45" i="22"/>
  <c r="M45" i="22"/>
  <c r="N45" i="22"/>
  <c r="O45" i="22"/>
  <c r="K44" i="22"/>
  <c r="M44" i="22"/>
  <c r="N44" i="22"/>
  <c r="O44" i="22"/>
  <c r="K43" i="22"/>
  <c r="M43" i="22"/>
  <c r="N43" i="22"/>
  <c r="O43" i="22"/>
  <c r="K42" i="22"/>
  <c r="M42" i="22"/>
  <c r="N42" i="22"/>
  <c r="O42" i="22"/>
  <c r="K41" i="22"/>
  <c r="M41" i="22"/>
  <c r="N41" i="22"/>
  <c r="O41" i="22"/>
  <c r="K40" i="22"/>
  <c r="M40" i="22"/>
  <c r="N40" i="22"/>
  <c r="O40" i="22"/>
  <c r="K39" i="22"/>
  <c r="M39" i="22"/>
  <c r="N39" i="22"/>
  <c r="O39" i="22"/>
  <c r="K38" i="22"/>
  <c r="M38" i="22"/>
  <c r="N38" i="22"/>
  <c r="O38" i="22"/>
  <c r="K37" i="22"/>
  <c r="M37" i="22"/>
  <c r="N37" i="22"/>
  <c r="O37" i="22"/>
  <c r="K36" i="22"/>
  <c r="M36" i="22"/>
  <c r="N36" i="22"/>
  <c r="O36" i="22"/>
  <c r="K35" i="22"/>
  <c r="M35" i="22"/>
  <c r="N35" i="22"/>
  <c r="O35" i="22"/>
  <c r="K34" i="22"/>
  <c r="M34" i="22"/>
  <c r="N34" i="22"/>
  <c r="O34" i="22"/>
  <c r="K33" i="22"/>
  <c r="M33" i="22"/>
  <c r="N33" i="22"/>
  <c r="O33" i="22"/>
  <c r="K32" i="22"/>
  <c r="M32" i="22"/>
  <c r="N32" i="22"/>
  <c r="O32" i="22"/>
  <c r="K31" i="22"/>
  <c r="M31" i="22"/>
  <c r="N31" i="22"/>
  <c r="O31" i="22"/>
  <c r="K30" i="22"/>
  <c r="M30" i="22"/>
  <c r="N30" i="22"/>
  <c r="O30" i="22"/>
  <c r="K29" i="22"/>
  <c r="M29" i="22"/>
  <c r="N29" i="22"/>
  <c r="O29" i="22"/>
  <c r="K27" i="22"/>
  <c r="M27" i="22"/>
  <c r="N27" i="22"/>
  <c r="O27" i="22"/>
  <c r="K26" i="22"/>
  <c r="M26" i="22"/>
  <c r="N26" i="22"/>
  <c r="O26" i="22"/>
  <c r="K25" i="22"/>
  <c r="M25" i="22"/>
  <c r="N25" i="22"/>
  <c r="O25" i="22"/>
  <c r="K24" i="22"/>
  <c r="M24" i="22"/>
  <c r="N24" i="22"/>
  <c r="O24" i="22"/>
  <c r="K23" i="22"/>
  <c r="M23" i="22"/>
  <c r="N23" i="22"/>
  <c r="O23" i="22"/>
  <c r="K22" i="22"/>
  <c r="M22" i="22"/>
  <c r="N22" i="22"/>
  <c r="O22" i="22"/>
  <c r="K21" i="22"/>
  <c r="M21" i="22"/>
  <c r="N21" i="22"/>
  <c r="O21" i="22"/>
  <c r="P52" i="22"/>
  <c r="Q52" i="22"/>
  <c r="P51" i="22"/>
  <c r="Q51" i="22"/>
  <c r="P50" i="22"/>
  <c r="Q50" i="22"/>
  <c r="P49" i="22"/>
  <c r="Q49" i="22"/>
  <c r="P48" i="22"/>
  <c r="Q48" i="22"/>
  <c r="P47" i="22"/>
  <c r="Q47" i="22"/>
  <c r="P46" i="22"/>
  <c r="Q46" i="22"/>
  <c r="P45" i="22"/>
  <c r="Q45" i="22"/>
  <c r="P44" i="22"/>
  <c r="Q44" i="22"/>
  <c r="P43" i="22"/>
  <c r="Q43" i="22"/>
  <c r="P42" i="22"/>
  <c r="Q42" i="22"/>
  <c r="P41" i="22"/>
  <c r="Q41" i="22"/>
  <c r="P40" i="22"/>
  <c r="Q40" i="22"/>
  <c r="P39" i="22"/>
  <c r="Q39" i="22"/>
  <c r="P38" i="22"/>
  <c r="Q38" i="22"/>
  <c r="P37" i="22"/>
  <c r="Q37" i="22"/>
  <c r="P36" i="22"/>
  <c r="Q36" i="22"/>
  <c r="P35" i="22"/>
  <c r="Q35" i="22"/>
  <c r="P34" i="22"/>
  <c r="Q34" i="22"/>
  <c r="P33" i="22"/>
  <c r="Q33" i="22"/>
  <c r="P32" i="22"/>
  <c r="Q32" i="22"/>
  <c r="P31" i="22"/>
  <c r="Q31" i="22"/>
  <c r="P30" i="22"/>
  <c r="Q30" i="22"/>
  <c r="P29" i="22"/>
  <c r="Q29" i="22"/>
  <c r="P27" i="22"/>
  <c r="Q27" i="22"/>
  <c r="P26" i="22"/>
  <c r="Q26" i="22"/>
  <c r="P25" i="22"/>
  <c r="Q25" i="22"/>
  <c r="P24" i="22"/>
  <c r="Q24" i="22"/>
  <c r="P23" i="22"/>
  <c r="Q23" i="22"/>
  <c r="P22" i="22"/>
  <c r="Q22" i="22"/>
  <c r="P21" i="22"/>
  <c r="Q21" i="22"/>
  <c r="B129" i="23"/>
  <c r="B136" i="23"/>
  <c r="C136" i="23"/>
  <c r="D136" i="23"/>
  <c r="E136" i="23"/>
  <c r="F136" i="23"/>
  <c r="G136" i="23"/>
  <c r="H136" i="23"/>
  <c r="I136" i="23"/>
  <c r="J136" i="23"/>
  <c r="K136" i="23"/>
  <c r="L136" i="23"/>
  <c r="M136" i="23"/>
  <c r="N136" i="23"/>
  <c r="O136" i="23"/>
  <c r="P136" i="23"/>
  <c r="Q136" i="23"/>
  <c r="B137" i="23"/>
  <c r="B167" i="23"/>
  <c r="B147" i="23"/>
  <c r="C147" i="23"/>
  <c r="D147" i="23"/>
  <c r="E147" i="23"/>
  <c r="F147" i="23"/>
  <c r="G147" i="23"/>
  <c r="H147" i="23"/>
  <c r="I147" i="23"/>
  <c r="J147" i="23"/>
  <c r="K147" i="23"/>
  <c r="L147" i="23"/>
  <c r="M147" i="23"/>
  <c r="N147" i="23"/>
  <c r="O147" i="23"/>
  <c r="P147" i="23"/>
  <c r="Q147" i="23"/>
  <c r="B148" i="23"/>
  <c r="C167" i="23"/>
  <c r="B159" i="23"/>
  <c r="C159" i="23"/>
  <c r="D159" i="23"/>
  <c r="E159" i="23"/>
  <c r="F159" i="23"/>
  <c r="G159" i="23"/>
  <c r="H159" i="23"/>
  <c r="I159" i="23"/>
  <c r="J159" i="23"/>
  <c r="K159" i="23"/>
  <c r="L159" i="23"/>
  <c r="M159" i="23"/>
  <c r="N159" i="23"/>
  <c r="O159" i="23"/>
  <c r="P159" i="23"/>
  <c r="Q159" i="23"/>
  <c r="B160" i="23"/>
  <c r="D167" i="23"/>
  <c r="E167" i="23"/>
  <c r="AQ43" i="12"/>
  <c r="Z55" i="19"/>
  <c r="G53" i="19"/>
  <c r="G55" i="19"/>
  <c r="G58" i="19"/>
  <c r="AR43" i="12"/>
  <c r="AA55" i="19"/>
  <c r="H53" i="19"/>
  <c r="H55" i="19"/>
  <c r="H58" i="19"/>
  <c r="AS43" i="12"/>
  <c r="AB55" i="19"/>
  <c r="I53" i="19"/>
  <c r="I55" i="19"/>
  <c r="I58" i="19"/>
  <c r="AT43" i="12"/>
  <c r="AC55" i="19"/>
  <c r="J53" i="19"/>
  <c r="J55" i="19"/>
  <c r="J58" i="19"/>
  <c r="AU43" i="12"/>
  <c r="AD55" i="19"/>
  <c r="K53" i="19"/>
  <c r="K55" i="19"/>
  <c r="K58" i="19"/>
  <c r="AV43" i="12"/>
  <c r="AE55" i="19"/>
  <c r="L53" i="19"/>
  <c r="L55" i="19"/>
  <c r="L58" i="19"/>
  <c r="AW43" i="12"/>
  <c r="AF55" i="19"/>
  <c r="M53" i="19"/>
  <c r="M55" i="19"/>
  <c r="M58" i="19"/>
  <c r="AX43" i="12"/>
  <c r="AG55" i="19"/>
  <c r="N53" i="19"/>
  <c r="N55" i="19"/>
  <c r="N58" i="19"/>
  <c r="AY43" i="12"/>
  <c r="AH55" i="19"/>
  <c r="O53" i="19"/>
  <c r="O55" i="19"/>
  <c r="O58" i="19"/>
  <c r="AZ43" i="12"/>
  <c r="AI55" i="19"/>
  <c r="P53" i="19"/>
  <c r="P55" i="19"/>
  <c r="P58" i="19"/>
  <c r="BA43" i="12"/>
  <c r="AJ55" i="19"/>
  <c r="Q53" i="19"/>
  <c r="Q55" i="19"/>
  <c r="Q58" i="19"/>
  <c r="BB43" i="12"/>
  <c r="AK55" i="19"/>
  <c r="R53" i="19"/>
  <c r="R55" i="19"/>
  <c r="R58" i="19"/>
  <c r="C62" i="19"/>
  <c r="K20" i="22"/>
  <c r="M20" i="22"/>
  <c r="P20" i="22"/>
  <c r="Q20" i="22"/>
  <c r="G20" i="19"/>
  <c r="G22" i="19"/>
  <c r="G25" i="19"/>
  <c r="H20" i="19"/>
  <c r="H22" i="19"/>
  <c r="H25" i="19"/>
  <c r="I20" i="19"/>
  <c r="I22" i="19"/>
  <c r="I25" i="19"/>
  <c r="J20" i="19"/>
  <c r="J22" i="19"/>
  <c r="J25" i="19"/>
  <c r="K20" i="19"/>
  <c r="K22" i="19"/>
  <c r="K25" i="19"/>
  <c r="L20" i="19"/>
  <c r="L22" i="19"/>
  <c r="L25" i="19"/>
  <c r="M20" i="19"/>
  <c r="M22" i="19"/>
  <c r="M25" i="19"/>
  <c r="N20" i="19"/>
  <c r="N22" i="19"/>
  <c r="N25" i="19"/>
  <c r="O20" i="19"/>
  <c r="O22" i="19"/>
  <c r="O25" i="19"/>
  <c r="P20" i="19"/>
  <c r="P22" i="19"/>
  <c r="P25" i="19"/>
  <c r="Q20" i="19"/>
  <c r="Q22" i="19"/>
  <c r="Q25" i="19"/>
  <c r="R20" i="19"/>
  <c r="R22" i="19"/>
  <c r="R25" i="19"/>
  <c r="C29" i="19"/>
  <c r="K18" i="22"/>
  <c r="M18" i="22"/>
  <c r="P18" i="22"/>
  <c r="Q18" i="22"/>
  <c r="N20" i="22"/>
  <c r="O20" i="22"/>
  <c r="N18" i="22"/>
  <c r="O18" i="22"/>
  <c r="Z56" i="19"/>
  <c r="AB56" i="19"/>
  <c r="AC56" i="19"/>
  <c r="AD56" i="19"/>
  <c r="AE56" i="19"/>
  <c r="AF56" i="19"/>
  <c r="AG56" i="19"/>
  <c r="AH56" i="19"/>
  <c r="AI56" i="19"/>
  <c r="AJ56" i="19"/>
  <c r="AK56" i="19"/>
  <c r="C65" i="19"/>
  <c r="C68" i="19"/>
  <c r="AA56" i="19"/>
  <c r="C32" i="19"/>
  <c r="C35" i="19"/>
  <c r="AQ82" i="12"/>
  <c r="Z65" i="19"/>
  <c r="Z66" i="19"/>
  <c r="G21" i="19"/>
  <c r="G26" i="19"/>
  <c r="F201" i="23"/>
  <c r="AR82" i="12"/>
  <c r="AA65" i="19"/>
  <c r="AA66" i="19"/>
  <c r="H21" i="19"/>
  <c r="H26" i="19"/>
  <c r="G201" i="23"/>
  <c r="AS82" i="12"/>
  <c r="AB65" i="19"/>
  <c r="AB66" i="19"/>
  <c r="I21" i="19"/>
  <c r="I26" i="19"/>
  <c r="H201" i="23"/>
  <c r="AT82" i="12"/>
  <c r="AC65" i="19"/>
  <c r="AC66" i="19"/>
  <c r="J21" i="19"/>
  <c r="J26" i="19"/>
  <c r="I201" i="23"/>
  <c r="AU82" i="12"/>
  <c r="AD65" i="19"/>
  <c r="AD66" i="19"/>
  <c r="K21" i="19"/>
  <c r="K26" i="19"/>
  <c r="J201" i="23"/>
  <c r="AV82" i="12"/>
  <c r="AE65" i="19"/>
  <c r="AE66" i="19"/>
  <c r="L21" i="19"/>
  <c r="L26" i="19"/>
  <c r="K201" i="23"/>
  <c r="AW82" i="12"/>
  <c r="AF65" i="19"/>
  <c r="AF66" i="19"/>
  <c r="M21" i="19"/>
  <c r="M26" i="19"/>
  <c r="L201" i="23"/>
  <c r="AX82" i="12"/>
  <c r="AG65" i="19"/>
  <c r="AG66" i="19"/>
  <c r="N21" i="19"/>
  <c r="N26" i="19"/>
  <c r="M201" i="23"/>
  <c r="AY82" i="12"/>
  <c r="AH65" i="19"/>
  <c r="AH66" i="19"/>
  <c r="O21" i="19"/>
  <c r="O26" i="19"/>
  <c r="N201" i="23"/>
  <c r="AZ82" i="12"/>
  <c r="AI65" i="19"/>
  <c r="AI66" i="19"/>
  <c r="P21" i="19"/>
  <c r="P26" i="19"/>
  <c r="O201" i="23"/>
  <c r="BA82" i="12"/>
  <c r="AJ65" i="19"/>
  <c r="AJ66" i="19"/>
  <c r="Q21" i="19"/>
  <c r="Q26" i="19"/>
  <c r="P201" i="23"/>
  <c r="BB82" i="12"/>
  <c r="AK65" i="19"/>
  <c r="AK66" i="19"/>
  <c r="R21" i="19"/>
  <c r="R26" i="19"/>
  <c r="Q201" i="23"/>
  <c r="R201" i="23"/>
  <c r="Q195" i="23"/>
  <c r="Q197" i="23"/>
  <c r="P195" i="23"/>
  <c r="P197" i="23"/>
  <c r="O195" i="23"/>
  <c r="O197" i="23"/>
  <c r="N195" i="23"/>
  <c r="N197" i="23"/>
  <c r="M195" i="23"/>
  <c r="M197" i="23"/>
  <c r="L195" i="23"/>
  <c r="L197" i="23"/>
  <c r="K195" i="23"/>
  <c r="K197" i="23"/>
  <c r="J195" i="23"/>
  <c r="J197" i="23"/>
  <c r="I195" i="23"/>
  <c r="I197" i="23"/>
  <c r="H195" i="23"/>
  <c r="H197" i="23"/>
  <c r="G195" i="23"/>
  <c r="G197" i="23"/>
  <c r="F195" i="23"/>
  <c r="F197" i="23"/>
  <c r="AA6" i="19"/>
  <c r="G54" i="19"/>
  <c r="G59" i="19"/>
  <c r="AA7" i="19"/>
  <c r="G87" i="19"/>
  <c r="G92" i="19"/>
  <c r="AA8" i="19"/>
  <c r="G120" i="19"/>
  <c r="G125" i="19"/>
  <c r="AA9" i="19"/>
  <c r="G153" i="19"/>
  <c r="G158" i="19"/>
  <c r="AA10" i="19"/>
  <c r="G186" i="19"/>
  <c r="G191" i="19"/>
  <c r="AA11" i="19"/>
  <c r="G219" i="19"/>
  <c r="G224" i="19"/>
  <c r="AA12" i="19"/>
  <c r="G318" i="19"/>
  <c r="G323" i="19"/>
  <c r="AA15" i="19"/>
  <c r="G351" i="19"/>
  <c r="G356" i="19"/>
  <c r="AA16" i="19"/>
  <c r="G384" i="19"/>
  <c r="G389" i="19"/>
  <c r="AA17" i="19"/>
  <c r="G417" i="19"/>
  <c r="G422" i="19"/>
  <c r="AA18" i="19"/>
  <c r="G450" i="19"/>
  <c r="G455" i="19"/>
  <c r="AA19" i="19"/>
  <c r="G483" i="19"/>
  <c r="G488" i="19"/>
  <c r="AA20" i="19"/>
  <c r="G516" i="19"/>
  <c r="G521" i="19"/>
  <c r="AA21" i="19"/>
  <c r="G549" i="19"/>
  <c r="G554" i="19"/>
  <c r="AA22" i="19"/>
  <c r="G615" i="19"/>
  <c r="G620" i="19"/>
  <c r="AA24" i="19"/>
  <c r="G648" i="19"/>
  <c r="G653" i="19"/>
  <c r="AA25" i="19"/>
  <c r="G681" i="19"/>
  <c r="G686" i="19"/>
  <c r="AA26" i="19"/>
  <c r="AA41" i="19"/>
  <c r="H7" i="21"/>
  <c r="AB6" i="19"/>
  <c r="H54" i="19"/>
  <c r="H59" i="19"/>
  <c r="AB7" i="19"/>
  <c r="H87" i="19"/>
  <c r="H92" i="19"/>
  <c r="AB8" i="19"/>
  <c r="H120" i="19"/>
  <c r="H125" i="19"/>
  <c r="AB9" i="19"/>
  <c r="H153" i="19"/>
  <c r="H158" i="19"/>
  <c r="AB10" i="19"/>
  <c r="H186" i="19"/>
  <c r="H191" i="19"/>
  <c r="AB11" i="19"/>
  <c r="H219" i="19"/>
  <c r="H224" i="19"/>
  <c r="AB12" i="19"/>
  <c r="H318" i="19"/>
  <c r="H323" i="19"/>
  <c r="AB15" i="19"/>
  <c r="H351" i="19"/>
  <c r="H356" i="19"/>
  <c r="AB16" i="19"/>
  <c r="H384" i="19"/>
  <c r="H389" i="19"/>
  <c r="AB17" i="19"/>
  <c r="H417" i="19"/>
  <c r="H422" i="19"/>
  <c r="AB18" i="19"/>
  <c r="H450" i="19"/>
  <c r="H455" i="19"/>
  <c r="AB19" i="19"/>
  <c r="H483" i="19"/>
  <c r="H488" i="19"/>
  <c r="AB20" i="19"/>
  <c r="H516" i="19"/>
  <c r="H521" i="19"/>
  <c r="AB21" i="19"/>
  <c r="H549" i="19"/>
  <c r="H554" i="19"/>
  <c r="AB22" i="19"/>
  <c r="H615" i="19"/>
  <c r="H620" i="19"/>
  <c r="AB24" i="19"/>
  <c r="H648" i="19"/>
  <c r="H653" i="19"/>
  <c r="AB25" i="19"/>
  <c r="H681" i="19"/>
  <c r="H686" i="19"/>
  <c r="AB26" i="19"/>
  <c r="AB41" i="19"/>
  <c r="I7" i="21"/>
  <c r="AC6" i="19"/>
  <c r="I54" i="19"/>
  <c r="I59" i="19"/>
  <c r="AC7" i="19"/>
  <c r="I87" i="19"/>
  <c r="I92" i="19"/>
  <c r="AC8" i="19"/>
  <c r="I120" i="19"/>
  <c r="I125" i="19"/>
  <c r="AC9" i="19"/>
  <c r="I153" i="19"/>
  <c r="I158" i="19"/>
  <c r="AC10" i="19"/>
  <c r="I186" i="19"/>
  <c r="I191" i="19"/>
  <c r="AC11" i="19"/>
  <c r="I219" i="19"/>
  <c r="I224" i="19"/>
  <c r="AC12" i="19"/>
  <c r="I318" i="19"/>
  <c r="I323" i="19"/>
  <c r="AC15" i="19"/>
  <c r="I351" i="19"/>
  <c r="I356" i="19"/>
  <c r="AC16" i="19"/>
  <c r="I384" i="19"/>
  <c r="I389" i="19"/>
  <c r="AC17" i="19"/>
  <c r="I417" i="19"/>
  <c r="I422" i="19"/>
  <c r="AC18" i="19"/>
  <c r="I450" i="19"/>
  <c r="I455" i="19"/>
  <c r="AC19" i="19"/>
  <c r="I483" i="19"/>
  <c r="I488" i="19"/>
  <c r="AC20" i="19"/>
  <c r="I516" i="19"/>
  <c r="I521" i="19"/>
  <c r="AC21" i="19"/>
  <c r="I549" i="19"/>
  <c r="I554" i="19"/>
  <c r="AC22" i="19"/>
  <c r="I615" i="19"/>
  <c r="I620" i="19"/>
  <c r="AC24" i="19"/>
  <c r="I648" i="19"/>
  <c r="I653" i="19"/>
  <c r="AC25" i="19"/>
  <c r="I681" i="19"/>
  <c r="I686" i="19"/>
  <c r="AC26" i="19"/>
  <c r="AC41" i="19"/>
  <c r="J7" i="21"/>
  <c r="AD6" i="19"/>
  <c r="J54" i="19"/>
  <c r="J59" i="19"/>
  <c r="AD7" i="19"/>
  <c r="J87" i="19"/>
  <c r="J92" i="19"/>
  <c r="AD8" i="19"/>
  <c r="J120" i="19"/>
  <c r="J125" i="19"/>
  <c r="AD9" i="19"/>
  <c r="J153" i="19"/>
  <c r="J158" i="19"/>
  <c r="AD10" i="19"/>
  <c r="J186" i="19"/>
  <c r="J191" i="19"/>
  <c r="AD11" i="19"/>
  <c r="J219" i="19"/>
  <c r="J224" i="19"/>
  <c r="AD12" i="19"/>
  <c r="J318" i="19"/>
  <c r="J323" i="19"/>
  <c r="AD15" i="19"/>
  <c r="J351" i="19"/>
  <c r="J356" i="19"/>
  <c r="AD16" i="19"/>
  <c r="J384" i="19"/>
  <c r="J389" i="19"/>
  <c r="AD17" i="19"/>
  <c r="J417" i="19"/>
  <c r="J422" i="19"/>
  <c r="AD18" i="19"/>
  <c r="J450" i="19"/>
  <c r="J455" i="19"/>
  <c r="AD19" i="19"/>
  <c r="J483" i="19"/>
  <c r="J488" i="19"/>
  <c r="AD20" i="19"/>
  <c r="J516" i="19"/>
  <c r="J521" i="19"/>
  <c r="AD21" i="19"/>
  <c r="J549" i="19"/>
  <c r="J554" i="19"/>
  <c r="AD22" i="19"/>
  <c r="J615" i="19"/>
  <c r="J620" i="19"/>
  <c r="AD24" i="19"/>
  <c r="J648" i="19"/>
  <c r="J653" i="19"/>
  <c r="AD25" i="19"/>
  <c r="J681" i="19"/>
  <c r="J686" i="19"/>
  <c r="AD26" i="19"/>
  <c r="AD41" i="19"/>
  <c r="K7" i="21"/>
  <c r="AE6" i="19"/>
  <c r="K54" i="19"/>
  <c r="K59" i="19"/>
  <c r="AE7" i="19"/>
  <c r="K87" i="19"/>
  <c r="K92" i="19"/>
  <c r="AE8" i="19"/>
  <c r="K120" i="19"/>
  <c r="K125" i="19"/>
  <c r="AE9" i="19"/>
  <c r="K153" i="19"/>
  <c r="K158" i="19"/>
  <c r="AE10" i="19"/>
  <c r="K186" i="19"/>
  <c r="K191" i="19"/>
  <c r="AE11" i="19"/>
  <c r="K219" i="19"/>
  <c r="K224" i="19"/>
  <c r="AE12" i="19"/>
  <c r="K318" i="19"/>
  <c r="K323" i="19"/>
  <c r="AE15" i="19"/>
  <c r="K351" i="19"/>
  <c r="K356" i="19"/>
  <c r="AE16" i="19"/>
  <c r="K384" i="19"/>
  <c r="K389" i="19"/>
  <c r="AE17" i="19"/>
  <c r="K417" i="19"/>
  <c r="K422" i="19"/>
  <c r="AE18" i="19"/>
  <c r="K450" i="19"/>
  <c r="K455" i="19"/>
  <c r="AE19" i="19"/>
  <c r="K483" i="19"/>
  <c r="K488" i="19"/>
  <c r="AE20" i="19"/>
  <c r="K516" i="19"/>
  <c r="K521" i="19"/>
  <c r="AE21" i="19"/>
  <c r="K549" i="19"/>
  <c r="K554" i="19"/>
  <c r="AE22" i="19"/>
  <c r="K615" i="19"/>
  <c r="K620" i="19"/>
  <c r="AE24" i="19"/>
  <c r="K648" i="19"/>
  <c r="K653" i="19"/>
  <c r="AE25" i="19"/>
  <c r="K681" i="19"/>
  <c r="K686" i="19"/>
  <c r="AE26" i="19"/>
  <c r="AE41" i="19"/>
  <c r="L7" i="21"/>
  <c r="AF6" i="19"/>
  <c r="L54" i="19"/>
  <c r="L59" i="19"/>
  <c r="AF7" i="19"/>
  <c r="L87" i="19"/>
  <c r="L92" i="19"/>
  <c r="AF8" i="19"/>
  <c r="L120" i="19"/>
  <c r="L125" i="19"/>
  <c r="AF9" i="19"/>
  <c r="L153" i="19"/>
  <c r="L158" i="19"/>
  <c r="AF10" i="19"/>
  <c r="L186" i="19"/>
  <c r="L191" i="19"/>
  <c r="AF11" i="19"/>
  <c r="L219" i="19"/>
  <c r="L224" i="19"/>
  <c r="AF12" i="19"/>
  <c r="L318" i="19"/>
  <c r="L323" i="19"/>
  <c r="AF15" i="19"/>
  <c r="L351" i="19"/>
  <c r="L356" i="19"/>
  <c r="AF16" i="19"/>
  <c r="L384" i="19"/>
  <c r="L389" i="19"/>
  <c r="AF17" i="19"/>
  <c r="L417" i="19"/>
  <c r="L422" i="19"/>
  <c r="AF18" i="19"/>
  <c r="L450" i="19"/>
  <c r="L455" i="19"/>
  <c r="AF19" i="19"/>
  <c r="L483" i="19"/>
  <c r="L488" i="19"/>
  <c r="AF20" i="19"/>
  <c r="L516" i="19"/>
  <c r="L521" i="19"/>
  <c r="AF21" i="19"/>
  <c r="L549" i="19"/>
  <c r="L554" i="19"/>
  <c r="AF22" i="19"/>
  <c r="L615" i="19"/>
  <c r="L620" i="19"/>
  <c r="AF24" i="19"/>
  <c r="L648" i="19"/>
  <c r="L653" i="19"/>
  <c r="AF25" i="19"/>
  <c r="L681" i="19"/>
  <c r="L686" i="19"/>
  <c r="AF26" i="19"/>
  <c r="AF41" i="19"/>
  <c r="M7" i="21"/>
  <c r="AG6" i="19"/>
  <c r="M54" i="19"/>
  <c r="M59" i="19"/>
  <c r="AG7" i="19"/>
  <c r="M87" i="19"/>
  <c r="M92" i="19"/>
  <c r="AG8" i="19"/>
  <c r="M120" i="19"/>
  <c r="M125" i="19"/>
  <c r="AG9" i="19"/>
  <c r="M153" i="19"/>
  <c r="M158" i="19"/>
  <c r="AG10" i="19"/>
  <c r="M186" i="19"/>
  <c r="M191" i="19"/>
  <c r="AG11" i="19"/>
  <c r="M219" i="19"/>
  <c r="M224" i="19"/>
  <c r="AG12" i="19"/>
  <c r="M318" i="19"/>
  <c r="M323" i="19"/>
  <c r="AG15" i="19"/>
  <c r="M351" i="19"/>
  <c r="M356" i="19"/>
  <c r="AG16" i="19"/>
  <c r="M384" i="19"/>
  <c r="M389" i="19"/>
  <c r="AG17" i="19"/>
  <c r="M417" i="19"/>
  <c r="M422" i="19"/>
  <c r="AG18" i="19"/>
  <c r="M450" i="19"/>
  <c r="M455" i="19"/>
  <c r="AG19" i="19"/>
  <c r="M483" i="19"/>
  <c r="M488" i="19"/>
  <c r="AG20" i="19"/>
  <c r="M516" i="19"/>
  <c r="M521" i="19"/>
  <c r="AG21" i="19"/>
  <c r="M549" i="19"/>
  <c r="M554" i="19"/>
  <c r="AG22" i="19"/>
  <c r="M615" i="19"/>
  <c r="M620" i="19"/>
  <c r="AG24" i="19"/>
  <c r="M648" i="19"/>
  <c r="M653" i="19"/>
  <c r="AG25" i="19"/>
  <c r="M681" i="19"/>
  <c r="M686" i="19"/>
  <c r="AG26" i="19"/>
  <c r="AG41" i="19"/>
  <c r="N7" i="21"/>
  <c r="AH6" i="19"/>
  <c r="N54" i="19"/>
  <c r="N59" i="19"/>
  <c r="AH7" i="19"/>
  <c r="N87" i="19"/>
  <c r="N92" i="19"/>
  <c r="AH8" i="19"/>
  <c r="N120" i="19"/>
  <c r="N125" i="19"/>
  <c r="AH9" i="19"/>
  <c r="N153" i="19"/>
  <c r="N158" i="19"/>
  <c r="AH10" i="19"/>
  <c r="N186" i="19"/>
  <c r="N191" i="19"/>
  <c r="AH11" i="19"/>
  <c r="N219" i="19"/>
  <c r="N224" i="19"/>
  <c r="AH12" i="19"/>
  <c r="N318" i="19"/>
  <c r="N323" i="19"/>
  <c r="AH15" i="19"/>
  <c r="N351" i="19"/>
  <c r="N356" i="19"/>
  <c r="AH16" i="19"/>
  <c r="N384" i="19"/>
  <c r="N389" i="19"/>
  <c r="AH17" i="19"/>
  <c r="N417" i="19"/>
  <c r="N422" i="19"/>
  <c r="AH18" i="19"/>
  <c r="N450" i="19"/>
  <c r="N455" i="19"/>
  <c r="AH19" i="19"/>
  <c r="N483" i="19"/>
  <c r="N488" i="19"/>
  <c r="AH20" i="19"/>
  <c r="N516" i="19"/>
  <c r="N521" i="19"/>
  <c r="AH21" i="19"/>
  <c r="N549" i="19"/>
  <c r="N554" i="19"/>
  <c r="AH22" i="19"/>
  <c r="N615" i="19"/>
  <c r="N620" i="19"/>
  <c r="AH24" i="19"/>
  <c r="N648" i="19"/>
  <c r="N653" i="19"/>
  <c r="AH25" i="19"/>
  <c r="N681" i="19"/>
  <c r="N686" i="19"/>
  <c r="AH26" i="19"/>
  <c r="AH41" i="19"/>
  <c r="O7" i="21"/>
  <c r="AI6" i="19"/>
  <c r="O54" i="19"/>
  <c r="O59" i="19"/>
  <c r="AI7" i="19"/>
  <c r="O87" i="19"/>
  <c r="O92" i="19"/>
  <c r="AI8" i="19"/>
  <c r="O120" i="19"/>
  <c r="O125" i="19"/>
  <c r="AI9" i="19"/>
  <c r="O153" i="19"/>
  <c r="O158" i="19"/>
  <c r="AI10" i="19"/>
  <c r="O186" i="19"/>
  <c r="O191" i="19"/>
  <c r="AI11" i="19"/>
  <c r="O219" i="19"/>
  <c r="O224" i="19"/>
  <c r="AI12" i="19"/>
  <c r="O318" i="19"/>
  <c r="O323" i="19"/>
  <c r="AI15" i="19"/>
  <c r="O351" i="19"/>
  <c r="O356" i="19"/>
  <c r="AI16" i="19"/>
  <c r="O384" i="19"/>
  <c r="O389" i="19"/>
  <c r="AI17" i="19"/>
  <c r="O417" i="19"/>
  <c r="O422" i="19"/>
  <c r="AI18" i="19"/>
  <c r="O450" i="19"/>
  <c r="O455" i="19"/>
  <c r="AI19" i="19"/>
  <c r="O483" i="19"/>
  <c r="O488" i="19"/>
  <c r="AI20" i="19"/>
  <c r="O516" i="19"/>
  <c r="O521" i="19"/>
  <c r="AI21" i="19"/>
  <c r="O549" i="19"/>
  <c r="O554" i="19"/>
  <c r="AI22" i="19"/>
  <c r="O615" i="19"/>
  <c r="O620" i="19"/>
  <c r="AI24" i="19"/>
  <c r="O648" i="19"/>
  <c r="O653" i="19"/>
  <c r="AI25" i="19"/>
  <c r="O681" i="19"/>
  <c r="O686" i="19"/>
  <c r="AI26" i="19"/>
  <c r="AI41" i="19"/>
  <c r="P7" i="21"/>
  <c r="AJ6" i="19"/>
  <c r="P54" i="19"/>
  <c r="P59" i="19"/>
  <c r="AJ7" i="19"/>
  <c r="P87" i="19"/>
  <c r="P92" i="19"/>
  <c r="AJ8" i="19"/>
  <c r="P120" i="19"/>
  <c r="P125" i="19"/>
  <c r="AJ9" i="19"/>
  <c r="P153" i="19"/>
  <c r="P158" i="19"/>
  <c r="AJ10" i="19"/>
  <c r="P186" i="19"/>
  <c r="P191" i="19"/>
  <c r="AJ11" i="19"/>
  <c r="P219" i="19"/>
  <c r="P224" i="19"/>
  <c r="AJ12" i="19"/>
  <c r="P318" i="19"/>
  <c r="P323" i="19"/>
  <c r="AJ15" i="19"/>
  <c r="P351" i="19"/>
  <c r="P356" i="19"/>
  <c r="AJ16" i="19"/>
  <c r="P384" i="19"/>
  <c r="P389" i="19"/>
  <c r="AJ17" i="19"/>
  <c r="P417" i="19"/>
  <c r="P422" i="19"/>
  <c r="AJ18" i="19"/>
  <c r="P450" i="19"/>
  <c r="P455" i="19"/>
  <c r="AJ19" i="19"/>
  <c r="P483" i="19"/>
  <c r="P488" i="19"/>
  <c r="AJ20" i="19"/>
  <c r="P516" i="19"/>
  <c r="P521" i="19"/>
  <c r="AJ21" i="19"/>
  <c r="P549" i="19"/>
  <c r="P554" i="19"/>
  <c r="AJ22" i="19"/>
  <c r="P615" i="19"/>
  <c r="P620" i="19"/>
  <c r="AJ24" i="19"/>
  <c r="P648" i="19"/>
  <c r="P653" i="19"/>
  <c r="AJ25" i="19"/>
  <c r="P681" i="19"/>
  <c r="P686" i="19"/>
  <c r="AJ26" i="19"/>
  <c r="AJ41" i="19"/>
  <c r="Q7" i="21"/>
  <c r="AK6" i="19"/>
  <c r="Q54" i="19"/>
  <c r="Q59" i="19"/>
  <c r="AK7" i="19"/>
  <c r="Q87" i="19"/>
  <c r="Q92" i="19"/>
  <c r="AK8" i="19"/>
  <c r="Q120" i="19"/>
  <c r="Q125" i="19"/>
  <c r="AK9" i="19"/>
  <c r="Q153" i="19"/>
  <c r="Q158" i="19"/>
  <c r="AK10" i="19"/>
  <c r="Q186" i="19"/>
  <c r="Q191" i="19"/>
  <c r="AK11" i="19"/>
  <c r="Q219" i="19"/>
  <c r="Q224" i="19"/>
  <c r="AK12" i="19"/>
  <c r="Q318" i="19"/>
  <c r="Q323" i="19"/>
  <c r="AK15" i="19"/>
  <c r="Q351" i="19"/>
  <c r="Q356" i="19"/>
  <c r="AK16" i="19"/>
  <c r="Q384" i="19"/>
  <c r="Q389" i="19"/>
  <c r="AK17" i="19"/>
  <c r="Q417" i="19"/>
  <c r="Q422" i="19"/>
  <c r="AK18" i="19"/>
  <c r="Q450" i="19"/>
  <c r="Q455" i="19"/>
  <c r="AK19" i="19"/>
  <c r="Q483" i="19"/>
  <c r="Q488" i="19"/>
  <c r="AK20" i="19"/>
  <c r="Q516" i="19"/>
  <c r="Q521" i="19"/>
  <c r="AK21" i="19"/>
  <c r="Q549" i="19"/>
  <c r="Q554" i="19"/>
  <c r="AK22" i="19"/>
  <c r="Q615" i="19"/>
  <c r="Q620" i="19"/>
  <c r="AK24" i="19"/>
  <c r="Q648" i="19"/>
  <c r="Q653" i="19"/>
  <c r="AK25" i="19"/>
  <c r="Q681" i="19"/>
  <c r="Q686" i="19"/>
  <c r="AK26" i="19"/>
  <c r="AK41" i="19"/>
  <c r="R7" i="21"/>
  <c r="AL6" i="19"/>
  <c r="R54" i="19"/>
  <c r="R59" i="19"/>
  <c r="AL7" i="19"/>
  <c r="R87" i="19"/>
  <c r="R92" i="19"/>
  <c r="AL8" i="19"/>
  <c r="R120" i="19"/>
  <c r="R125" i="19"/>
  <c r="AL9" i="19"/>
  <c r="R153" i="19"/>
  <c r="R158" i="19"/>
  <c r="AL10" i="19"/>
  <c r="R186" i="19"/>
  <c r="R191" i="19"/>
  <c r="AL11" i="19"/>
  <c r="R219" i="19"/>
  <c r="R224" i="19"/>
  <c r="AL12" i="19"/>
  <c r="R318" i="19"/>
  <c r="R323" i="19"/>
  <c r="AL15" i="19"/>
  <c r="R351" i="19"/>
  <c r="R356" i="19"/>
  <c r="AL16" i="19"/>
  <c r="R384" i="19"/>
  <c r="R389" i="19"/>
  <c r="AL17" i="19"/>
  <c r="R417" i="19"/>
  <c r="R422" i="19"/>
  <c r="AL18" i="19"/>
  <c r="R450" i="19"/>
  <c r="R455" i="19"/>
  <c r="AL19" i="19"/>
  <c r="R483" i="19"/>
  <c r="R488" i="19"/>
  <c r="AL20" i="19"/>
  <c r="R516" i="19"/>
  <c r="R521" i="19"/>
  <c r="AL21" i="19"/>
  <c r="R549" i="19"/>
  <c r="R554" i="19"/>
  <c r="AL22" i="19"/>
  <c r="R615" i="19"/>
  <c r="R620" i="19"/>
  <c r="AL24" i="19"/>
  <c r="R648" i="19"/>
  <c r="R653" i="19"/>
  <c r="AL25" i="19"/>
  <c r="R681" i="19"/>
  <c r="R686" i="19"/>
  <c r="AL26" i="19"/>
  <c r="AL41" i="19"/>
  <c r="S7" i="21"/>
  <c r="C5" i="21"/>
  <c r="C6" i="21"/>
  <c r="AN6" i="19"/>
  <c r="AN7" i="19"/>
  <c r="AN8" i="19"/>
  <c r="AN9" i="19"/>
  <c r="AN10" i="19"/>
  <c r="AN11" i="19"/>
  <c r="AN12" i="19"/>
  <c r="AN15" i="19"/>
  <c r="AN16" i="19"/>
  <c r="AN17" i="19"/>
  <c r="AN18" i="19"/>
  <c r="AN19" i="19"/>
  <c r="AN20" i="19"/>
  <c r="AN21" i="19"/>
  <c r="AN22" i="19"/>
  <c r="AN24" i="19"/>
  <c r="AN25" i="19"/>
  <c r="AN26" i="19"/>
  <c r="AQ6" i="19"/>
  <c r="H11" i="21"/>
  <c r="G5" i="23"/>
  <c r="I11" i="21"/>
  <c r="H5" i="23"/>
  <c r="J11" i="21"/>
  <c r="I5" i="23"/>
  <c r="K11" i="21"/>
  <c r="J5" i="23"/>
  <c r="L11" i="21"/>
  <c r="K5" i="23"/>
  <c r="M11" i="21"/>
  <c r="L5" i="23"/>
  <c r="N11" i="21"/>
  <c r="M5" i="23"/>
  <c r="O11" i="21"/>
  <c r="N5" i="23"/>
  <c r="P11" i="21"/>
  <c r="O5" i="23"/>
  <c r="Q11" i="21"/>
  <c r="P5" i="23"/>
  <c r="R11" i="21"/>
  <c r="Q5" i="23"/>
  <c r="S11" i="21"/>
  <c r="R5" i="23"/>
  <c r="B4" i="23"/>
  <c r="B3" i="23"/>
  <c r="H27" i="21"/>
  <c r="I27" i="21"/>
  <c r="J27" i="21"/>
  <c r="K27" i="21"/>
  <c r="L27" i="21"/>
  <c r="M27" i="21"/>
  <c r="N27" i="21"/>
  <c r="O27" i="21"/>
  <c r="P27" i="21"/>
  <c r="Q27" i="21"/>
  <c r="R27" i="21"/>
  <c r="S27" i="21"/>
  <c r="C26" i="21"/>
  <c r="C25" i="21"/>
  <c r="H15" i="21"/>
  <c r="I15" i="21"/>
  <c r="J15" i="21"/>
  <c r="K15" i="21"/>
  <c r="L15" i="21"/>
  <c r="M15" i="21"/>
  <c r="N15" i="21"/>
  <c r="O15" i="21"/>
  <c r="P15" i="21"/>
  <c r="Q15" i="21"/>
  <c r="R15" i="21"/>
  <c r="S15" i="21"/>
  <c r="C14" i="21"/>
  <c r="C13" i="21"/>
  <c r="C10" i="21"/>
  <c r="C9" i="21"/>
  <c r="R582" i="19"/>
  <c r="Q582" i="19"/>
  <c r="P582" i="19"/>
  <c r="O582" i="19"/>
  <c r="N582" i="19"/>
  <c r="M582" i="19"/>
  <c r="L582" i="19"/>
  <c r="K582" i="19"/>
  <c r="J582" i="19"/>
  <c r="I582" i="19"/>
  <c r="H582" i="19"/>
  <c r="G582" i="19"/>
  <c r="AQ7" i="19"/>
  <c r="AM6" i="19"/>
  <c r="AM7" i="19"/>
  <c r="AM8" i="19"/>
  <c r="AM9" i="19"/>
  <c r="AM10" i="19"/>
  <c r="AM11" i="19"/>
  <c r="AM12" i="19"/>
  <c r="AM15" i="19"/>
  <c r="AM16" i="19"/>
  <c r="AM17" i="19"/>
  <c r="AM18" i="19"/>
  <c r="AM19" i="19"/>
  <c r="AM20" i="19"/>
  <c r="AM21" i="19"/>
  <c r="AM22" i="19"/>
  <c r="AM24" i="19"/>
  <c r="AM25" i="19"/>
  <c r="AM26" i="19"/>
  <c r="AP7" i="19"/>
  <c r="AP6" i="19"/>
  <c r="F200" i="23"/>
  <c r="G200" i="23"/>
  <c r="H200" i="23"/>
  <c r="I200" i="23"/>
  <c r="J200" i="23"/>
  <c r="K200" i="23"/>
  <c r="L200" i="23"/>
  <c r="M200" i="23"/>
  <c r="N200" i="23"/>
  <c r="O200" i="23"/>
  <c r="P200" i="23"/>
  <c r="Q200" i="23"/>
  <c r="Q202" i="23"/>
  <c r="P202" i="23"/>
  <c r="O202" i="23"/>
  <c r="N202" i="23"/>
  <c r="M202" i="23"/>
  <c r="L202" i="23"/>
  <c r="K202" i="23"/>
  <c r="J202" i="23"/>
  <c r="I202" i="23"/>
  <c r="H202" i="23"/>
  <c r="G202" i="23"/>
  <c r="F202" i="23"/>
  <c r="R200" i="23"/>
  <c r="R202" i="23"/>
</calcChain>
</file>

<file path=xl/comments1.xml><?xml version="1.0" encoding="utf-8"?>
<comments xmlns="http://schemas.openxmlformats.org/spreadsheetml/2006/main">
  <authors>
    <author>Amine Sd</author>
  </authors>
  <commentList>
    <comment ref="M8" authorId="0" shapeId="0">
      <text>
        <r>
          <rPr>
            <sz val="9"/>
            <color indexed="81"/>
            <rFont val="Tahoma"/>
            <family val="2"/>
          </rPr>
          <t>Le beta est de 0,88 donc quand le marché augmente de 1 le titre augmente de 0,88</t>
        </r>
      </text>
    </comment>
  </commentList>
</comments>
</file>

<file path=xl/comments2.xml><?xml version="1.0" encoding="utf-8"?>
<comments xmlns="http://schemas.openxmlformats.org/spreadsheetml/2006/main">
  <authors>
    <author>Hervé</author>
  </authors>
  <commentList>
    <comment ref="R6" authorId="0" shapeId="0">
      <text>
        <r>
          <rPr>
            <b/>
            <sz val="18"/>
            <color indexed="81"/>
            <rFont val="Tahoma"/>
            <family val="2"/>
          </rPr>
          <t>Scénario 1 fournisseur 1</t>
        </r>
      </text>
    </comment>
  </commentList>
</comments>
</file>

<file path=xl/comments3.xml><?xml version="1.0" encoding="utf-8"?>
<comments xmlns="http://schemas.openxmlformats.org/spreadsheetml/2006/main">
  <authors>
    <author>Hervé</author>
  </authors>
  <commentList>
    <comment ref="R6" authorId="0" shapeId="0">
      <text>
        <r>
          <rPr>
            <b/>
            <sz val="18"/>
            <color indexed="81"/>
            <rFont val="Tahoma"/>
            <family val="2"/>
          </rPr>
          <t>Scénario 1 fournisseur 1</t>
        </r>
      </text>
    </comment>
  </commentList>
</comments>
</file>

<file path=xl/sharedStrings.xml><?xml version="1.0" encoding="utf-8"?>
<sst xmlns="http://schemas.openxmlformats.org/spreadsheetml/2006/main" count="3373" uniqueCount="914">
  <si>
    <t>Phase 2</t>
  </si>
  <si>
    <t>Fournisseur 1</t>
  </si>
  <si>
    <t>P (R) = 54 %</t>
  </si>
  <si>
    <t>P ( E ) = 23 %</t>
  </si>
  <si>
    <t>P ( R ) = 77 %</t>
  </si>
  <si>
    <t>P (E) = 46 %</t>
  </si>
  <si>
    <t>Phase 3</t>
  </si>
  <si>
    <t>Scénario 1</t>
  </si>
  <si>
    <t>Scénario 2</t>
  </si>
  <si>
    <t>Scénario 3</t>
  </si>
  <si>
    <t xml:space="preserve">P ( E ) = 0,54 * 0,23 = </t>
  </si>
  <si>
    <t>P ( R ) = 0,54 * 0,77 =</t>
  </si>
  <si>
    <t xml:space="preserve">P ( E ) = 0,46 * 1    = </t>
  </si>
  <si>
    <t>Fournisseur 2</t>
  </si>
  <si>
    <t>P ( R ) = 57 %</t>
  </si>
  <si>
    <t>P ( E ) = 43 %</t>
  </si>
  <si>
    <t>P ( E ) = 100 %</t>
  </si>
  <si>
    <t xml:space="preserve">P ( E ) = 100 % </t>
  </si>
  <si>
    <t>P ( R ) = 67 %</t>
  </si>
  <si>
    <t>P ( E ) = 0,33 %</t>
  </si>
  <si>
    <t xml:space="preserve">P ( R ) = 0,57 * 0,67 = </t>
  </si>
  <si>
    <t xml:space="preserve">P ( E ) = 0,57 * 0,33 = </t>
  </si>
  <si>
    <t xml:space="preserve">P ( E ) = 0,43 * 1    = </t>
  </si>
  <si>
    <t>Chances de réussites</t>
  </si>
  <si>
    <t>Proratisation (en mois)</t>
  </si>
  <si>
    <t xml:space="preserve">Phase 2 </t>
  </si>
  <si>
    <t>Invest F1</t>
  </si>
  <si>
    <t>Invest F2</t>
  </si>
  <si>
    <t>IS</t>
  </si>
  <si>
    <t>Marché potentiel</t>
  </si>
  <si>
    <t>Population à traiter %</t>
  </si>
  <si>
    <t>Par de marché</t>
  </si>
  <si>
    <t>Marché du produit Thyrdine 20</t>
  </si>
  <si>
    <t>Hausse annuelle du marché</t>
  </si>
  <si>
    <t>CRU</t>
  </si>
  <si>
    <t>Charges Fixes</t>
  </si>
  <si>
    <t>Amortissements Phase 3</t>
  </si>
  <si>
    <t>Prorata</t>
  </si>
  <si>
    <t>R&amp;D annuel</t>
  </si>
  <si>
    <t>Mois total</t>
  </si>
  <si>
    <t xml:space="preserve">Fournisseur 1 </t>
  </si>
  <si>
    <t>Base amortissement</t>
  </si>
  <si>
    <t>Tx amortissement</t>
  </si>
  <si>
    <t>Amortissement</t>
  </si>
  <si>
    <t>Valeur fin de période</t>
  </si>
  <si>
    <t>Total amortissement F1</t>
  </si>
  <si>
    <t>Total amortissement F2</t>
  </si>
  <si>
    <t>Données sur le marché</t>
  </si>
  <si>
    <t>CA (K€)</t>
  </si>
  <si>
    <t>Charges variables (K€)</t>
  </si>
  <si>
    <t>Magasin port en % CA (en K€)</t>
  </si>
  <si>
    <t>Budget promotionnel (K€)</t>
  </si>
  <si>
    <t>Total charges (en K€)</t>
  </si>
  <si>
    <t>Evolution du marché (nb produits vendus)</t>
  </si>
  <si>
    <t>Montant des frais de R&amp;D (en K€)</t>
  </si>
  <si>
    <t>PVHT (K€)        =</t>
  </si>
  <si>
    <t>Investissement 2011</t>
  </si>
  <si>
    <t>Investissement 2012</t>
  </si>
  <si>
    <t>Investissement 2013</t>
  </si>
  <si>
    <t>Date</t>
  </si>
  <si>
    <t>SBF 120 Cours ajusté*</t>
  </si>
  <si>
    <t>Hormopharm Cours ajusté</t>
  </si>
  <si>
    <t>Variation SBF 120</t>
  </si>
  <si>
    <t>Variation Cours Hormo</t>
  </si>
  <si>
    <t>11-févr.-05</t>
  </si>
  <si>
    <t>14-févr.-05</t>
  </si>
  <si>
    <t>21-févr.-05</t>
  </si>
  <si>
    <t>28-févr.-05</t>
  </si>
  <si>
    <t>SBF 120</t>
  </si>
  <si>
    <t>Hormopharm</t>
  </si>
  <si>
    <t>Variance</t>
  </si>
  <si>
    <t>CoVariance</t>
  </si>
  <si>
    <t>Beta</t>
  </si>
  <si>
    <t>4-avr.-05</t>
  </si>
  <si>
    <t>11-avr.-05</t>
  </si>
  <si>
    <t>Alpha</t>
  </si>
  <si>
    <t>18-avr.-05</t>
  </si>
  <si>
    <t>25-avr.-05</t>
  </si>
  <si>
    <t>R2</t>
  </si>
  <si>
    <t>Risque unique</t>
  </si>
  <si>
    <t>Rendement hebdo SBF 120</t>
  </si>
  <si>
    <t>Rendement annuel SBF 120</t>
  </si>
  <si>
    <t xml:space="preserve">Rf (OAT) à 5 ans </t>
  </si>
  <si>
    <t>4-juil.-05</t>
  </si>
  <si>
    <t xml:space="preserve">Rm </t>
  </si>
  <si>
    <t>11-juil.-05</t>
  </si>
  <si>
    <t>18-juil.-05</t>
  </si>
  <si>
    <t>Taux actualisation</t>
  </si>
  <si>
    <t>25-juil.-05</t>
  </si>
  <si>
    <t>5-sept.-05</t>
  </si>
  <si>
    <t>12-sept.-05</t>
  </si>
  <si>
    <t>19-sept.-05</t>
  </si>
  <si>
    <t>26-sept.-05</t>
  </si>
  <si>
    <t>3-oct.-05</t>
  </si>
  <si>
    <t>10-oct.-05</t>
  </si>
  <si>
    <t>17-oct.-05</t>
  </si>
  <si>
    <t>24-oct.-05</t>
  </si>
  <si>
    <t>31-oct.-05</t>
  </si>
  <si>
    <t>7-nov.-05</t>
  </si>
  <si>
    <t>14-nov.-05</t>
  </si>
  <si>
    <t>21-nov.-05</t>
  </si>
  <si>
    <t>28-nov.-05</t>
  </si>
  <si>
    <t>5-déc.-05</t>
  </si>
  <si>
    <t>12-déc.-05</t>
  </si>
  <si>
    <t>19-déc.-05</t>
  </si>
  <si>
    <t>26-déc.-05</t>
  </si>
  <si>
    <t>2-janv.-06</t>
  </si>
  <si>
    <t>9-janv.-06</t>
  </si>
  <si>
    <t>16-janv.-06</t>
  </si>
  <si>
    <t>23-janv.-06</t>
  </si>
  <si>
    <t>30-janv.-06</t>
  </si>
  <si>
    <t>6-févr.-06</t>
  </si>
  <si>
    <t>13-févr.-06</t>
  </si>
  <si>
    <t>20-févr.-06</t>
  </si>
  <si>
    <t>27-févr.-06</t>
  </si>
  <si>
    <t>3-avr.-06</t>
  </si>
  <si>
    <t>10-avr.-06</t>
  </si>
  <si>
    <t>17-avr.-06</t>
  </si>
  <si>
    <t>24-avr.-06</t>
  </si>
  <si>
    <t>3-juil.-06</t>
  </si>
  <si>
    <t>10-juil.-06</t>
  </si>
  <si>
    <t>17-juil.-06</t>
  </si>
  <si>
    <t>24-juil.-06</t>
  </si>
  <si>
    <t>31-juil.-06</t>
  </si>
  <si>
    <t>4-sept.-06</t>
  </si>
  <si>
    <t>11-sept.-06</t>
  </si>
  <si>
    <t>18-sept.-06</t>
  </si>
  <si>
    <t>25-sept.-06</t>
  </si>
  <si>
    <t>2-oct.-06</t>
  </si>
  <si>
    <t>9-oct.-06</t>
  </si>
  <si>
    <t>16-oct.-06</t>
  </si>
  <si>
    <t>23-oct.-06</t>
  </si>
  <si>
    <t>30-oct.-06</t>
  </si>
  <si>
    <t>6-nov.-06</t>
  </si>
  <si>
    <t>13-nov.-06</t>
  </si>
  <si>
    <t>20-nov.-06</t>
  </si>
  <si>
    <t>27-nov.-06</t>
  </si>
  <si>
    <t>4-déc.-06</t>
  </si>
  <si>
    <t>11-déc.-06</t>
  </si>
  <si>
    <t>18-déc.-06</t>
  </si>
  <si>
    <t>25-déc.-06</t>
  </si>
  <si>
    <t>1-janv.-07</t>
  </si>
  <si>
    <t>8-janv.-07</t>
  </si>
  <si>
    <t>15-janv.-07</t>
  </si>
  <si>
    <t>22-janv.-07</t>
  </si>
  <si>
    <t>29-janv.-07</t>
  </si>
  <si>
    <t>5-févr.-07</t>
  </si>
  <si>
    <t>12-févr.-07</t>
  </si>
  <si>
    <t>19-févr.-07</t>
  </si>
  <si>
    <t>26-févr.-07</t>
  </si>
  <si>
    <t>2-avr.-07</t>
  </si>
  <si>
    <t>9-avr.-07</t>
  </si>
  <si>
    <t>16-avr.-07</t>
  </si>
  <si>
    <t>23-avr.-07</t>
  </si>
  <si>
    <t>30-avr.-07</t>
  </si>
  <si>
    <t>2-juil.-07</t>
  </si>
  <si>
    <t>9-juil.-07</t>
  </si>
  <si>
    <t>16-juil.-07</t>
  </si>
  <si>
    <t>23-juil.-07</t>
  </si>
  <si>
    <t>30-juil.-07</t>
  </si>
  <si>
    <t>3-sept.-07</t>
  </si>
  <si>
    <t>10-sept.-07</t>
  </si>
  <si>
    <t>17-sept.-07</t>
  </si>
  <si>
    <t>24-sept.-07</t>
  </si>
  <si>
    <t>28-sept.-07</t>
  </si>
  <si>
    <t>1-oct.-07</t>
  </si>
  <si>
    <t>8-oct.-07</t>
  </si>
  <si>
    <t>15-oct.-07</t>
  </si>
  <si>
    <t>23-oct.-07</t>
  </si>
  <si>
    <t>29-oct.-07</t>
  </si>
  <si>
    <t>5-nov.-07</t>
  </si>
  <si>
    <t>12-nov.-07</t>
  </si>
  <si>
    <t>19-nov.-07</t>
  </si>
  <si>
    <t>26-nov.-07</t>
  </si>
  <si>
    <t>3-déc.-07</t>
  </si>
  <si>
    <t>10-déc.-07</t>
  </si>
  <si>
    <t>17-déc.-07</t>
  </si>
  <si>
    <t>24-déc.-07</t>
  </si>
  <si>
    <t>31-déc.-07</t>
  </si>
  <si>
    <t>7-janv.-08</t>
  </si>
  <si>
    <t>14-janv.-08</t>
  </si>
  <si>
    <t>21-janv.-08</t>
  </si>
  <si>
    <t>28-janv.-08</t>
  </si>
  <si>
    <t>4-févr.-08</t>
  </si>
  <si>
    <t>11-févr.-08</t>
  </si>
  <si>
    <t>18-févr.-08</t>
  </si>
  <si>
    <t>25-févr.-08</t>
  </si>
  <si>
    <t>7-avr.-08</t>
  </si>
  <si>
    <t>14-avr.-08</t>
  </si>
  <si>
    <t>21-avr.-08</t>
  </si>
  <si>
    <t>28-avr.-08</t>
  </si>
  <si>
    <t>7-juil.-08</t>
  </si>
  <si>
    <t>14-juil.-08</t>
  </si>
  <si>
    <t>21-juil.-08</t>
  </si>
  <si>
    <t>28-juil.-08</t>
  </si>
  <si>
    <t>1-sept.-08</t>
  </si>
  <si>
    <t>8-sept.-08</t>
  </si>
  <si>
    <t>15-sept.-08</t>
  </si>
  <si>
    <t>22-sept.-08</t>
  </si>
  <si>
    <t>29-sept.-08</t>
  </si>
  <si>
    <t>6-oct.-08</t>
  </si>
  <si>
    <t>13-oct.-08</t>
  </si>
  <si>
    <t>20-oct.-08</t>
  </si>
  <si>
    <t>27-oct.-08</t>
  </si>
  <si>
    <t>3-nov.-08</t>
  </si>
  <si>
    <t>10-nov.-08</t>
  </si>
  <si>
    <t>17-nov.-08</t>
  </si>
  <si>
    <t>24-nov.-08</t>
  </si>
  <si>
    <t>1-déc.-08</t>
  </si>
  <si>
    <t>8-déc.-08</t>
  </si>
  <si>
    <t>15-déc.-08</t>
  </si>
  <si>
    <t>22-déc.-08</t>
  </si>
  <si>
    <t>29-déc.-08</t>
  </si>
  <si>
    <t>Source : http://webstat.banque-france.fr/fr/quickview.do?SERIES_KEY=255.FM.M.FR.EUR.FR2.BB.FRMOYTEC5.HSTA</t>
  </si>
  <si>
    <t>Taux de référence des OAT à 5 ans</t>
  </si>
  <si>
    <t>Période ↓</t>
  </si>
  <si>
    <t>valeur</t>
  </si>
  <si>
    <t>Jun 2014</t>
  </si>
  <si>
    <t>Mai 2014</t>
  </si>
  <si>
    <t>Avr 2014</t>
  </si>
  <si>
    <t>Mar 2014</t>
  </si>
  <si>
    <t>Fév 2014</t>
  </si>
  <si>
    <t>Jan 2014</t>
  </si>
  <si>
    <t>Déc 2013</t>
  </si>
  <si>
    <t>Nov 2013</t>
  </si>
  <si>
    <t>Oct 2013</t>
  </si>
  <si>
    <t>Sep 2013</t>
  </si>
  <si>
    <t>Aoû 2013</t>
  </si>
  <si>
    <t>Jul 2013</t>
  </si>
  <si>
    <t>Jun 2013</t>
  </si>
  <si>
    <t>Mai 2013</t>
  </si>
  <si>
    <t>Avr 2013</t>
  </si>
  <si>
    <t>Mar 2013</t>
  </si>
  <si>
    <t>Fév 2013</t>
  </si>
  <si>
    <t>Jan 2013</t>
  </si>
  <si>
    <t>Déc 2012</t>
  </si>
  <si>
    <t>Nov 2012</t>
  </si>
  <si>
    <t>Oct 2012</t>
  </si>
  <si>
    <t>Sep 2012</t>
  </si>
  <si>
    <t>Aoû 2012</t>
  </si>
  <si>
    <t>Jul 2012</t>
  </si>
  <si>
    <t>Jun 2012</t>
  </si>
  <si>
    <t>Mai 2012</t>
  </si>
  <si>
    <t>Avr 2012</t>
  </si>
  <si>
    <t>Mar 2012</t>
  </si>
  <si>
    <t>Fév 2012</t>
  </si>
  <si>
    <t>Jan 2012</t>
  </si>
  <si>
    <t>Déc 2011</t>
  </si>
  <si>
    <t>Nov 2011</t>
  </si>
  <si>
    <t>Oct 2011</t>
  </si>
  <si>
    <t>Sep 2011</t>
  </si>
  <si>
    <t>Aoû 2011</t>
  </si>
  <si>
    <t>Jul 2011</t>
  </si>
  <si>
    <t>Jun 2011</t>
  </si>
  <si>
    <t>Mai 2011</t>
  </si>
  <si>
    <t>Avr 2011</t>
  </si>
  <si>
    <t>Mar 2011</t>
  </si>
  <si>
    <t>Fév 2011</t>
  </si>
  <si>
    <t>Jan 2011</t>
  </si>
  <si>
    <t>Déc 2010</t>
  </si>
  <si>
    <t>Nov 2010</t>
  </si>
  <si>
    <t>Oct 2010</t>
  </si>
  <si>
    <t>Sep 2010</t>
  </si>
  <si>
    <t>Aoû 2010</t>
  </si>
  <si>
    <t>Jul 2010</t>
  </si>
  <si>
    <t>Jun 2010</t>
  </si>
  <si>
    <t>Mai 2010</t>
  </si>
  <si>
    <t>Avr 2010</t>
  </si>
  <si>
    <t>Mar 2010</t>
  </si>
  <si>
    <t>Fév 2010</t>
  </si>
  <si>
    <t>Jan 2010</t>
  </si>
  <si>
    <t>Déc 2009</t>
  </si>
  <si>
    <t>Nov 2009</t>
  </si>
  <si>
    <t>Oct 2009</t>
  </si>
  <si>
    <t>Sep 2009</t>
  </si>
  <si>
    <t>Aoû 2009</t>
  </si>
  <si>
    <t>Jul 2009</t>
  </si>
  <si>
    <t>Jun 2009</t>
  </si>
  <si>
    <t>Mai 2009</t>
  </si>
  <si>
    <t>Avr 2009</t>
  </si>
  <si>
    <t>Mar 2009</t>
  </si>
  <si>
    <t>Fév 2009</t>
  </si>
  <si>
    <t>Jan 2009</t>
  </si>
  <si>
    <t>Déc 2008</t>
  </si>
  <si>
    <t>Nov 2008</t>
  </si>
  <si>
    <t>Oct 2008</t>
  </si>
  <si>
    <t>Sep 2008</t>
  </si>
  <si>
    <t>Aoû 2008</t>
  </si>
  <si>
    <t>Jul 2008</t>
  </si>
  <si>
    <t>Jun 2008</t>
  </si>
  <si>
    <t>Mai 2008</t>
  </si>
  <si>
    <t>Avr 2008</t>
  </si>
  <si>
    <t>Mar 2008</t>
  </si>
  <si>
    <t>Fév 2008</t>
  </si>
  <si>
    <t>Jan 2008</t>
  </si>
  <si>
    <t>Déc 2007</t>
  </si>
  <si>
    <t>Nov 2007</t>
  </si>
  <si>
    <t>Oct 2007</t>
  </si>
  <si>
    <t>Sep 2007</t>
  </si>
  <si>
    <t>Aoû 2007</t>
  </si>
  <si>
    <t>Jul 2007</t>
  </si>
  <si>
    <t>Jun 2007</t>
  </si>
  <si>
    <t>Mai 2007</t>
  </si>
  <si>
    <t>Avr 2007</t>
  </si>
  <si>
    <t>Mar 2007</t>
  </si>
  <si>
    <t>Fév 2007</t>
  </si>
  <si>
    <t>Jan 2007</t>
  </si>
  <si>
    <t>Déc 2006</t>
  </si>
  <si>
    <t>Nov 2006</t>
  </si>
  <si>
    <t>Oct 2006</t>
  </si>
  <si>
    <t>Sep 2006</t>
  </si>
  <si>
    <t>Aoû 2006</t>
  </si>
  <si>
    <t>Jul 2006</t>
  </si>
  <si>
    <t>Jun 2006</t>
  </si>
  <si>
    <t>Mai 2006</t>
  </si>
  <si>
    <t>Avr 2006</t>
  </si>
  <si>
    <t>Mar 2006</t>
  </si>
  <si>
    <t>Fév 2006</t>
  </si>
  <si>
    <t>Jan 2006</t>
  </si>
  <si>
    <t>Déc 2005</t>
  </si>
  <si>
    <t>Nov 2005</t>
  </si>
  <si>
    <t>Oct 2005</t>
  </si>
  <si>
    <t>Sep 2005</t>
  </si>
  <si>
    <t>Aoû 2005</t>
  </si>
  <si>
    <t>Jul 2005</t>
  </si>
  <si>
    <t>Jun 2005</t>
  </si>
  <si>
    <t>Mai 2005</t>
  </si>
  <si>
    <t>Avr 2005</t>
  </si>
  <si>
    <t>Mar 2005</t>
  </si>
  <si>
    <t>Fév 2005</t>
  </si>
  <si>
    <t>Jan 2005</t>
  </si>
  <si>
    <t>Déc 2004</t>
  </si>
  <si>
    <t>Nov 2004</t>
  </si>
  <si>
    <t>Scénario 1: Réussite en Phase III</t>
  </si>
  <si>
    <t>2009</t>
  </si>
  <si>
    <t>2010</t>
  </si>
  <si>
    <t>2011</t>
  </si>
  <si>
    <t>2012</t>
  </si>
  <si>
    <t>2013</t>
  </si>
  <si>
    <t>2014</t>
  </si>
  <si>
    <t>2015</t>
  </si>
  <si>
    <t>2016</t>
  </si>
  <si>
    <t>2017</t>
  </si>
  <si>
    <t>2018</t>
  </si>
  <si>
    <t>2019</t>
  </si>
  <si>
    <t>2020</t>
  </si>
  <si>
    <t>2021</t>
  </si>
  <si>
    <t>2022</t>
  </si>
  <si>
    <t>2023</t>
  </si>
  <si>
    <t>Investissements</t>
  </si>
  <si>
    <t xml:space="preserve">     Investissement Phase II</t>
  </si>
  <si>
    <t xml:space="preserve">     Investissement Phase III</t>
  </si>
  <si>
    <t>DAT</t>
  </si>
  <si>
    <t xml:space="preserve">     DAT 2011</t>
  </si>
  <si>
    <t xml:space="preserve">     DAT 2012</t>
  </si>
  <si>
    <t xml:space="preserve">     DAT 2013</t>
  </si>
  <si>
    <t>Résultat avant Impôt</t>
  </si>
  <si>
    <t>Economie d'impôt</t>
  </si>
  <si>
    <t>Résultat Net</t>
  </si>
  <si>
    <t>DAT total</t>
  </si>
  <si>
    <t>VAN</t>
  </si>
  <si>
    <t>Fournisseur  2</t>
  </si>
  <si>
    <t>Scénario 2: Réussite en Phase II et Echec en Phase III</t>
  </si>
  <si>
    <t>Frais d'études</t>
  </si>
  <si>
    <t>Frais d'étude</t>
  </si>
  <si>
    <t>Scénario 3: Echec dès la Phase II</t>
  </si>
  <si>
    <t>Cash Flow Net</t>
  </si>
  <si>
    <t>Cash Flow actualisé</t>
  </si>
  <si>
    <t>Cash flow Net</t>
  </si>
  <si>
    <t>Cash flow actualisé</t>
  </si>
  <si>
    <t xml:space="preserve">Cash Flow </t>
  </si>
  <si>
    <t>Cash Flow Actualisé</t>
  </si>
  <si>
    <t>Fournisseur  1</t>
  </si>
  <si>
    <t>Cash flow net</t>
  </si>
  <si>
    <t>Column1</t>
  </si>
  <si>
    <t>Crtitères</t>
  </si>
  <si>
    <t>Column2</t>
  </si>
  <si>
    <t>Column3</t>
  </si>
  <si>
    <t>Column4</t>
  </si>
  <si>
    <t>Column5</t>
  </si>
  <si>
    <t>Column6</t>
  </si>
  <si>
    <t>Calcul du Beta :</t>
  </si>
  <si>
    <t xml:space="preserve"> </t>
  </si>
  <si>
    <t>Total</t>
  </si>
  <si>
    <t xml:space="preserve">Probabilité </t>
  </si>
  <si>
    <t>Esperance</t>
  </si>
  <si>
    <t>E(VAN)</t>
  </si>
  <si>
    <t>Critères d'évaluation</t>
  </si>
  <si>
    <t>Moyenne des Van</t>
  </si>
  <si>
    <t>Critère de Laplace</t>
  </si>
  <si>
    <t>Maximin</t>
  </si>
  <si>
    <t>Maximax</t>
  </si>
  <si>
    <t>Matrice des regrets</t>
  </si>
  <si>
    <t>Scénario</t>
  </si>
  <si>
    <t>Valeur</t>
  </si>
  <si>
    <t>Données</t>
  </si>
  <si>
    <t>Moyenne de l'inflation</t>
  </si>
  <si>
    <t>Population traitée</t>
  </si>
  <si>
    <t xml:space="preserve">BFR </t>
  </si>
  <si>
    <t>Actualisation</t>
  </si>
  <si>
    <t>Part de Marché</t>
  </si>
  <si>
    <t>Taux</t>
  </si>
  <si>
    <t>PGHT (k€)</t>
  </si>
  <si>
    <t>CRU (k€)</t>
  </si>
  <si>
    <t>Moyenne inflation (5 dernières années):</t>
  </si>
  <si>
    <t>Budget Promotionnel (k€/an)</t>
  </si>
  <si>
    <t>Impôt</t>
  </si>
  <si>
    <t>Années</t>
  </si>
  <si>
    <t>Population</t>
  </si>
  <si>
    <t>Part de marché</t>
  </si>
  <si>
    <t>PGHT k€</t>
  </si>
  <si>
    <t>CA k€</t>
  </si>
  <si>
    <t>Charges Variables</t>
  </si>
  <si>
    <t>Communication</t>
  </si>
  <si>
    <t>Résultat Avant Impot</t>
  </si>
  <si>
    <t>Impots</t>
  </si>
  <si>
    <t>Variation BFR</t>
  </si>
  <si>
    <t>Cash Flow Exploitation</t>
  </si>
  <si>
    <t>Stockage port (3% du C.A.)</t>
  </si>
  <si>
    <t>BFR (% du C.A.)</t>
  </si>
  <si>
    <t>x</t>
  </si>
  <si>
    <t>Noms des scénarios</t>
  </si>
  <si>
    <t>VAN projet</t>
  </si>
  <si>
    <t>TRI</t>
  </si>
  <si>
    <t>IP</t>
  </si>
  <si>
    <t>E(IP)</t>
  </si>
  <si>
    <t>VAR(VAN)</t>
  </si>
  <si>
    <t>Proba CRU</t>
  </si>
  <si>
    <t>Proba Part de marché</t>
  </si>
  <si>
    <t>Proba Population traitée</t>
  </si>
  <si>
    <t>Proba Hausse annuelle du marché</t>
  </si>
  <si>
    <t>CRU valeur</t>
  </si>
  <si>
    <t>PDM valeur</t>
  </si>
  <si>
    <t>Pop traité valeur</t>
  </si>
  <si>
    <t>Hausse marché valeur</t>
  </si>
  <si>
    <t>Scénarios d'exploitation</t>
  </si>
  <si>
    <t>VAN Exploitation</t>
  </si>
  <si>
    <t>Espérance VAN</t>
  </si>
  <si>
    <t>Espérance TRI</t>
  </si>
  <si>
    <t>Espérance Indice de profitabilité</t>
  </si>
  <si>
    <t>Ecart type VAN</t>
  </si>
  <si>
    <t>Variance VAN</t>
  </si>
  <si>
    <t>VAN d'exploitation</t>
  </si>
  <si>
    <t>Cash flows d'investissement</t>
  </si>
  <si>
    <t>Cash flows d'exploitation</t>
  </si>
  <si>
    <t>Récapitulatif</t>
  </si>
  <si>
    <t>proba</t>
  </si>
  <si>
    <t>Check</t>
  </si>
  <si>
    <t>Phase II</t>
  </si>
  <si>
    <t>Espérance</t>
  </si>
  <si>
    <t>S1</t>
  </si>
  <si>
    <t>Résussite</t>
  </si>
  <si>
    <t>S2</t>
  </si>
  <si>
    <t>Echec</t>
  </si>
  <si>
    <t>S3</t>
  </si>
  <si>
    <t>moy</t>
  </si>
  <si>
    <t>min</t>
  </si>
  <si>
    <t>max</t>
  </si>
  <si>
    <t>Moyenne VAN</t>
  </si>
  <si>
    <t>Moyenne + Ecart Type</t>
  </si>
  <si>
    <t>Moyenne - Ecart Type</t>
  </si>
  <si>
    <t>Probabilités des scénarios</t>
  </si>
  <si>
    <t>VAN Investissement</t>
  </si>
  <si>
    <t>E (TRI)</t>
  </si>
  <si>
    <t>CF Probabilisé</t>
  </si>
  <si>
    <t>Payback (5 ans et +)</t>
  </si>
  <si>
    <t>Payback moyen</t>
  </si>
  <si>
    <t>Payback minimum</t>
  </si>
  <si>
    <t>Payback maximum</t>
  </si>
  <si>
    <t>Coefficient de dispertion</t>
  </si>
  <si>
    <t>E (VAN)</t>
  </si>
  <si>
    <t xml:space="preserve">CASH FLOWS PROJETS </t>
  </si>
  <si>
    <t>R&amp;D</t>
  </si>
  <si>
    <t>Variables d'actions</t>
  </si>
  <si>
    <t>Faisabilité technique</t>
  </si>
  <si>
    <t>Faisabilité commerciale</t>
  </si>
  <si>
    <t>Faisabilité financière</t>
  </si>
  <si>
    <t>Direction R&amp;D</t>
  </si>
  <si>
    <t>Direction financière</t>
  </si>
  <si>
    <t>Direction qualité</t>
  </si>
  <si>
    <t>Maitrise des délais</t>
  </si>
  <si>
    <t>Financement du projet</t>
  </si>
  <si>
    <t>Veille concurrentielle</t>
  </si>
  <si>
    <t xml:space="preserve">Contraintes legislatives </t>
  </si>
  <si>
    <t>Probabilité de réussite du projet</t>
  </si>
  <si>
    <t>Contraintes de la sous traitance</t>
  </si>
  <si>
    <t>Evaluation financière du projet</t>
  </si>
  <si>
    <t>Optimisation du budget</t>
  </si>
  <si>
    <t>Se tenir informé sur la concurrence</t>
  </si>
  <si>
    <t>Rentabilité du projet</t>
  </si>
  <si>
    <t>Objectifs</t>
  </si>
  <si>
    <t>Responsables</t>
  </si>
  <si>
    <t>Phase de recherche :</t>
  </si>
  <si>
    <t>Phase d'exploitation :</t>
  </si>
  <si>
    <t>Exploitation</t>
  </si>
  <si>
    <t xml:space="preserve">Phase de croissance </t>
  </si>
  <si>
    <t>Phase de maturité</t>
  </si>
  <si>
    <t>Phase de déclin</t>
  </si>
  <si>
    <t>Direction commerciale &amp; marketing</t>
  </si>
  <si>
    <t>Gain de Pdm</t>
  </si>
  <si>
    <t>Maintien de Pdm</t>
  </si>
  <si>
    <t>Dégagement de marge</t>
  </si>
  <si>
    <t>Dégagement de cash</t>
  </si>
  <si>
    <t>Maitrise des coûts</t>
  </si>
  <si>
    <t>Force de vente</t>
  </si>
  <si>
    <t>Maitrise des marges</t>
  </si>
  <si>
    <t>Notoriété du produit</t>
  </si>
  <si>
    <t>Amélioration de la productivité</t>
  </si>
  <si>
    <t>Amélioration de la profitabilité</t>
  </si>
  <si>
    <t>Développement à l'international</t>
  </si>
  <si>
    <t>Amélioration de la rentabilité</t>
  </si>
  <si>
    <t>Veille concurentielle</t>
  </si>
  <si>
    <t>Optimiser le niveau de stock</t>
  </si>
  <si>
    <t>Augmenter les parts de marché</t>
  </si>
  <si>
    <t>Phase de croissance</t>
  </si>
  <si>
    <t>Gain de part de marché</t>
  </si>
  <si>
    <t>Mise en œuvre</t>
  </si>
  <si>
    <t>Réel</t>
  </si>
  <si>
    <t>Ecart</t>
  </si>
  <si>
    <t>En %</t>
  </si>
  <si>
    <t>Maintien de part de marché</t>
  </si>
  <si>
    <t>Commisions sur chiffre d'affaire</t>
  </si>
  <si>
    <t>Nombre de produits génériques sur le marché</t>
  </si>
  <si>
    <t>Résultat net</t>
  </si>
  <si>
    <t>Résultat exercice/ CA</t>
  </si>
  <si>
    <t xml:space="preserve">Coût de fabrication </t>
  </si>
  <si>
    <t>Charge fixe</t>
  </si>
  <si>
    <t>Charge variable</t>
  </si>
  <si>
    <t>Stock</t>
  </si>
  <si>
    <t>Produits defectueux</t>
  </si>
  <si>
    <t>coût fixe</t>
  </si>
  <si>
    <t>coût variable</t>
  </si>
  <si>
    <t>commission sur CA</t>
  </si>
  <si>
    <t>marge sur coûts variables</t>
  </si>
  <si>
    <t>marge sur chiffre d'affaire</t>
  </si>
  <si>
    <t>commissions sur chiffre d'affaire</t>
  </si>
  <si>
    <t>budget publicitaire</t>
  </si>
  <si>
    <t>budget promotionnelle</t>
  </si>
  <si>
    <t>campagne de prévention</t>
  </si>
  <si>
    <t>obtention de nouveau contracts</t>
  </si>
  <si>
    <t>nombre de point vente</t>
  </si>
  <si>
    <t>nombre de médicament concurrent sur le marché</t>
  </si>
  <si>
    <t>Budget publicité (K€)</t>
  </si>
  <si>
    <t>Budget promotionnelle  (K€)</t>
  </si>
  <si>
    <t>Campagne de prévention  (K€)</t>
  </si>
  <si>
    <t>Coûts fixes  (K€)</t>
  </si>
  <si>
    <t>Marge sur coût variable %</t>
  </si>
  <si>
    <t>Marge sur chiffre d'affaire %</t>
  </si>
  <si>
    <t>Formations des chefs d'équipes (jours)</t>
  </si>
  <si>
    <t>Renouvellement du matériel (% renouvellement/an)</t>
  </si>
  <si>
    <t>-</t>
  </si>
  <si>
    <t>Coûts variable   (K€)</t>
  </si>
  <si>
    <t>Coût d'investissement développement</t>
  </si>
  <si>
    <t>Respect des deadlines.</t>
  </si>
  <si>
    <t>OK</t>
  </si>
  <si>
    <t xml:space="preserve">Veille juriqique : évaluation des contraintes légales </t>
  </si>
  <si>
    <t xml:space="preserve">OK </t>
  </si>
  <si>
    <t>Probabilité de réussite phase II</t>
  </si>
  <si>
    <t>Probabilité de réussite phase III</t>
  </si>
  <si>
    <t>Respect du cahier de charges</t>
  </si>
  <si>
    <t>En valeur</t>
  </si>
  <si>
    <t>Mettre en place une veille concurentielle, réunion avec la direction marketing</t>
  </si>
  <si>
    <t>Veiller au respect des termes du contrat</t>
  </si>
  <si>
    <t>Contrôle budgétaire, suivi  budgétaire trimestrielle.</t>
  </si>
  <si>
    <t>Mise en place du plan de financement.</t>
  </si>
  <si>
    <t>E(TRI)</t>
  </si>
  <si>
    <t>Réunions avec les équipes financières : suivi de la rentabilité du projet.</t>
  </si>
  <si>
    <t>Formule de Black &amp; Scholes</t>
  </si>
  <si>
    <t>Valeur du CALL</t>
  </si>
  <si>
    <t>{N(D1)*P} - {N(D2)*VA(I)}</t>
  </si>
  <si>
    <t>D1</t>
  </si>
  <si>
    <t>{LN(P/VA(I) / (ET*racine(t))} + {(ET*racine(t))/2}</t>
  </si>
  <si>
    <t>D2</t>
  </si>
  <si>
    <t>D1 - ET*racine(t)</t>
  </si>
  <si>
    <t>Avec :</t>
  </si>
  <si>
    <t>P = cours de l'action (la valeur actuelle des CF futurs).</t>
  </si>
  <si>
    <t>t = délai avant la date d'exercice en années.</t>
  </si>
  <si>
    <t>VA(I)  montant de l'investissement actualisé</t>
  </si>
  <si>
    <t>ET = écart type des rendements par période</t>
  </si>
  <si>
    <t>N(d) = loi normale cumulée</t>
  </si>
  <si>
    <t>Valeur actuelle des Cash Flows futurs P</t>
  </si>
  <si>
    <t>Taux d'actualisation</t>
  </si>
  <si>
    <t>Année de début</t>
  </si>
  <si>
    <t>E (CF)</t>
  </si>
  <si>
    <t>Année d'investissement</t>
  </si>
  <si>
    <t xml:space="preserve">E (CFa) </t>
  </si>
  <si>
    <t>t = Délai avant la date d'exercice en années</t>
  </si>
  <si>
    <t>Investissement en M€</t>
  </si>
  <si>
    <t>P =  Valeur actuelle de E(CF futurs)</t>
  </si>
  <si>
    <t>Scénarii</t>
  </si>
  <si>
    <t>Probabilité</t>
  </si>
  <si>
    <t>Cash Flow annuel</t>
  </si>
  <si>
    <t>E(CF) annuel</t>
  </si>
  <si>
    <t>VAR</t>
  </si>
  <si>
    <t>Calcul de la Variance et de l'Ecart Type des Cash Flows</t>
  </si>
  <si>
    <t>Var (Cfa)</t>
  </si>
  <si>
    <t>Var (VAN)</t>
  </si>
  <si>
    <t>Sommes</t>
  </si>
  <si>
    <t>ET (VAN)</t>
  </si>
  <si>
    <t>ET = Ecart Type des Cash Flows futurs</t>
  </si>
  <si>
    <t>Calcule de la Loi Normale</t>
  </si>
  <si>
    <t>Variables d'application</t>
  </si>
  <si>
    <t>Application de la Formule de Black &amp; Scholes</t>
  </si>
  <si>
    <t>P</t>
  </si>
  <si>
    <t>Rappel des forumles</t>
  </si>
  <si>
    <t>ET</t>
  </si>
  <si>
    <t>t</t>
  </si>
  <si>
    <t>Investissement (M€)</t>
  </si>
  <si>
    <t>Valeur du Call</t>
  </si>
  <si>
    <t>VA (I)</t>
  </si>
  <si>
    <t>P - VA (I)</t>
  </si>
  <si>
    <t>LN(P/VA(I))</t>
  </si>
  <si>
    <t>Ecart type * Racine (t)</t>
  </si>
  <si>
    <t>Interprétation</t>
  </si>
  <si>
    <t>La direction des opérations pharma</t>
  </si>
  <si>
    <t>MàJ</t>
  </si>
  <si>
    <t>Objectif</t>
  </si>
  <si>
    <t>Evolution des parts de marché</t>
  </si>
  <si>
    <t>Taux de marge opérationnelle &amp; exploitation</t>
  </si>
  <si>
    <t>Calculer l'ÉTÉ Operatiing cash flow</t>
  </si>
  <si>
    <t>(EBE-var bFR)</t>
  </si>
  <si>
    <t>Augementation de capital de 20M€</t>
  </si>
  <si>
    <t>On ne sait pas si cette aug va dilluer l'actionnariat de l'entreptose</t>
  </si>
  <si>
    <t>Pour faire l'éval de l'e/se on fait la somme des cash flows actualisés du Med1&amp; Med2&amp;Med 3 aet la thirdine</t>
  </si>
  <si>
    <t>On doit faire une eval de l'entreprise : Comparer entre la valeur des marchés (26M€) et la valeur des dcf</t>
  </si>
  <si>
    <t xml:space="preserve">Objectif : Est-ce qu'il est oportun d'augmenter le capital </t>
  </si>
  <si>
    <t>Le med2 ne sera lancé que dans 5 ans, on aura donc un décalage entre les ressources et les dépenses</t>
  </si>
  <si>
    <t>Sachant qu'on dépense en moyenne 500M€ par an en R&amp;D</t>
  </si>
  <si>
    <t xml:space="preserve">Réflechir à des solutions (vente de brevets, M&amp;A, ….) Faire des propositions concrètes </t>
  </si>
  <si>
    <t xml:space="preserve">Trouver une entreptise dont le cycle des produits qui est cohérent avec le notre </t>
  </si>
  <si>
    <t>Décroissance cf</t>
  </si>
  <si>
    <t>Année d'actualisation</t>
  </si>
  <si>
    <t>Trésorerie des scénarios</t>
  </si>
  <si>
    <t>Scénario 1: Reussite de tous les projets</t>
  </si>
  <si>
    <t>Somme de tréso a financer</t>
  </si>
  <si>
    <t>Nbr Année à financer</t>
  </si>
  <si>
    <t>Montant</t>
  </si>
  <si>
    <t>Année à financer</t>
  </si>
  <si>
    <t>Med 1,2,3</t>
  </si>
  <si>
    <t>Worst Case</t>
  </si>
  <si>
    <t>Med 1</t>
  </si>
  <si>
    <t>Best Case</t>
  </si>
  <si>
    <t>Med 2</t>
  </si>
  <si>
    <t>-105</t>
  </si>
  <si>
    <t>-45</t>
  </si>
  <si>
    <t>Med 3</t>
  </si>
  <si>
    <t>-195</t>
  </si>
  <si>
    <t>-75</t>
  </si>
  <si>
    <t>CF Nets</t>
  </si>
  <si>
    <t xml:space="preserve">CF Actualisés </t>
  </si>
  <si>
    <t>Médicaments existnat</t>
  </si>
  <si>
    <t>CF Actualisés</t>
  </si>
  <si>
    <t>Thydrine</t>
  </si>
  <si>
    <t>CFI</t>
  </si>
  <si>
    <t>CFE</t>
  </si>
  <si>
    <t>CF actualisés</t>
  </si>
  <si>
    <t>Total CF Actualisés</t>
  </si>
  <si>
    <t>Trésorerie</t>
  </si>
  <si>
    <t>Evaluation de l'entreprise</t>
  </si>
  <si>
    <t>Dispo</t>
  </si>
  <si>
    <t>VMP</t>
  </si>
  <si>
    <t>Valeur de l'entreprise</t>
  </si>
  <si>
    <t>Nombre d'actions</t>
  </si>
  <si>
    <t>Prix d'une action</t>
  </si>
  <si>
    <t>Scénarios: Echec d'un projet</t>
  </si>
  <si>
    <t>Scénario 2: Echec Med 1 phase II - Reussite des autres médicaments</t>
  </si>
  <si>
    <t>Année</t>
  </si>
  <si>
    <t>Moyenne de trésorie</t>
  </si>
  <si>
    <t>CF Actualisés scenarios sous traitant 1</t>
  </si>
  <si>
    <t>CFI Réussite</t>
  </si>
  <si>
    <t>Echec Phase 1</t>
  </si>
  <si>
    <t>Echec Phase 2</t>
  </si>
  <si>
    <t>CFE réussite</t>
  </si>
  <si>
    <t>Somme</t>
  </si>
  <si>
    <t>CF netsous traitant 1</t>
  </si>
  <si>
    <t>Somme réussite</t>
  </si>
  <si>
    <t>Scénario 3:Echec Med 1 phase I - Reussite des autres médicaments</t>
  </si>
  <si>
    <t>Scénario 4: Med 2 phase II - Reussite des autres médicaments</t>
  </si>
  <si>
    <t>Scénario 5: Echec Med 2 phase I - Reussite de tous les projets</t>
  </si>
  <si>
    <t>Scénario 6: Echec Med 3 phase II - Reussite de tous les projets</t>
  </si>
  <si>
    <t>Scénario 7: Echec Med 3 phase I - Reussite de tous les projets</t>
  </si>
  <si>
    <t>Scénario 8: Echec Thyrdine Phase II - Reussite de tous les projets</t>
  </si>
  <si>
    <t>Scénario 9: Echec thydrine phase I - Reussite de tous les projets</t>
  </si>
  <si>
    <t xml:space="preserve">Scénarios : Echec de 2 projets </t>
  </si>
  <si>
    <t>Scénario 10: Echec Med 1 phase II et Med 2 phase II - Reussite de tous les projets</t>
  </si>
  <si>
    <t>Scénario 11: Echecs Med 1 phase I et med 2 phase II - Reussite de tous les projets</t>
  </si>
  <si>
    <t>Scénario 12: Echec Med 1 phase 2 et med 2 phase I Reussite de tous les projets</t>
  </si>
  <si>
    <t>Scénario 13: Echecs Med 1 phase I et med 2 phase I Reussite de tous les projets</t>
  </si>
  <si>
    <t>Scénario 14: Echecs Med 1 phase II et Med 3 phase II - Reussite de tous les projets</t>
  </si>
  <si>
    <t>Scénario 15: Echecs Med 1 - phase I et med 3 phase II - Reussite de tous les projets</t>
  </si>
  <si>
    <t>Scénario 16: Echecs Med 2 phase II et Med 3 phase II -  Reussite de tous les projets</t>
  </si>
  <si>
    <t>Scénario 17: Echecs Med 2 phase I et med 3 phase II - Reussite de tous les projets</t>
  </si>
  <si>
    <t>Scénario 18: Echecs Med 1 phase II et med 3 phase I - Reussite de tous les projets</t>
  </si>
  <si>
    <t>Scénario 19: Echecs Med 1 phase I et med 3 phase I - Reussite de tous les projets</t>
  </si>
  <si>
    <t>Scénario 20: Echces Med 2 phase II et med 3 phase I -  Reussite de tous les projets</t>
  </si>
  <si>
    <t>Scénario 21:  Echecs Med 2 phase I et Med 3 phase I - Reussite de tous les projets</t>
  </si>
  <si>
    <t>Scénario 22: Echecs Med 1 phase II et thydrine phase 2 - Reussite de tous les projets</t>
  </si>
  <si>
    <t>Scénario 23: Echecs Med 1 phase I et Thydrine phase 2 - Reussite de tous les projets</t>
  </si>
  <si>
    <t>Scénario 24: Echecs med 2 phase II et thydrine phase 2 - Reussite de tous les projets</t>
  </si>
  <si>
    <t>Scénario 25: Echecs Med 2 phase I et Thydrine phase 2 - Reussite de tous les projets</t>
  </si>
  <si>
    <t>Scénario 26: Echecs Med 3 phase II et thydrine phase 2 - Reussite de tous les projets</t>
  </si>
  <si>
    <t>Scénario 27: Echecs med 3 phase I et thydrine phase 2 - Reussite de tous les projets</t>
  </si>
  <si>
    <t>Scénario 28: Echecs Med 1 phase II et Thdydrine phase 1 - Reussite de tous les projets</t>
  </si>
  <si>
    <t>Scénario 29: Echecs Med 1 phase I et thyrdrine phase I - Reussite de tous les projets</t>
  </si>
  <si>
    <t>Scénario 30: Echecs Med 2 en phase II et thyrdine phase I - Reussite de tous les projets</t>
  </si>
  <si>
    <t>Scénario 31: Echecs Med 2 phase I et thyrdine phase I - Reussite de tous les projets</t>
  </si>
  <si>
    <t>Scénario 32: Echces Med 3 phase II et thyrdine phase I - Reussite de tous les projets</t>
  </si>
  <si>
    <t>Scénario 33: Echecs med 3 phase I et thyrdine phase I - Reussite de tous les projets</t>
  </si>
  <si>
    <t xml:space="preserve">80% sur 10 ans (8%/an) puis 20% sur 6 ans </t>
  </si>
  <si>
    <t>Cash flows net</t>
  </si>
  <si>
    <t>Total à financer</t>
  </si>
  <si>
    <t>Hypothèse 1: Moyenne des trésoreries des 33 scénarios</t>
  </si>
  <si>
    <t>Nombre d'années</t>
  </si>
  <si>
    <t>Hypothèse 2: Worst case plus élevée financement</t>
  </si>
  <si>
    <t>Hypothèse 3: Worst nombre d'années à financer</t>
  </si>
  <si>
    <t>Hypothèses 4: Best case moins élevé financement</t>
  </si>
  <si>
    <t>Hypothèse 5: Best case nombre d'années à financer</t>
  </si>
  <si>
    <t>Hypothèse 6: Réussite de tous les projets</t>
  </si>
  <si>
    <t>Valeur de l'action</t>
  </si>
  <si>
    <t>Nombre d'actions 
aujourd'hui</t>
  </si>
  <si>
    <t>Nombre d'actions 
après augmentation K</t>
  </si>
  <si>
    <t>Nombre d'actions total</t>
  </si>
  <si>
    <t>VPM</t>
  </si>
  <si>
    <t>Disponibilités</t>
  </si>
  <si>
    <t>Total Trésorerie</t>
  </si>
  <si>
    <t>Augmentation Capital</t>
  </si>
  <si>
    <t>Rentabilité moyenne 
SBF 120</t>
  </si>
  <si>
    <t>Rentabilité Moyenne
 Hormopharm</t>
  </si>
  <si>
    <t>Aujoud'hui</t>
  </si>
  <si>
    <t>Après Augmentation K</t>
  </si>
  <si>
    <t>Thyrdine</t>
  </si>
  <si>
    <t>VAN de l'entreprise</t>
  </si>
  <si>
    <t>Sur Ou Sous évaluation</t>
  </si>
  <si>
    <t>Sur ou Sous évaluation</t>
  </si>
  <si>
    <t>Phase I</t>
  </si>
  <si>
    <t>Réussite 
tous les médicaments</t>
  </si>
  <si>
    <t>Réussite</t>
  </si>
  <si>
    <t>Echec d'un médicament 
et réussites des trois autres</t>
  </si>
  <si>
    <t>Scénario 4</t>
  </si>
  <si>
    <t>Scénario 5</t>
  </si>
  <si>
    <t>Scénario 6</t>
  </si>
  <si>
    <t>Scénario 7</t>
  </si>
  <si>
    <t>Scénario 8</t>
  </si>
  <si>
    <t>Scénario 9</t>
  </si>
  <si>
    <t>Réussite de deux médicaments 
et échec des deux autres</t>
  </si>
  <si>
    <t>Scénario 10</t>
  </si>
  <si>
    <t>Scénario 11</t>
  </si>
  <si>
    <t>Scénario 12</t>
  </si>
  <si>
    <t>Scénario 13</t>
  </si>
  <si>
    <t>Scénario 14</t>
  </si>
  <si>
    <t>Scénario 15</t>
  </si>
  <si>
    <t>Scénario 16</t>
  </si>
  <si>
    <t>Scénario 17</t>
  </si>
  <si>
    <t>Scénario 18</t>
  </si>
  <si>
    <t>Scénario 19</t>
  </si>
  <si>
    <t>Scénario 20</t>
  </si>
  <si>
    <t>Scénario 21</t>
  </si>
  <si>
    <t>Scénario 22</t>
  </si>
  <si>
    <t>Scénario 23</t>
  </si>
  <si>
    <t>Scénario 24</t>
  </si>
  <si>
    <t>Scénario 25</t>
  </si>
  <si>
    <t>Scénario 26</t>
  </si>
  <si>
    <t>Scénario 27</t>
  </si>
  <si>
    <t>Scénario 28</t>
  </si>
  <si>
    <t>Scénario 29</t>
  </si>
  <si>
    <t>Scénario 30</t>
  </si>
  <si>
    <t>Scénario 31</t>
  </si>
  <si>
    <t>Scénario 32</t>
  </si>
  <si>
    <t>Scénario 33</t>
  </si>
  <si>
    <t>Rentabilité  SBF 120</t>
  </si>
  <si>
    <t>Rentabilité Hormopharm</t>
  </si>
  <si>
    <t>HYPOTHESE RETENUE</t>
  </si>
  <si>
    <t>Ligne de tréso</t>
  </si>
  <si>
    <t>ANALYSE DE LA SITUATION ACTUELLE</t>
  </si>
  <si>
    <t>Sources de financement depuis 1954</t>
  </si>
  <si>
    <t>Source</t>
  </si>
  <si>
    <t>Interne</t>
  </si>
  <si>
    <t>Privé</t>
  </si>
  <si>
    <t>Public</t>
  </si>
  <si>
    <t>Bilan de 2006 à 2008</t>
  </si>
  <si>
    <t>ACTIF</t>
  </si>
  <si>
    <t>Immobilisations incorporelles nettes</t>
  </si>
  <si>
    <t>Ecarts d'acquisition</t>
  </si>
  <si>
    <t>PASSIF</t>
  </si>
  <si>
    <t>Brevets, licences, frais de R&amp;D</t>
  </si>
  <si>
    <t>Capitaux propres</t>
  </si>
  <si>
    <t>Capital social</t>
  </si>
  <si>
    <t>Immobilisations corporelles nettes</t>
  </si>
  <si>
    <t>Primes et réserves consolidées</t>
  </si>
  <si>
    <t>Immobilisations financières</t>
  </si>
  <si>
    <t>Résultat de l'exercice</t>
  </si>
  <si>
    <t>Sociétés mises en équivalence</t>
  </si>
  <si>
    <t>Ecart de conversion</t>
  </si>
  <si>
    <t>Autres participations</t>
  </si>
  <si>
    <t>Total des capitaux propres</t>
  </si>
  <si>
    <t>Autres valeurs immobilisées</t>
  </si>
  <si>
    <t>Emprunts à long terme</t>
  </si>
  <si>
    <t>Total des valeurs immobilisées</t>
  </si>
  <si>
    <t>Provisions et autres passifs à long terme</t>
  </si>
  <si>
    <t>Impôts différés</t>
  </si>
  <si>
    <t>Stocks</t>
  </si>
  <si>
    <t>Fournisseurs et comptes rattachés</t>
  </si>
  <si>
    <t>Clients et comptes rattachés</t>
  </si>
  <si>
    <t>Autres passifs circulants</t>
  </si>
  <si>
    <t>Autres actifs circulants</t>
  </si>
  <si>
    <t>Dettes financières à moins d'un an</t>
  </si>
  <si>
    <t>Valeurs mobilières de placement</t>
  </si>
  <si>
    <t>Total du passif</t>
  </si>
  <si>
    <t>Diponibilités</t>
  </si>
  <si>
    <t>Total de l'actif circulant</t>
  </si>
  <si>
    <t>Total de l'actif</t>
  </si>
  <si>
    <t>ANALYSE DES RATIOS</t>
  </si>
  <si>
    <t>Passif</t>
  </si>
  <si>
    <t>Normes</t>
  </si>
  <si>
    <t>Commentaires</t>
  </si>
  <si>
    <t>Endettement global</t>
  </si>
  <si>
    <t>&lt;70%</t>
  </si>
  <si>
    <t>Correct mais augmente dangeureusement à cause des emprunts à LT</t>
  </si>
  <si>
    <t>Total Passif</t>
  </si>
  <si>
    <t>Risque liquidatif</t>
  </si>
  <si>
    <t>&gt;30%</t>
  </si>
  <si>
    <t>Correct mais a diminué à cause de l'augmentation des dettes</t>
  </si>
  <si>
    <t>Dettes MLT</t>
  </si>
  <si>
    <t>Autonomie financière</t>
  </si>
  <si>
    <t>&gt;50%</t>
  </si>
  <si>
    <t>Diminue dangereusement à cause des dettes - encore correct en 2008</t>
  </si>
  <si>
    <t>Rentabilité financière</t>
  </si>
  <si>
    <t>Chute et n'est pas satisfaisante / Résultat négatif en 2008 !</t>
  </si>
  <si>
    <t>Recours à l'augmentation de capital</t>
  </si>
  <si>
    <t>depuis 2005</t>
  </si>
  <si>
    <t>Capital dégagé</t>
  </si>
  <si>
    <t>Rentabilité marché</t>
  </si>
  <si>
    <t>Nombre d'actions à émettre</t>
  </si>
  <si>
    <t>Rentabilité hormopharm</t>
  </si>
  <si>
    <t>Répartition actionnariat 2007</t>
  </si>
  <si>
    <t>Répartition actionnariat 2009</t>
  </si>
  <si>
    <t>Variation</t>
  </si>
  <si>
    <t>Recours à l'emprunt bancaire</t>
  </si>
  <si>
    <t>Emprunt Bancaire</t>
  </si>
  <si>
    <t>Les ratios d'endettement sont bons, Ils permettent d'absorber les nouveaux emprunts</t>
  </si>
  <si>
    <t>Solution mixte - emprunt et augmentation de capital</t>
  </si>
  <si>
    <t>Permet de limiter la dilution des actionnaires</t>
  </si>
  <si>
    <t xml:space="preserve">Maintien les niveaux des ratios </t>
  </si>
  <si>
    <t>Solution plus abordable mais pas optimale : ça ne résoud pas le problème de trésorerie à long terme. De plus, même un emprunt à 60M€ sera difficile à souscrire, et dégradera nos ratios.</t>
  </si>
  <si>
    <t>Emprunt -- 50%</t>
  </si>
  <si>
    <t>Emprunter 60 millions d'euros permet de ne pas dégrader les ratios d'endettement de l'entreprise qui sont dans les normes.</t>
  </si>
  <si>
    <t xml:space="preserve">Pour limiter le besoin en trésorerie, nous pourrions mettre en place une/des Joint Venture avec des laboratoires qui ont beaucoup de Cash. </t>
  </si>
  <si>
    <t>Ainsi nous proposons en premier lieu de financer Med 1 de cette manière, puisque c'est le projet qui est le plus cher à développer.</t>
  </si>
  <si>
    <t>En K€</t>
  </si>
  <si>
    <t>Cours de l'action (12/08)</t>
  </si>
  <si>
    <t>Parité</t>
  </si>
  <si>
    <t>Parité + Prime 20%</t>
  </si>
  <si>
    <t>Parité + Prime 25%</t>
  </si>
  <si>
    <t>Offre possible sans prime d'acquisition</t>
  </si>
  <si>
    <t>+</t>
  </si>
  <si>
    <t>pour</t>
  </si>
  <si>
    <t>Actions Hormopharm</t>
  </si>
  <si>
    <t>Offre possible avec prime d'acquisition 20%</t>
  </si>
  <si>
    <t>Nombre d'actions Hormopharm</t>
  </si>
  <si>
    <t>Offre possible avec prime d'acquisition 25%</t>
  </si>
  <si>
    <t>Cash dégagé par l'opération en cas d'échange de la totalité des actions Hormorpharm</t>
  </si>
  <si>
    <t xml:space="preserve">% du capital de Sanofi détenu </t>
  </si>
  <si>
    <t>Sans prime d'émission</t>
  </si>
  <si>
    <t>Avec prime 20%</t>
  </si>
  <si>
    <t>Avec prime 25%</t>
  </si>
  <si>
    <t>Sur 1 des 3 med ont peut s'associer. Celui qui coute le moins cher</t>
  </si>
  <si>
    <t>Nombre d'actions Pfizer</t>
  </si>
  <si>
    <t>Pfizer</t>
  </si>
  <si>
    <t>Nombre d'actions Pfizer obtenues</t>
  </si>
  <si>
    <t>Action Pfizer</t>
  </si>
  <si>
    <t>Med I</t>
  </si>
  <si>
    <t>Phase 1</t>
  </si>
  <si>
    <t xml:space="preserve">Taux d'actualisation </t>
  </si>
  <si>
    <t>Coût de développement</t>
  </si>
  <si>
    <t>Nombre d'années en négatif</t>
  </si>
  <si>
    <t>Année d'actu</t>
  </si>
  <si>
    <t>Med II</t>
  </si>
  <si>
    <t>Coût du developpement</t>
  </si>
  <si>
    <t>Scénario 1 Hormopharm avec JV</t>
  </si>
  <si>
    <t>Réussite totale</t>
  </si>
  <si>
    <t>en millions d'€</t>
  </si>
  <si>
    <t xml:space="preserve">   CF Med 1</t>
  </si>
  <si>
    <t xml:space="preserve">   CF Med 2</t>
  </si>
  <si>
    <t xml:space="preserve">   CF Med 3</t>
  </si>
  <si>
    <t xml:space="preserve">   CF Med existants</t>
  </si>
  <si>
    <t>Total CF</t>
  </si>
  <si>
    <t xml:space="preserve"> Total CF Thyrdine</t>
  </si>
  <si>
    <t>CF total</t>
  </si>
  <si>
    <t>Trésorerie sans Joint-Venture</t>
  </si>
  <si>
    <t>Amélioration/Perte de la trésorerie</t>
  </si>
  <si>
    <t>Hormopharm supporte 51% des coûts</t>
  </si>
  <si>
    <t>Trésorerie de départ Hormopharm</t>
  </si>
  <si>
    <t xml:space="preserve">Revente </t>
  </si>
  <si>
    <t>Pfizer supporte 49% des coûts</t>
  </si>
  <si>
    <t>Augmentation du capital  -- 100%</t>
  </si>
  <si>
    <t>Revente du Med II</t>
  </si>
  <si>
    <t>Joint venture - Med 1 &amp; Med III</t>
  </si>
  <si>
    <t>Hypothèse joint-venture MED I &amp; MED III</t>
  </si>
  <si>
    <t>Free cash flow Pfizer</t>
  </si>
  <si>
    <t>Source : Bloomberg</t>
  </si>
  <si>
    <t>En Milliards d'$</t>
  </si>
  <si>
    <t>2013 réel</t>
  </si>
  <si>
    <t>2014 estm</t>
  </si>
  <si>
    <t>2015 estm</t>
  </si>
  <si>
    <t>2016 estm</t>
  </si>
  <si>
    <t>2017 estm</t>
  </si>
  <si>
    <t>Prix unitaire produit générique 1&amp; 2</t>
  </si>
  <si>
    <t>Rentabilité commercial :EBE/ CA</t>
  </si>
  <si>
    <t>Concurrent 1</t>
  </si>
  <si>
    <t>Concurrent 2</t>
  </si>
  <si>
    <t>Concurrent 3</t>
  </si>
  <si>
    <t>Analyse des parts de marchés</t>
  </si>
  <si>
    <t>M€</t>
  </si>
  <si>
    <t xml:space="preserve">Ceci permettrait de faire une économie de 667 millions d'euros en première année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</si>
</sst>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0.00\ &quot;€&quot;;[Red]\-#,##0.00\ &quot;€&quot;"/>
    <numFmt numFmtId="44" formatCode="_-* #,##0.00\ &quot;€&quot;_-;\-* #,##0.00\ &quot;€&quot;_-;_-* &quot;-&quot;??\ &quot;€&quot;_-;_-@_-"/>
    <numFmt numFmtId="43" formatCode="_-* #,##0.00\ _€_-;\-* #,##0.00\ _€_-;_-* &quot;-&quot;??\ _€_-;_-@_-"/>
    <numFmt numFmtId="164" formatCode="_ * #,##0.00_)\ _€_ ;_ * \(#,##0.00\)\ _€_ ;_ * &quot;-&quot;??_)\ _€_ ;_ @_ "/>
    <numFmt numFmtId="165" formatCode="_-* #,##0.00\ _€_-;\-* #,##0.00\ _€_-;_-* \-??\ _€_-;_-@_-"/>
    <numFmt numFmtId="166" formatCode="_-* #,##0\ _€_-;\-* #,##0\ _€_-;_-* \-??\ _€_-;_-@_-"/>
    <numFmt numFmtId="167" formatCode="#,##0\ _€"/>
    <numFmt numFmtId="168" formatCode="0.00000"/>
    <numFmt numFmtId="169" formatCode="#,##0.00\ _€"/>
    <numFmt numFmtId="170" formatCode="0.000%"/>
    <numFmt numFmtId="171" formatCode="0.000000"/>
    <numFmt numFmtId="172" formatCode="_ * #,##0.000000_)\ _€_ ;_ * \(#,##0.000000\)\ _€_ ;_ * &quot;-&quot;??_)\ _€_ ;_ @_ "/>
    <numFmt numFmtId="173" formatCode="0.0%"/>
    <numFmt numFmtId="174" formatCode="_-* #,##0\ _€_-;\-* #,##0\ _€_-;_-* &quot;-&quot;??\ _€_-;_-@_-"/>
    <numFmt numFmtId="175" formatCode="#,##0.00_ ;\-#,##0.00\ "/>
    <numFmt numFmtId="176" formatCode="#,##0_ ;\-#,##0\ "/>
    <numFmt numFmtId="177" formatCode="#,##0.0\ _€"/>
    <numFmt numFmtId="178" formatCode="_-* #,##0.00\ [$€-40C]_-;\-* #,##0.00\ [$€-40C]_-;_-* &quot;-&quot;??\ [$€-40C]_-;_-@_-"/>
    <numFmt numFmtId="179" formatCode="_-* #,##0\ [$€-40C]_-;\-* #,##0\ [$€-40C]_-;_-* &quot;-&quot;??\ [$€-40C]_-;_-@_-"/>
    <numFmt numFmtId="180" formatCode="\ #,##0&quot;    &quot;;\-#,##0&quot;    &quot;;&quot; -&quot;#&quot;    &quot;;\ @\ "/>
    <numFmt numFmtId="181" formatCode="#,##0.000"/>
  </numFmts>
  <fonts count="107">
    <font>
      <sz val="11"/>
      <color theme="1"/>
      <name val="Calibri"/>
      <family val="2"/>
      <scheme val="minor"/>
    </font>
    <font>
      <sz val="11"/>
      <color theme="1"/>
      <name val="Calibri"/>
      <family val="2"/>
      <scheme val="minor"/>
    </font>
    <font>
      <b/>
      <sz val="11"/>
      <color theme="1"/>
      <name val="Calibri"/>
      <family val="2"/>
      <scheme val="minor"/>
    </font>
    <font>
      <b/>
      <sz val="11"/>
      <color indexed="59"/>
      <name val="Calibri"/>
      <family val="2"/>
      <charset val="1"/>
    </font>
    <font>
      <sz val="11"/>
      <color indexed="59"/>
      <name val="Calibri"/>
      <family val="2"/>
      <charset val="1"/>
    </font>
    <font>
      <u/>
      <sz val="11"/>
      <color theme="10"/>
      <name val="Calibri"/>
      <family val="2"/>
    </font>
    <font>
      <sz val="7.5"/>
      <color rgb="FF000000"/>
      <name val="Arial"/>
      <family val="2"/>
    </font>
    <font>
      <b/>
      <sz val="10"/>
      <color rgb="FF000000"/>
      <name val="Arial"/>
      <family val="2"/>
    </font>
    <font>
      <sz val="10"/>
      <color rgb="FF000000"/>
      <name val="Arial"/>
      <family val="2"/>
    </font>
    <font>
      <sz val="24"/>
      <color indexed="59"/>
      <name val="Calibri"/>
      <family val="2"/>
      <charset val="1"/>
    </font>
    <font>
      <sz val="18"/>
      <color indexed="59"/>
      <name val="Calibri"/>
      <family val="2"/>
      <charset val="1"/>
    </font>
    <font>
      <sz val="8"/>
      <color indexed="59"/>
      <name val="Calibri"/>
      <family val="2"/>
      <charset val="1"/>
    </font>
    <font>
      <b/>
      <sz val="11"/>
      <color indexed="19"/>
      <name val="Calibri"/>
      <family val="2"/>
      <charset val="1"/>
    </font>
    <font>
      <b/>
      <sz val="11"/>
      <color theme="0"/>
      <name val="Calibri"/>
      <family val="2"/>
      <scheme val="minor"/>
    </font>
    <font>
      <b/>
      <sz val="14"/>
      <color theme="0"/>
      <name val="Calibri"/>
      <family val="2"/>
    </font>
    <font>
      <b/>
      <sz val="11"/>
      <color theme="0"/>
      <name val="Calibri"/>
      <family val="2"/>
      <charset val="1"/>
    </font>
    <font>
      <sz val="11"/>
      <color theme="0"/>
      <name val="Calibri"/>
      <family val="2"/>
      <charset val="1"/>
      <scheme val="minor"/>
    </font>
    <font>
      <sz val="20"/>
      <color theme="1"/>
      <name val="Calibri"/>
      <family val="2"/>
      <scheme val="minor"/>
    </font>
    <font>
      <b/>
      <u/>
      <sz val="13"/>
      <color theme="9"/>
      <name val="Calibri"/>
      <family val="2"/>
      <scheme val="minor"/>
    </font>
    <font>
      <sz val="9"/>
      <color indexed="81"/>
      <name val="Tahoma"/>
      <family val="2"/>
    </font>
    <font>
      <sz val="11"/>
      <color theme="0" tint="-0.34998626667073579"/>
      <name val="Calibri"/>
      <family val="2"/>
      <scheme val="minor"/>
    </font>
    <font>
      <b/>
      <sz val="10"/>
      <color theme="0"/>
      <name val="Arial"/>
      <family val="2"/>
    </font>
    <font>
      <b/>
      <sz val="11"/>
      <color theme="1" tint="4.9989318521683403E-2"/>
      <name val="Calibri"/>
      <family val="2"/>
      <scheme val="minor"/>
    </font>
    <font>
      <b/>
      <sz val="12"/>
      <color theme="0"/>
      <name val="Calibri"/>
      <family val="2"/>
      <scheme val="minor"/>
    </font>
    <font>
      <b/>
      <sz val="11"/>
      <color theme="1"/>
      <name val="Times New Roman"/>
      <family val="1"/>
    </font>
    <font>
      <sz val="11"/>
      <color theme="1"/>
      <name val="Calibri"/>
      <family val="2"/>
    </font>
    <font>
      <b/>
      <i/>
      <sz val="11"/>
      <color theme="1"/>
      <name val="Calibri"/>
      <family val="2"/>
      <scheme val="minor"/>
    </font>
    <font>
      <b/>
      <sz val="12"/>
      <color theme="8" tint="-0.499984740745262"/>
      <name val="Calibri"/>
      <family val="2"/>
    </font>
    <font>
      <b/>
      <sz val="11"/>
      <color theme="8" tint="-0.499984740745262"/>
      <name val="Calibri"/>
      <family val="2"/>
      <scheme val="minor"/>
    </font>
    <font>
      <b/>
      <i/>
      <sz val="12"/>
      <color theme="1"/>
      <name val="Calibri"/>
      <family val="2"/>
      <scheme val="minor"/>
    </font>
    <font>
      <b/>
      <i/>
      <sz val="12"/>
      <color theme="8" tint="-0.499984740745262"/>
      <name val="Calibri"/>
      <family val="2"/>
      <scheme val="minor"/>
    </font>
    <font>
      <b/>
      <i/>
      <sz val="11"/>
      <color theme="8" tint="-0.499984740745262"/>
      <name val="Calibri"/>
      <family val="2"/>
      <scheme val="minor"/>
    </font>
    <font>
      <b/>
      <i/>
      <sz val="11"/>
      <color theme="9"/>
      <name val="Calibri"/>
      <family val="2"/>
      <scheme val="minor"/>
    </font>
    <font>
      <b/>
      <sz val="11"/>
      <color theme="9"/>
      <name val="Calibri"/>
      <family val="2"/>
      <scheme val="minor"/>
    </font>
    <font>
      <sz val="11"/>
      <color theme="1"/>
      <name val="Times New Roman"/>
      <family val="1"/>
    </font>
    <font>
      <b/>
      <sz val="14"/>
      <color indexed="59"/>
      <name val="Times New Roman"/>
      <family val="1"/>
    </font>
    <font>
      <sz val="11"/>
      <color indexed="59"/>
      <name val="Times New Roman"/>
      <family val="1"/>
    </font>
    <font>
      <b/>
      <sz val="8"/>
      <color indexed="59"/>
      <name val="Times New Roman"/>
      <family val="1"/>
    </font>
    <font>
      <sz val="8"/>
      <color theme="1"/>
      <name val="Times New Roman"/>
      <family val="1"/>
    </font>
    <font>
      <b/>
      <sz val="11"/>
      <color indexed="59"/>
      <name val="Times New Roman"/>
      <family val="1"/>
    </font>
    <font>
      <b/>
      <sz val="11"/>
      <color theme="0"/>
      <name val="Times New Roman"/>
      <family val="1"/>
    </font>
    <font>
      <sz val="24"/>
      <color theme="3" tint="-0.249977111117893"/>
      <name val="Calibri"/>
      <family val="2"/>
      <charset val="1"/>
    </font>
    <font>
      <b/>
      <sz val="11"/>
      <color theme="3" tint="-0.249977111117893"/>
      <name val="Calibri"/>
      <family val="2"/>
    </font>
    <font>
      <sz val="12"/>
      <color theme="1"/>
      <name val="Calibri"/>
      <family val="2"/>
      <scheme val="minor"/>
    </font>
    <font>
      <b/>
      <sz val="12"/>
      <color theme="1"/>
      <name val="Calibri"/>
      <family val="2"/>
      <scheme val="minor"/>
    </font>
    <font>
      <sz val="11"/>
      <color theme="0"/>
      <name val="Calibri"/>
      <family val="2"/>
      <scheme val="minor"/>
    </font>
    <font>
      <sz val="12"/>
      <color theme="0"/>
      <name val="Calibri"/>
      <family val="2"/>
      <scheme val="minor"/>
    </font>
    <font>
      <i/>
      <sz val="11"/>
      <color theme="1"/>
      <name val="Calibri"/>
      <family val="2"/>
      <scheme val="minor"/>
    </font>
    <font>
      <sz val="11"/>
      <color theme="4"/>
      <name val="Calibri"/>
      <family val="2"/>
      <scheme val="minor"/>
    </font>
    <font>
      <b/>
      <sz val="11"/>
      <color theme="0" tint="-0.14999847407452621"/>
      <name val="Calibri"/>
      <family val="2"/>
      <scheme val="minor"/>
    </font>
    <font>
      <u/>
      <sz val="11"/>
      <color theme="11"/>
      <name val="Calibri"/>
      <family val="2"/>
      <scheme val="minor"/>
    </font>
    <font>
      <b/>
      <sz val="22"/>
      <color theme="1"/>
      <name val="Calibri"/>
      <family val="2"/>
      <scheme val="minor"/>
    </font>
    <font>
      <b/>
      <sz val="22"/>
      <color theme="4" tint="-0.249977111117893"/>
      <name val="Calibri"/>
      <family val="2"/>
      <scheme val="minor"/>
    </font>
    <font>
      <b/>
      <sz val="28"/>
      <color theme="4" tint="-0.249977111117893"/>
      <name val="Calibri"/>
      <family val="2"/>
      <scheme val="minor"/>
    </font>
    <font>
      <sz val="22"/>
      <color theme="1"/>
      <name val="Calibri"/>
      <family val="2"/>
      <scheme val="minor"/>
    </font>
    <font>
      <sz val="14"/>
      <color theme="1"/>
      <name val="Calibri"/>
      <family val="2"/>
      <scheme val="minor"/>
    </font>
    <font>
      <b/>
      <sz val="16"/>
      <name val="Calibri"/>
      <family val="2"/>
      <scheme val="minor"/>
    </font>
    <font>
      <sz val="16"/>
      <color theme="1"/>
      <name val="Calibri"/>
      <family val="2"/>
      <scheme val="minor"/>
    </font>
    <font>
      <b/>
      <sz val="16"/>
      <color theme="1"/>
      <name val="Calibri"/>
      <family val="2"/>
      <scheme val="minor"/>
    </font>
    <font>
      <sz val="16"/>
      <name val="Calibri"/>
      <family val="2"/>
      <scheme val="minor"/>
    </font>
    <font>
      <b/>
      <sz val="18"/>
      <color indexed="81"/>
      <name val="Tahoma"/>
      <family val="2"/>
    </font>
    <font>
      <b/>
      <sz val="12"/>
      <name val="Calibri"/>
      <family val="2"/>
      <scheme val="minor"/>
    </font>
    <font>
      <b/>
      <sz val="12"/>
      <color theme="3"/>
      <name val="Times New Roman"/>
      <family val="1"/>
    </font>
    <font>
      <b/>
      <sz val="14"/>
      <color rgb="FFFFFFFF"/>
      <name val="Calibri"/>
      <family val="2"/>
      <scheme val="minor"/>
    </font>
    <font>
      <sz val="11"/>
      <color theme="3"/>
      <name val="Calibri"/>
      <family val="2"/>
      <scheme val="minor"/>
    </font>
    <font>
      <b/>
      <sz val="11"/>
      <color theme="3"/>
      <name val="Calibri"/>
      <family val="2"/>
      <scheme val="minor"/>
    </font>
    <font>
      <i/>
      <sz val="11"/>
      <color theme="3"/>
      <name val="Calibri"/>
      <family val="2"/>
      <scheme val="minor"/>
    </font>
    <font>
      <b/>
      <sz val="11"/>
      <color theme="9" tint="-0.249977111117893"/>
      <name val="Calibri"/>
      <family val="2"/>
      <scheme val="minor"/>
    </font>
    <font>
      <b/>
      <sz val="18"/>
      <color rgb="FF000000"/>
      <name val="Calibri"/>
      <family val="2"/>
    </font>
    <font>
      <b/>
      <sz val="14"/>
      <color rgb="FF000000"/>
      <name val="Calibri"/>
      <family val="2"/>
    </font>
    <font>
      <sz val="14"/>
      <color rgb="FF000000"/>
      <name val="Calibri"/>
      <family val="2"/>
    </font>
    <font>
      <sz val="14"/>
      <name val="Calibri"/>
      <family val="2"/>
    </font>
    <font>
      <sz val="12"/>
      <color rgb="FF000000"/>
      <name val="Calibri"/>
      <family val="2"/>
    </font>
    <font>
      <b/>
      <sz val="14"/>
      <name val="Calibri"/>
      <family val="2"/>
    </font>
    <font>
      <b/>
      <sz val="18"/>
      <name val="Calibri"/>
      <family val="2"/>
    </font>
    <font>
      <b/>
      <sz val="16"/>
      <color rgb="FF000000"/>
      <name val="Calibri"/>
      <family val="2"/>
    </font>
    <font>
      <b/>
      <sz val="20"/>
      <color rgb="FF000000"/>
      <name val="Calibri"/>
      <family val="2"/>
    </font>
    <font>
      <sz val="26"/>
      <color rgb="FF000000"/>
      <name val="Calibri"/>
      <family val="2"/>
    </font>
    <font>
      <b/>
      <sz val="16"/>
      <name val="Calibri"/>
      <family val="2"/>
    </font>
    <font>
      <sz val="16"/>
      <color rgb="FF000000"/>
      <name val="Calibri"/>
      <family val="2"/>
    </font>
    <font>
      <sz val="11"/>
      <name val="Calibri"/>
      <family val="2"/>
    </font>
    <font>
      <b/>
      <sz val="22"/>
      <color rgb="FF000000"/>
      <name val="Calibri"/>
      <family val="2"/>
    </font>
    <font>
      <sz val="12"/>
      <color rgb="FF008000"/>
      <name val="Calibri"/>
      <family val="2"/>
      <scheme val="minor"/>
    </font>
    <font>
      <sz val="12"/>
      <color rgb="FFFF0000"/>
      <name val="Calibri"/>
      <family val="2"/>
      <scheme val="minor"/>
    </font>
    <font>
      <sz val="12"/>
      <color rgb="FF000000"/>
      <name val="Calibri"/>
      <family val="2"/>
      <scheme val="minor"/>
    </font>
    <font>
      <sz val="12"/>
      <color theme="3"/>
      <name val="Calibri"/>
      <family val="2"/>
      <scheme val="minor"/>
    </font>
    <font>
      <b/>
      <i/>
      <sz val="11"/>
      <color theme="3"/>
      <name val="Calibri"/>
      <family val="2"/>
      <scheme val="minor"/>
    </font>
    <font>
      <sz val="12"/>
      <color theme="3" tint="-0.249977111117893"/>
      <name val="Calibri"/>
      <family val="2"/>
      <scheme val="minor"/>
    </font>
    <font>
      <b/>
      <sz val="11"/>
      <color theme="3" tint="-0.249977111117893"/>
      <name val="Calibri"/>
      <family val="2"/>
      <scheme val="minor"/>
    </font>
    <font>
      <sz val="11"/>
      <color theme="3" tint="-0.499984740745262"/>
      <name val="Calibri"/>
      <family val="2"/>
      <scheme val="minor"/>
    </font>
    <font>
      <b/>
      <sz val="18"/>
      <color theme="1"/>
      <name val="Calibri"/>
      <family val="2"/>
      <scheme val="minor"/>
    </font>
    <font>
      <b/>
      <sz val="14"/>
      <color theme="1"/>
      <name val="Calibri"/>
      <family val="2"/>
      <scheme val="minor"/>
    </font>
    <font>
      <sz val="14"/>
      <color rgb="FF000000"/>
      <name val="Calibri"/>
      <family val="2"/>
      <scheme val="minor"/>
    </font>
    <font>
      <sz val="11"/>
      <name val="Calibri"/>
      <family val="2"/>
      <scheme val="minor"/>
    </font>
    <font>
      <sz val="11"/>
      <color theme="3" tint="-0.249977111117893"/>
      <name val="Calibri"/>
      <family val="2"/>
      <scheme val="minor"/>
    </font>
    <font>
      <b/>
      <sz val="11"/>
      <name val="Calibri"/>
      <family val="2"/>
      <scheme val="minor"/>
    </font>
    <font>
      <sz val="10"/>
      <name val="Arial"/>
      <family val="2"/>
    </font>
    <font>
      <b/>
      <sz val="11"/>
      <color rgb="FF2F2B20"/>
      <name val="Calibri"/>
      <family val="2"/>
      <charset val="1"/>
    </font>
    <font>
      <b/>
      <sz val="10"/>
      <name val="Arial"/>
      <family val="2"/>
    </font>
    <font>
      <sz val="11"/>
      <color indexed="59"/>
      <name val="Calibri"/>
      <family val="2"/>
    </font>
    <font>
      <b/>
      <sz val="10"/>
      <name val="Mangal"/>
      <family val="2"/>
    </font>
    <font>
      <i/>
      <sz val="10"/>
      <name val="Arial"/>
      <family val="2"/>
    </font>
    <font>
      <i/>
      <sz val="10"/>
      <name val="Mangal"/>
      <family val="2"/>
    </font>
    <font>
      <b/>
      <i/>
      <sz val="11"/>
      <color theme="4"/>
      <name val="Calibri"/>
      <family val="2"/>
      <scheme val="minor"/>
    </font>
    <font>
      <i/>
      <sz val="10"/>
      <color theme="1"/>
      <name val="Calibri"/>
      <family val="2"/>
      <scheme val="minor"/>
    </font>
    <font>
      <i/>
      <sz val="10"/>
      <color theme="0" tint="-0.499984740745262"/>
      <name val="Calibri"/>
      <family val="2"/>
      <scheme val="minor"/>
    </font>
    <font>
      <b/>
      <i/>
      <sz val="10"/>
      <color theme="0" tint="-0.499984740745262"/>
      <name val="Calibri"/>
      <family val="2"/>
      <scheme val="minor"/>
    </font>
  </fonts>
  <fills count="5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rgb="FFFFDF89"/>
        <bgColor indexed="64"/>
      </patternFill>
    </fill>
    <fill>
      <patternFill patternType="solid">
        <fgColor rgb="FFF1F1F1"/>
        <bgColor indexed="64"/>
      </patternFill>
    </fill>
    <fill>
      <patternFill patternType="solid">
        <fgColor rgb="FFFFFFFF"/>
        <bgColor indexed="64"/>
      </patternFill>
    </fill>
    <fill>
      <patternFill patternType="solid">
        <fgColor theme="0"/>
        <bgColor indexed="26"/>
      </patternFill>
    </fill>
    <fill>
      <patternFill patternType="solid">
        <fgColor theme="0"/>
        <bgColor indexed="15"/>
      </patternFill>
    </fill>
    <fill>
      <patternFill patternType="solid">
        <fgColor theme="3"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35"/>
      </patternFill>
    </fill>
    <fill>
      <patternFill patternType="solid">
        <fgColor theme="1" tint="0.499984740745262"/>
        <bgColor indexed="64"/>
      </patternFill>
    </fill>
    <fill>
      <patternFill patternType="solid">
        <fgColor theme="0" tint="-0.49998474074526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9" tint="0.79998168889431442"/>
        <bgColor indexed="35"/>
      </patternFill>
    </fill>
    <fill>
      <patternFill patternType="solid">
        <fgColor theme="0" tint="-4.9989318521683403E-2"/>
        <bgColor indexed="35"/>
      </patternFill>
    </fill>
    <fill>
      <patternFill patternType="solid">
        <fgColor theme="0" tint="-0.34998626667073579"/>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D9D9D9"/>
        <bgColor rgb="FF000000"/>
      </patternFill>
    </fill>
    <fill>
      <patternFill patternType="solid">
        <fgColor rgb="FFEBF1DE"/>
        <bgColor rgb="FF000000"/>
      </patternFill>
    </fill>
    <fill>
      <patternFill patternType="solid">
        <fgColor rgb="FFDDD9C4"/>
        <bgColor rgb="FF000000"/>
      </patternFill>
    </fill>
    <fill>
      <patternFill patternType="solid">
        <fgColor rgb="FFC4BD97"/>
        <bgColor rgb="FF000000"/>
      </patternFill>
    </fill>
    <fill>
      <patternFill patternType="solid">
        <fgColor rgb="FFC5D9F1"/>
        <bgColor rgb="FF000000"/>
      </patternFill>
    </fill>
    <fill>
      <patternFill patternType="solid">
        <fgColor theme="2" tint="-0.249977111117893"/>
        <bgColor indexed="64"/>
      </patternFill>
    </fill>
    <fill>
      <patternFill patternType="solid">
        <fgColor rgb="FFFF0000"/>
        <bgColor indexed="64"/>
      </patternFill>
    </fill>
    <fill>
      <patternFill patternType="solid">
        <fgColor rgb="FF008000"/>
        <bgColor indexed="64"/>
      </patternFill>
    </fill>
    <fill>
      <patternFill patternType="solid">
        <fgColor theme="3" tint="0.59999389629810485"/>
        <bgColor rgb="FF000000"/>
      </patternFill>
    </fill>
    <fill>
      <patternFill patternType="solid">
        <fgColor theme="3" tint="-0.249977111117893"/>
        <bgColor indexed="64"/>
      </patternFill>
    </fill>
    <fill>
      <patternFill patternType="solid">
        <fgColor theme="4"/>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3"/>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92D050"/>
        <bgColor indexed="64"/>
      </patternFill>
    </fill>
    <fill>
      <patternFill patternType="solid">
        <fgColor rgb="FFD9D9D9"/>
        <bgColor rgb="FFE4E0D7"/>
      </patternFill>
    </fill>
    <fill>
      <patternFill patternType="solid">
        <fgColor rgb="FFF2F2F2"/>
        <bgColor rgb="FFEBF2F2"/>
      </patternFill>
    </fill>
    <fill>
      <patternFill patternType="solid">
        <fgColor theme="3" tint="0.39997558519241921"/>
        <bgColor indexed="15"/>
      </patternFill>
    </fill>
  </fills>
  <borders count="159">
    <border>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diagonal/>
    </border>
    <border>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ck">
        <color rgb="FFFFFFFF"/>
      </left>
      <right/>
      <top/>
      <bottom/>
      <diagonal/>
    </border>
    <border>
      <left style="thick">
        <color rgb="FFEBEEEF"/>
      </left>
      <right/>
      <top/>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style="medium">
        <color auto="1"/>
      </top>
      <bottom style="medium">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top/>
      <bottom style="thin">
        <color theme="4" tint="0.39997558519241921"/>
      </bottom>
      <diagonal/>
    </border>
    <border>
      <left style="thin">
        <color auto="1"/>
      </left>
      <right/>
      <top style="thin">
        <color auto="1"/>
      </top>
      <bottom style="thin">
        <color theme="4" tint="0.39997558519241921"/>
      </bottom>
      <diagonal/>
    </border>
    <border>
      <left style="thin">
        <color auto="1"/>
      </left>
      <right style="thin">
        <color auto="1"/>
      </right>
      <top style="thin">
        <color auto="1"/>
      </top>
      <bottom style="thin">
        <color theme="4" tint="0.39997558519241921"/>
      </bottom>
      <diagonal/>
    </border>
    <border>
      <left/>
      <right style="thin">
        <color auto="1"/>
      </right>
      <top style="thin">
        <color auto="1"/>
      </top>
      <bottom style="thin">
        <color theme="4" tint="0.39997558519241921"/>
      </bottom>
      <diagonal/>
    </border>
    <border>
      <left style="thin">
        <color auto="1"/>
      </left>
      <right style="thin">
        <color auto="1"/>
      </right>
      <top style="thin">
        <color theme="4" tint="0.39997558519241921"/>
      </top>
      <bottom style="thin">
        <color theme="4" tint="0.39997558519241921"/>
      </bottom>
      <diagonal/>
    </border>
    <border>
      <left/>
      <right style="thin">
        <color auto="1"/>
      </right>
      <top style="thin">
        <color theme="4" tint="0.39997558519241921"/>
      </top>
      <bottom style="thin">
        <color theme="4" tint="0.39997558519241921"/>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style="thin">
        <color auto="1"/>
      </left>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dashDotDot">
        <color theme="4"/>
      </right>
      <top/>
      <bottom/>
      <diagonal/>
    </border>
    <border>
      <left/>
      <right style="dashDotDot">
        <color theme="4"/>
      </right>
      <top/>
      <bottom style="dashDotDot">
        <color theme="4"/>
      </bottom>
      <diagonal/>
    </border>
    <border>
      <left style="dashDotDot">
        <color theme="4"/>
      </left>
      <right/>
      <top style="dashDotDot">
        <color theme="4"/>
      </top>
      <bottom style="dashDotDot">
        <color theme="4"/>
      </bottom>
      <diagonal/>
    </border>
    <border>
      <left style="dashDotDot">
        <color theme="4"/>
      </left>
      <right style="dashDotDot">
        <color theme="4"/>
      </right>
      <top/>
      <bottom style="dashDotDot">
        <color theme="4"/>
      </bottom>
      <diagonal/>
    </border>
    <border>
      <left style="dashDotDot">
        <color theme="4"/>
      </left>
      <right style="dashDotDot">
        <color theme="4"/>
      </right>
      <top style="dashDotDot">
        <color theme="4"/>
      </top>
      <bottom style="dashDotDot">
        <color theme="4"/>
      </bottom>
      <diagonal/>
    </border>
    <border>
      <left/>
      <right/>
      <top style="thin">
        <color auto="1"/>
      </top>
      <bottom style="dashDotDot">
        <color theme="4"/>
      </bottom>
      <diagonal/>
    </border>
    <border>
      <left/>
      <right style="dashDotDot">
        <color theme="4"/>
      </right>
      <top style="dashDotDot">
        <color theme="4"/>
      </top>
      <bottom style="dashDotDot">
        <color theme="4"/>
      </bottom>
      <diagonal/>
    </border>
    <border>
      <left style="dashDotDot">
        <color theme="4"/>
      </left>
      <right style="dashDotDot">
        <color theme="4"/>
      </right>
      <top style="dashDotDot">
        <color theme="4"/>
      </top>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right/>
      <top/>
      <bottom style="dashDot">
        <color theme="4"/>
      </bottom>
      <diagonal/>
    </border>
    <border>
      <left style="dashDot">
        <color theme="4"/>
      </left>
      <right style="dashDot">
        <color theme="4"/>
      </right>
      <top style="dashDot">
        <color theme="4"/>
      </top>
      <bottom style="dashDot">
        <color theme="4"/>
      </bottom>
      <diagonal/>
    </border>
    <border>
      <left style="dashDot">
        <color theme="4"/>
      </left>
      <right/>
      <top style="dashDot">
        <color theme="4"/>
      </top>
      <bottom style="dashDot">
        <color theme="4"/>
      </bottom>
      <diagonal/>
    </border>
    <border>
      <left/>
      <right style="dashDot">
        <color theme="4"/>
      </right>
      <top style="dashDot">
        <color theme="4"/>
      </top>
      <bottom style="dashDot">
        <color theme="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medium">
        <color auto="1"/>
      </top>
      <bottom/>
      <diagonal/>
    </border>
    <border>
      <left style="medium">
        <color auto="1"/>
      </left>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indexed="8"/>
      </left>
      <right style="thin">
        <color indexed="8"/>
      </right>
      <top style="thin">
        <color indexed="8"/>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rgb="FF000000"/>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dashDot">
        <color theme="3"/>
      </right>
      <top style="thin">
        <color indexed="8"/>
      </top>
      <bottom/>
      <diagonal/>
    </border>
    <border>
      <left style="thin">
        <color auto="1"/>
      </left>
      <right style="dashDot">
        <color theme="3"/>
      </right>
      <top style="medium">
        <color auto="1"/>
      </top>
      <bottom style="medium">
        <color auto="1"/>
      </bottom>
      <diagonal/>
    </border>
    <border>
      <left style="dashDotDot">
        <color theme="4"/>
      </left>
      <right/>
      <top/>
      <bottom style="dashDotDot">
        <color theme="4"/>
      </bottom>
      <diagonal/>
    </border>
    <border>
      <left/>
      <right/>
      <top style="dashDotDot">
        <color theme="4"/>
      </top>
      <bottom style="dashDotDot">
        <color theme="4"/>
      </bottom>
      <diagonal/>
    </border>
    <border>
      <left style="thin">
        <color indexed="64"/>
      </left>
      <right/>
      <top style="thin">
        <color indexed="64"/>
      </top>
      <bottom style="thin">
        <color auto="1"/>
      </bottom>
      <diagonal/>
    </border>
    <border>
      <left style="dashDot">
        <color theme="3"/>
      </left>
      <right style="dashDot">
        <color theme="3"/>
      </right>
      <top style="dashDot">
        <color theme="3"/>
      </top>
      <bottom style="dashDot">
        <color theme="3"/>
      </bottom>
      <diagonal/>
    </border>
  </borders>
  <cellStyleXfs count="4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9" fontId="43"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4" fontId="1"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cellStyleXfs>
  <cellXfs count="1097">
    <xf numFmtId="0" fontId="0" fillId="0" borderId="0" xfId="0"/>
    <xf numFmtId="0" fontId="2" fillId="0" borderId="1" xfId="0" applyFont="1" applyBorder="1"/>
    <xf numFmtId="0" fontId="2" fillId="2" borderId="1" xfId="0" applyFont="1" applyFill="1" applyBorder="1" applyAlignment="1">
      <alignment horizontal="center"/>
    </xf>
    <xf numFmtId="10" fontId="0" fillId="0" borderId="0" xfId="0" applyNumberFormat="1"/>
    <xf numFmtId="0" fontId="2" fillId="0" borderId="0" xfId="0" applyFont="1" applyBorder="1" applyAlignment="1">
      <alignment horizontal="center"/>
    </xf>
    <xf numFmtId="10" fontId="2" fillId="3" borderId="1" xfId="0" applyNumberFormat="1" applyFont="1" applyFill="1" applyBorder="1" applyAlignment="1">
      <alignment horizontal="center" vertical="center"/>
    </xf>
    <xf numFmtId="0" fontId="0" fillId="0" borderId="0" xfId="0" applyBorder="1"/>
    <xf numFmtId="0" fontId="3" fillId="0" borderId="0" xfId="0" applyFont="1"/>
    <xf numFmtId="0" fontId="0" fillId="0" borderId="0" xfId="0" applyAlignment="1">
      <alignment horizontal="center"/>
    </xf>
    <xf numFmtId="0" fontId="2" fillId="4" borderId="0" xfId="0" applyFont="1" applyFill="1"/>
    <xf numFmtId="0" fontId="0" fillId="4" borderId="0" xfId="0" applyFill="1"/>
    <xf numFmtId="2" fontId="0" fillId="0" borderId="0" xfId="0" applyNumberFormat="1"/>
    <xf numFmtId="171" fontId="0" fillId="0" borderId="0" xfId="0" applyNumberFormat="1"/>
    <xf numFmtId="0" fontId="0" fillId="0" borderId="0" xfId="0" applyAlignment="1">
      <alignment horizontal="center" vertical="center"/>
    </xf>
    <xf numFmtId="0" fontId="5" fillId="0" borderId="0" xfId="5" applyAlignment="1" applyProtection="1"/>
    <xf numFmtId="0" fontId="5" fillId="5" borderId="0" xfId="5" applyFill="1" applyAlignment="1" applyProtection="1">
      <alignment horizontal="left" vertical="top" wrapText="1"/>
    </xf>
    <xf numFmtId="0" fontId="6" fillId="5" borderId="19" xfId="0" applyFont="1" applyFill="1" applyBorder="1" applyAlignment="1">
      <alignment horizontal="center" vertical="top" wrapText="1"/>
    </xf>
    <xf numFmtId="10" fontId="7" fillId="0" borderId="0" xfId="4" applyNumberFormat="1" applyFont="1" applyFill="1" applyAlignment="1">
      <alignment horizontal="center" vertical="center" wrapText="1"/>
    </xf>
    <xf numFmtId="0" fontId="8" fillId="6" borderId="0" xfId="0" applyFont="1" applyFill="1" applyAlignment="1">
      <alignment horizontal="left" vertical="top" wrapText="1"/>
    </xf>
    <xf numFmtId="168" fontId="8" fillId="6" borderId="20" xfId="0" applyNumberFormat="1" applyFont="1" applyFill="1" applyBorder="1" applyAlignment="1">
      <alignment horizontal="right" vertical="top" wrapText="1"/>
    </xf>
    <xf numFmtId="0" fontId="8" fillId="0" borderId="0" xfId="0" applyFont="1" applyFill="1" applyAlignment="1">
      <alignment horizontal="center" vertical="top" wrapText="1"/>
    </xf>
    <xf numFmtId="0" fontId="8" fillId="7" borderId="0" xfId="0" applyFont="1" applyFill="1" applyAlignment="1">
      <alignment horizontal="left" vertical="top" wrapText="1"/>
    </xf>
    <xf numFmtId="168" fontId="8" fillId="7" borderId="20" xfId="0" applyNumberFormat="1" applyFont="1" applyFill="1" applyBorder="1" applyAlignment="1">
      <alignment horizontal="right" vertical="top" wrapText="1"/>
    </xf>
    <xf numFmtId="0" fontId="0" fillId="0" borderId="0" xfId="0" applyFill="1"/>
    <xf numFmtId="10" fontId="8" fillId="6" borderId="20" xfId="0" applyNumberFormat="1" applyFont="1" applyFill="1" applyBorder="1" applyAlignment="1">
      <alignment horizontal="right" vertical="top" wrapText="1"/>
    </xf>
    <xf numFmtId="9" fontId="0" fillId="0" borderId="0" xfId="2" applyFont="1"/>
    <xf numFmtId="10" fontId="8" fillId="7" borderId="20" xfId="0" applyNumberFormat="1" applyFont="1" applyFill="1" applyBorder="1" applyAlignment="1">
      <alignment horizontal="right" vertical="top" wrapText="1"/>
    </xf>
    <xf numFmtId="0" fontId="9" fillId="0" borderId="0" xfId="0" applyFont="1" applyBorder="1" applyAlignment="1">
      <alignment horizontal="center"/>
    </xf>
    <xf numFmtId="0" fontId="9" fillId="0" borderId="0" xfId="0" applyFont="1" applyAlignment="1">
      <alignment horizontal="center"/>
    </xf>
    <xf numFmtId="0" fontId="10" fillId="0" borderId="0" xfId="0" applyFont="1" applyAlignment="1">
      <alignment horizontal="left"/>
    </xf>
    <xf numFmtId="0" fontId="11" fillId="0" borderId="0" xfId="0" applyFont="1" applyAlignment="1">
      <alignment horizontal="center"/>
    </xf>
    <xf numFmtId="4" fontId="3" fillId="0" borderId="0" xfId="0" applyNumberFormat="1" applyFont="1"/>
    <xf numFmtId="4" fontId="0" fillId="0" borderId="0" xfId="0" applyNumberFormat="1"/>
    <xf numFmtId="0" fontId="4" fillId="0" borderId="0" xfId="0" applyFont="1"/>
    <xf numFmtId="4" fontId="4" fillId="0" borderId="0" xfId="0" applyNumberFormat="1" applyFont="1"/>
    <xf numFmtId="2" fontId="4" fillId="0" borderId="0" xfId="0" applyNumberFormat="1" applyFont="1"/>
    <xf numFmtId="0" fontId="9" fillId="0" borderId="0" xfId="0" applyFont="1" applyBorder="1" applyAlignment="1">
      <alignment horizontal="center" wrapText="1"/>
    </xf>
    <xf numFmtId="0" fontId="12" fillId="8" borderId="0" xfId="0" applyFont="1" applyFill="1"/>
    <xf numFmtId="4" fontId="0" fillId="9" borderId="0" xfId="0" applyNumberFormat="1" applyFill="1"/>
    <xf numFmtId="4" fontId="3" fillId="9" borderId="0" xfId="0" applyNumberFormat="1" applyFont="1" applyFill="1"/>
    <xf numFmtId="4" fontId="0" fillId="4" borderId="0" xfId="0" applyNumberFormat="1" applyFill="1"/>
    <xf numFmtId="2" fontId="0" fillId="4" borderId="0" xfId="0" applyNumberFormat="1" applyFill="1"/>
    <xf numFmtId="0" fontId="2" fillId="0" borderId="0" xfId="0" applyFont="1"/>
    <xf numFmtId="0" fontId="2" fillId="0" borderId="0" xfId="0" applyFont="1" applyAlignment="1">
      <alignment horizontal="center"/>
    </xf>
    <xf numFmtId="4" fontId="2" fillId="0" borderId="0" xfId="0" applyNumberFormat="1" applyFont="1" applyAlignment="1">
      <alignment horizontal="center"/>
    </xf>
    <xf numFmtId="2" fontId="2" fillId="0" borderId="0" xfId="0" applyNumberFormat="1" applyFont="1" applyAlignment="1">
      <alignment horizontal="center"/>
    </xf>
    <xf numFmtId="4" fontId="2" fillId="4" borderId="0" xfId="0" applyNumberFormat="1" applyFont="1" applyFill="1"/>
    <xf numFmtId="2" fontId="2" fillId="4" borderId="0" xfId="0" applyNumberFormat="1" applyFont="1" applyFill="1"/>
    <xf numFmtId="4" fontId="4" fillId="14" borderId="0" xfId="0" applyNumberFormat="1" applyFont="1" applyFill="1"/>
    <xf numFmtId="4" fontId="0" fillId="14" borderId="0" xfId="0" applyNumberFormat="1" applyFill="1"/>
    <xf numFmtId="0" fontId="16" fillId="4" borderId="0" xfId="0" applyFont="1" applyFill="1"/>
    <xf numFmtId="0" fontId="3" fillId="10" borderId="3" xfId="0" applyFont="1" applyFill="1" applyBorder="1"/>
    <xf numFmtId="4" fontId="3" fillId="10" borderId="12" xfId="0" applyNumberFormat="1" applyFont="1" applyFill="1" applyBorder="1"/>
    <xf numFmtId="4" fontId="3" fillId="10" borderId="4" xfId="0" applyNumberFormat="1" applyFont="1" applyFill="1" applyBorder="1"/>
    <xf numFmtId="0" fontId="3" fillId="15" borderId="22" xfId="0" applyFont="1" applyFill="1" applyBorder="1"/>
    <xf numFmtId="4" fontId="3" fillId="15" borderId="0" xfId="0" applyNumberFormat="1" applyFont="1" applyFill="1" applyBorder="1"/>
    <xf numFmtId="4" fontId="3" fillId="15" borderId="23" xfId="0" applyNumberFormat="1" applyFont="1" applyFill="1" applyBorder="1"/>
    <xf numFmtId="0" fontId="3" fillId="13" borderId="5" xfId="0" applyFont="1" applyFill="1" applyBorder="1"/>
    <xf numFmtId="4" fontId="3" fillId="13" borderId="2" xfId="0" applyNumberFormat="1" applyFont="1" applyFill="1" applyBorder="1"/>
    <xf numFmtId="4" fontId="3" fillId="13" borderId="6" xfId="0" applyNumberFormat="1" applyFont="1" applyFill="1" applyBorder="1"/>
    <xf numFmtId="0" fontId="15" fillId="15" borderId="22" xfId="0" applyFont="1" applyFill="1" applyBorder="1"/>
    <xf numFmtId="4" fontId="15" fillId="15" borderId="0" xfId="0" applyNumberFormat="1" applyFont="1" applyFill="1" applyBorder="1"/>
    <xf numFmtId="4" fontId="15" fillId="15" borderId="23" xfId="0" applyNumberFormat="1" applyFont="1" applyFill="1" applyBorder="1"/>
    <xf numFmtId="0" fontId="3" fillId="16" borderId="22" xfId="0" applyFont="1" applyFill="1" applyBorder="1"/>
    <xf numFmtId="4" fontId="3" fillId="16" borderId="0" xfId="0" applyNumberFormat="1" applyFont="1" applyFill="1" applyBorder="1"/>
    <xf numFmtId="4" fontId="3" fillId="16" borderId="23" xfId="0" applyNumberFormat="1" applyFont="1" applyFill="1" applyBorder="1"/>
    <xf numFmtId="0" fontId="3" fillId="12" borderId="5" xfId="0" applyFont="1" applyFill="1" applyBorder="1"/>
    <xf numFmtId="4" fontId="3" fillId="12" borderId="2" xfId="0" applyNumberFormat="1" applyFont="1" applyFill="1" applyBorder="1"/>
    <xf numFmtId="4" fontId="3" fillId="12" borderId="6" xfId="0" applyNumberFormat="1" applyFont="1" applyFill="1" applyBorder="1"/>
    <xf numFmtId="0" fontId="9" fillId="4" borderId="0" xfId="0" applyFont="1" applyFill="1" applyBorder="1" applyAlignment="1"/>
    <xf numFmtId="0" fontId="0" fillId="4" borderId="22" xfId="0" applyFill="1" applyBorder="1"/>
    <xf numFmtId="0" fontId="0" fillId="14" borderId="0" xfId="0" applyFont="1" applyFill="1" applyBorder="1"/>
    <xf numFmtId="0" fontId="0" fillId="14" borderId="23" xfId="0" applyFont="1" applyFill="1" applyBorder="1"/>
    <xf numFmtId="0" fontId="3" fillId="0" borderId="22" xfId="0" applyFont="1" applyBorder="1"/>
    <xf numFmtId="4" fontId="3" fillId="0" borderId="0" xfId="0" applyNumberFormat="1" applyFont="1" applyBorder="1"/>
    <xf numFmtId="4" fontId="3" fillId="0" borderId="23" xfId="0" applyNumberFormat="1" applyFont="1" applyBorder="1"/>
    <xf numFmtId="0" fontId="0" fillId="0" borderId="22" xfId="0" applyBorder="1"/>
    <xf numFmtId="4" fontId="0" fillId="0" borderId="0" xfId="0" applyNumberFormat="1" applyBorder="1"/>
    <xf numFmtId="4" fontId="0" fillId="0" borderId="23" xfId="0" applyNumberFormat="1" applyBorder="1"/>
    <xf numFmtId="0" fontId="4" fillId="0" borderId="22" xfId="0" applyFont="1" applyBorder="1"/>
    <xf numFmtId="4" fontId="4" fillId="0" borderId="0" xfId="0" applyNumberFormat="1" applyFont="1" applyBorder="1"/>
    <xf numFmtId="4" fontId="4" fillId="0" borderId="23" xfId="0" applyNumberFormat="1" applyFont="1" applyBorder="1"/>
    <xf numFmtId="0" fontId="4" fillId="0" borderId="5" xfId="0" applyFont="1" applyBorder="1"/>
    <xf numFmtId="4" fontId="4" fillId="0" borderId="2" xfId="0" applyNumberFormat="1" applyFont="1" applyBorder="1"/>
    <xf numFmtId="4" fontId="4" fillId="0" borderId="6" xfId="0" applyNumberFormat="1" applyFont="1" applyBorder="1"/>
    <xf numFmtId="0" fontId="2" fillId="4" borderId="22" xfId="0" applyFont="1" applyFill="1" applyBorder="1"/>
    <xf numFmtId="4" fontId="2" fillId="14" borderId="0" xfId="0" applyNumberFormat="1" applyFont="1" applyFill="1" applyBorder="1"/>
    <xf numFmtId="4" fontId="2" fillId="14" borderId="23" xfId="0" applyNumberFormat="1" applyFont="1" applyFill="1" applyBorder="1"/>
    <xf numFmtId="4" fontId="0" fillId="14" borderId="0" xfId="0" applyNumberFormat="1" applyFont="1" applyFill="1" applyBorder="1"/>
    <xf numFmtId="4" fontId="0" fillId="14" borderId="23" xfId="0" applyNumberFormat="1" applyFont="1" applyFill="1" applyBorder="1"/>
    <xf numFmtId="0" fontId="0" fillId="0" borderId="5" xfId="0" applyBorder="1"/>
    <xf numFmtId="4" fontId="0" fillId="0" borderId="2" xfId="0" applyNumberFormat="1" applyBorder="1"/>
    <xf numFmtId="4" fontId="0" fillId="0" borderId="6" xfId="0" applyNumberFormat="1" applyBorder="1"/>
    <xf numFmtId="0" fontId="14" fillId="14" borderId="22" xfId="0" applyFont="1" applyFill="1" applyBorder="1"/>
    <xf numFmtId="0" fontId="2" fillId="14" borderId="0" xfId="0" applyFont="1" applyFill="1" applyBorder="1" applyAlignment="1">
      <alignment horizontal="center"/>
    </xf>
    <xf numFmtId="0" fontId="2" fillId="14" borderId="23" xfId="0" applyFont="1" applyFill="1" applyBorder="1" applyAlignment="1">
      <alignment horizontal="center"/>
    </xf>
    <xf numFmtId="2" fontId="4" fillId="0" borderId="0" xfId="0" applyNumberFormat="1" applyFont="1" applyBorder="1"/>
    <xf numFmtId="2" fontId="4" fillId="0" borderId="23" xfId="0" applyNumberFormat="1" applyFont="1" applyBorder="1"/>
    <xf numFmtId="0" fontId="18" fillId="0" borderId="0" xfId="0" applyFont="1"/>
    <xf numFmtId="0" fontId="13" fillId="17" borderId="0" xfId="0" applyFont="1" applyFill="1" applyBorder="1" applyAlignment="1">
      <alignment horizontal="center"/>
    </xf>
    <xf numFmtId="0" fontId="0" fillId="18" borderId="25" xfId="0" applyFont="1" applyFill="1" applyBorder="1" applyAlignment="1">
      <alignment horizontal="center"/>
    </xf>
    <xf numFmtId="0" fontId="20" fillId="0" borderId="25" xfId="0" applyFont="1" applyBorder="1" applyAlignment="1">
      <alignment horizontal="center"/>
    </xf>
    <xf numFmtId="0" fontId="0" fillId="18" borderId="27" xfId="0" applyFont="1" applyFill="1" applyBorder="1" applyAlignment="1">
      <alignment horizontal="center"/>
    </xf>
    <xf numFmtId="10" fontId="0" fillId="0" borderId="27" xfId="0" applyNumberFormat="1" applyFont="1" applyBorder="1" applyAlignment="1">
      <alignment horizontal="center"/>
    </xf>
    <xf numFmtId="10" fontId="0" fillId="18" borderId="27" xfId="0" applyNumberFormat="1" applyFont="1" applyFill="1" applyBorder="1" applyAlignment="1">
      <alignment horizontal="center"/>
    </xf>
    <xf numFmtId="0" fontId="0" fillId="0" borderId="0" xfId="0" applyAlignment="1">
      <alignment horizontal="center" vertical="center" wrapText="1"/>
    </xf>
    <xf numFmtId="2" fontId="0" fillId="0" borderId="0" xfId="0" applyNumberFormat="1" applyAlignment="1">
      <alignment horizontal="center" vertical="center"/>
    </xf>
    <xf numFmtId="170" fontId="0" fillId="0" borderId="0" xfId="0" applyNumberFormat="1" applyAlignment="1">
      <alignment horizontal="center" vertical="center"/>
    </xf>
    <xf numFmtId="10" fontId="0" fillId="0" borderId="0" xfId="0" applyNumberFormat="1" applyAlignment="1">
      <alignment horizontal="center" vertical="center"/>
    </xf>
    <xf numFmtId="10" fontId="0" fillId="0" borderId="0" xfId="2" applyNumberFormat="1" applyFont="1" applyAlignment="1">
      <alignment horizontal="center" vertical="center"/>
    </xf>
    <xf numFmtId="15" fontId="0" fillId="0" borderId="0" xfId="0" applyNumberFormat="1" applyAlignment="1">
      <alignment horizontal="center" vertical="center"/>
    </xf>
    <xf numFmtId="2" fontId="0" fillId="0" borderId="0" xfId="0" applyNumberFormat="1" applyAlignment="1">
      <alignment horizontal="center" vertical="center" wrapText="1"/>
    </xf>
    <xf numFmtId="0" fontId="2" fillId="0" borderId="0" xfId="0" applyFont="1" applyAlignment="1">
      <alignment horizontal="center" vertical="center" wrapText="1"/>
    </xf>
    <xf numFmtId="0" fontId="21" fillId="0" borderId="0" xfId="0" applyFont="1" applyAlignment="1">
      <alignment horizontal="center" vertical="center" wrapText="1"/>
    </xf>
    <xf numFmtId="0" fontId="2" fillId="0" borderId="0" xfId="0" applyFont="1" applyAlignment="1">
      <alignment horizontal="center" vertical="center"/>
    </xf>
    <xf numFmtId="0" fontId="0" fillId="4" borderId="0" xfId="0" applyFill="1" applyBorder="1"/>
    <xf numFmtId="0" fontId="22" fillId="18" borderId="25" xfId="0" applyFont="1" applyFill="1" applyBorder="1" applyAlignment="1">
      <alignment horizontal="center"/>
    </xf>
    <xf numFmtId="0" fontId="22" fillId="0" borderId="25" xfId="0" applyFont="1" applyBorder="1" applyAlignment="1">
      <alignment horizontal="center"/>
    </xf>
    <xf numFmtId="0" fontId="23" fillId="0" borderId="0" xfId="0" applyFont="1"/>
    <xf numFmtId="0" fontId="24" fillId="0" borderId="2" xfId="0" applyFont="1" applyBorder="1"/>
    <xf numFmtId="0" fontId="26" fillId="18" borderId="25" xfId="0" applyFont="1" applyFill="1" applyBorder="1" applyAlignment="1">
      <alignment horizontal="center" vertical="center"/>
    </xf>
    <xf numFmtId="0" fontId="27" fillId="0" borderId="0" xfId="0" applyFont="1" applyBorder="1" applyAlignment="1">
      <alignment horizontal="center" vertical="center"/>
    </xf>
    <xf numFmtId="9" fontId="0" fillId="18" borderId="26" xfId="2" applyFont="1" applyFill="1" applyBorder="1" applyAlignment="1">
      <alignment horizontal="center" vertical="center" wrapText="1"/>
    </xf>
    <xf numFmtId="9" fontId="0" fillId="18" borderId="26" xfId="2" applyFont="1" applyFill="1" applyBorder="1" applyAlignment="1">
      <alignment horizontal="center" vertical="center"/>
    </xf>
    <xf numFmtId="9" fontId="0" fillId="0" borderId="26" xfId="2" applyFont="1" applyBorder="1" applyAlignment="1">
      <alignment horizontal="center" vertical="center" wrapText="1"/>
    </xf>
    <xf numFmtId="9" fontId="0" fillId="0" borderId="26" xfId="2" applyFont="1" applyBorder="1" applyAlignment="1">
      <alignment horizontal="center" vertical="center"/>
    </xf>
    <xf numFmtId="4" fontId="0" fillId="18" borderId="26" xfId="0" applyNumberFormat="1" applyFont="1" applyFill="1" applyBorder="1" applyAlignment="1">
      <alignment horizontal="center" vertical="center" wrapText="1"/>
    </xf>
    <xf numFmtId="4" fontId="0" fillId="0" borderId="26" xfId="0" applyNumberFormat="1" applyFont="1" applyBorder="1" applyAlignment="1">
      <alignment horizontal="center" vertical="center" wrapText="1"/>
    </xf>
    <xf numFmtId="4" fontId="0" fillId="18" borderId="26" xfId="0" applyNumberFormat="1" applyFont="1" applyFill="1" applyBorder="1" applyAlignment="1">
      <alignment horizontal="center" vertical="center"/>
    </xf>
    <xf numFmtId="4" fontId="0" fillId="4" borderId="0" xfId="0" applyNumberFormat="1" applyFill="1" applyBorder="1"/>
    <xf numFmtId="4" fontId="0" fillId="0" borderId="26" xfId="0" applyNumberFormat="1" applyFont="1" applyBorder="1" applyAlignment="1">
      <alignment horizontal="center" vertical="center"/>
    </xf>
    <xf numFmtId="4" fontId="30" fillId="0" borderId="26" xfId="0" applyNumberFormat="1" applyFont="1" applyBorder="1" applyAlignment="1">
      <alignment horizontal="center" vertical="center"/>
    </xf>
    <xf numFmtId="0" fontId="29" fillId="4" borderId="0" xfId="0" applyFont="1" applyFill="1"/>
    <xf numFmtId="4" fontId="0" fillId="18" borderId="26" xfId="2" applyNumberFormat="1" applyFont="1" applyFill="1" applyBorder="1" applyAlignment="1">
      <alignment horizontal="center" vertical="center" wrapText="1"/>
    </xf>
    <xf numFmtId="4" fontId="0" fillId="18" borderId="26" xfId="2" applyNumberFormat="1" applyFont="1" applyFill="1" applyBorder="1" applyAlignment="1">
      <alignment horizontal="center" vertical="center"/>
    </xf>
    <xf numFmtId="4" fontId="0" fillId="0" borderId="26" xfId="2" applyNumberFormat="1" applyFont="1" applyBorder="1" applyAlignment="1">
      <alignment horizontal="center" vertical="center" wrapText="1"/>
    </xf>
    <xf numFmtId="4" fontId="0" fillId="0" borderId="26" xfId="2" applyNumberFormat="1" applyFont="1" applyBorder="1" applyAlignment="1">
      <alignment horizontal="center" vertical="center"/>
    </xf>
    <xf numFmtId="0" fontId="26" fillId="19" borderId="0" xfId="0" applyFont="1" applyFill="1" applyBorder="1" applyAlignment="1">
      <alignment horizontal="center" vertical="center"/>
    </xf>
    <xf numFmtId="9" fontId="0" fillId="19" borderId="0" xfId="2" applyFont="1" applyFill="1" applyBorder="1" applyAlignment="1">
      <alignment horizontal="center" vertical="center" wrapText="1"/>
    </xf>
    <xf numFmtId="0" fontId="31" fillId="18" borderId="26" xfId="0" applyFont="1" applyFill="1" applyBorder="1" applyAlignment="1">
      <alignment horizontal="center" vertical="center"/>
    </xf>
    <xf numFmtId="0" fontId="31" fillId="18" borderId="25" xfId="0" applyFont="1" applyFill="1" applyBorder="1" applyAlignment="1">
      <alignment horizontal="center" vertical="center"/>
    </xf>
    <xf numFmtId="0" fontId="32" fillId="18" borderId="30" xfId="0" applyFont="1" applyFill="1" applyBorder="1" applyAlignment="1">
      <alignment horizontal="center" vertical="center"/>
    </xf>
    <xf numFmtId="0" fontId="32" fillId="18" borderId="25" xfId="0" applyFont="1" applyFill="1" applyBorder="1" applyAlignment="1">
      <alignment horizontal="center" vertical="center"/>
    </xf>
    <xf numFmtId="9" fontId="33" fillId="18" borderId="26" xfId="2" applyFont="1" applyFill="1" applyBorder="1" applyAlignment="1">
      <alignment horizontal="center" vertical="center" wrapText="1"/>
    </xf>
    <xf numFmtId="9" fontId="33" fillId="18" borderId="26" xfId="2" applyFont="1" applyFill="1" applyBorder="1" applyAlignment="1">
      <alignment horizontal="center" vertical="center"/>
    </xf>
    <xf numFmtId="0" fontId="30" fillId="18" borderId="26" xfId="0" applyFont="1" applyFill="1" applyBorder="1" applyAlignment="1">
      <alignment horizontal="center" vertical="center"/>
    </xf>
    <xf numFmtId="0" fontId="30" fillId="18" borderId="25" xfId="0" applyFont="1" applyFill="1" applyBorder="1" applyAlignment="1">
      <alignment horizontal="center" vertical="center"/>
    </xf>
    <xf numFmtId="0" fontId="32" fillId="19" borderId="25" xfId="0" applyFont="1" applyFill="1" applyBorder="1" applyAlignment="1">
      <alignment horizontal="center" vertical="center"/>
    </xf>
    <xf numFmtId="0" fontId="32" fillId="0" borderId="25" xfId="0" applyFont="1" applyBorder="1" applyAlignment="1">
      <alignment horizontal="center" vertical="center"/>
    </xf>
    <xf numFmtId="15" fontId="32" fillId="18" borderId="25" xfId="0" applyNumberFormat="1" applyFont="1" applyFill="1" applyBorder="1" applyAlignment="1">
      <alignment horizontal="center" vertical="center"/>
    </xf>
    <xf numFmtId="15" fontId="32" fillId="0" borderId="25" xfId="0" applyNumberFormat="1" applyFont="1" applyBorder="1" applyAlignment="1">
      <alignment horizontal="center" vertical="center"/>
    </xf>
    <xf numFmtId="0" fontId="34" fillId="4" borderId="0" xfId="0" applyFont="1" applyFill="1"/>
    <xf numFmtId="0" fontId="34" fillId="0" borderId="0" xfId="0" applyFont="1" applyBorder="1"/>
    <xf numFmtId="0" fontId="34" fillId="0" borderId="0" xfId="0" applyFont="1"/>
    <xf numFmtId="0" fontId="34" fillId="0" borderId="0" xfId="0" applyFont="1" applyBorder="1" applyAlignment="1">
      <alignment horizontal="center"/>
    </xf>
    <xf numFmtId="0" fontId="34" fillId="0" borderId="0" xfId="0" applyFont="1" applyAlignment="1">
      <alignment horizontal="center" vertical="center"/>
    </xf>
    <xf numFmtId="0" fontId="34" fillId="0" borderId="16" xfId="0" applyFont="1" applyBorder="1" applyAlignment="1">
      <alignment horizontal="center" vertical="center"/>
    </xf>
    <xf numFmtId="0" fontId="36" fillId="0" borderId="0" xfId="0" applyFont="1" applyBorder="1" applyAlignment="1">
      <alignment horizontal="center"/>
    </xf>
    <xf numFmtId="3" fontId="34" fillId="0" borderId="0" xfId="0" applyNumberFormat="1" applyFont="1" applyBorder="1" applyAlignment="1"/>
    <xf numFmtId="0" fontId="24" fillId="0" borderId="17" xfId="0" applyFont="1" applyBorder="1" applyAlignment="1">
      <alignment horizontal="center"/>
    </xf>
    <xf numFmtId="167" fontId="36" fillId="0" borderId="9" xfId="1" applyNumberFormat="1" applyFont="1" applyFill="1" applyBorder="1" applyAlignment="1" applyProtection="1">
      <alignment horizontal="center"/>
    </xf>
    <xf numFmtId="167" fontId="36" fillId="0" borderId="18" xfId="1" applyNumberFormat="1" applyFont="1" applyFill="1" applyBorder="1" applyAlignment="1" applyProtection="1">
      <alignment horizontal="center"/>
    </xf>
    <xf numFmtId="0" fontId="34" fillId="0" borderId="0" xfId="0" applyNumberFormat="1" applyFont="1" applyBorder="1" applyAlignment="1"/>
    <xf numFmtId="0" fontId="24" fillId="0" borderId="14" xfId="0" applyFont="1" applyBorder="1" applyAlignment="1">
      <alignment horizontal="center"/>
    </xf>
    <xf numFmtId="167" fontId="36" fillId="0" borderId="10" xfId="1" applyNumberFormat="1" applyFont="1" applyFill="1" applyBorder="1" applyAlignment="1" applyProtection="1">
      <alignment horizontal="center"/>
    </xf>
    <xf numFmtId="167" fontId="36" fillId="0" borderId="0" xfId="1" applyNumberFormat="1" applyFont="1" applyFill="1" applyBorder="1" applyAlignment="1" applyProtection="1">
      <alignment horizontal="center"/>
    </xf>
    <xf numFmtId="0" fontId="36" fillId="0" borderId="0" xfId="2" applyNumberFormat="1" applyFont="1" applyFill="1" applyBorder="1" applyAlignment="1" applyProtection="1"/>
    <xf numFmtId="167" fontId="34" fillId="0" borderId="10" xfId="0" applyNumberFormat="1" applyFont="1" applyBorder="1" applyAlignment="1">
      <alignment horizontal="center"/>
    </xf>
    <xf numFmtId="167" fontId="34" fillId="0" borderId="0" xfId="0" applyNumberFormat="1" applyFont="1" applyBorder="1" applyAlignment="1">
      <alignment horizontal="center"/>
    </xf>
    <xf numFmtId="3" fontId="36" fillId="0" borderId="0" xfId="1" applyNumberFormat="1" applyFont="1" applyFill="1" applyBorder="1" applyAlignment="1" applyProtection="1"/>
    <xf numFmtId="167" fontId="34" fillId="0" borderId="11" xfId="0" applyNumberFormat="1" applyFont="1" applyBorder="1" applyAlignment="1">
      <alignment horizontal="center"/>
    </xf>
    <xf numFmtId="9" fontId="36" fillId="0" borderId="0" xfId="2" applyFont="1" applyFill="1" applyBorder="1" applyAlignment="1" applyProtection="1"/>
    <xf numFmtId="10" fontId="36" fillId="0" borderId="0" xfId="2" applyNumberFormat="1" applyFont="1" applyFill="1" applyBorder="1" applyAlignment="1" applyProtection="1"/>
    <xf numFmtId="167" fontId="34" fillId="0" borderId="9" xfId="0" applyNumberFormat="1" applyFont="1" applyBorder="1" applyAlignment="1">
      <alignment horizontal="center"/>
    </xf>
    <xf numFmtId="167" fontId="34" fillId="0" borderId="18" xfId="0" applyNumberFormat="1" applyFont="1" applyBorder="1" applyAlignment="1">
      <alignment horizontal="center"/>
    </xf>
    <xf numFmtId="169" fontId="34" fillId="0" borderId="0" xfId="0" applyNumberFormat="1" applyFont="1"/>
    <xf numFmtId="169" fontId="34" fillId="4" borderId="0" xfId="0" applyNumberFormat="1" applyFont="1" applyFill="1"/>
    <xf numFmtId="0" fontId="24" fillId="0" borderId="16" xfId="0" applyFont="1" applyBorder="1" applyAlignment="1">
      <alignment horizontal="center"/>
    </xf>
    <xf numFmtId="0" fontId="24" fillId="0" borderId="16" xfId="0" applyFont="1" applyBorder="1" applyAlignment="1"/>
    <xf numFmtId="37" fontId="36" fillId="0" borderId="18" xfId="1" applyNumberFormat="1" applyFont="1" applyFill="1" applyBorder="1" applyAlignment="1" applyProtection="1">
      <alignment horizontal="center"/>
    </xf>
    <xf numFmtId="0" fontId="34" fillId="0" borderId="15" xfId="0" applyFont="1" applyBorder="1"/>
    <xf numFmtId="0" fontId="24" fillId="0" borderId="13" xfId="0" applyFont="1" applyBorder="1" applyAlignment="1">
      <alignment horizontal="center"/>
    </xf>
    <xf numFmtId="37" fontId="36" fillId="0" borderId="0" xfId="1" applyNumberFormat="1" applyFont="1" applyFill="1" applyBorder="1" applyAlignment="1" applyProtection="1">
      <alignment horizontal="center"/>
    </xf>
    <xf numFmtId="0" fontId="34" fillId="0" borderId="15" xfId="0" applyFont="1" applyBorder="1" applyAlignment="1">
      <alignment horizontal="center"/>
    </xf>
    <xf numFmtId="166" fontId="36" fillId="0" borderId="15" xfId="1" applyNumberFormat="1" applyFont="1" applyFill="1" applyBorder="1" applyAlignment="1" applyProtection="1"/>
    <xf numFmtId="166" fontId="36" fillId="0" borderId="8" xfId="1" applyNumberFormat="1" applyFont="1" applyFill="1" applyBorder="1" applyAlignment="1" applyProtection="1"/>
    <xf numFmtId="0" fontId="34" fillId="0" borderId="18" xfId="0" applyFont="1" applyBorder="1" applyAlignment="1">
      <alignment horizontal="center"/>
    </xf>
    <xf numFmtId="166" fontId="36" fillId="0" borderId="18" xfId="1" applyNumberFormat="1" applyFont="1" applyFill="1" applyBorder="1" applyAlignment="1" applyProtection="1"/>
    <xf numFmtId="166" fontId="36" fillId="0" borderId="17" xfId="1" applyNumberFormat="1" applyFont="1" applyFill="1" applyBorder="1" applyAlignment="1" applyProtection="1"/>
    <xf numFmtId="0" fontId="37" fillId="0" borderId="0" xfId="0" applyFont="1" applyBorder="1"/>
    <xf numFmtId="0" fontId="38" fillId="0" borderId="0" xfId="0" applyFont="1"/>
    <xf numFmtId="0" fontId="39" fillId="0" borderId="0" xfId="0" applyFont="1" applyBorder="1" applyAlignment="1">
      <alignment horizontal="center"/>
    </xf>
    <xf numFmtId="0" fontId="38" fillId="0" borderId="0" xfId="0" applyFont="1" applyBorder="1"/>
    <xf numFmtId="0" fontId="40" fillId="17" borderId="25" xfId="0" applyFont="1" applyFill="1" applyBorder="1"/>
    <xf numFmtId="0" fontId="24" fillId="0" borderId="0" xfId="0" applyFont="1" applyBorder="1" applyAlignment="1">
      <alignment horizontal="center"/>
    </xf>
    <xf numFmtId="165" fontId="34" fillId="0" borderId="0" xfId="0" applyNumberFormat="1" applyFont="1" applyBorder="1" applyAlignment="1">
      <alignment horizontal="center" vertical="center"/>
    </xf>
    <xf numFmtId="9" fontId="34" fillId="0" borderId="0" xfId="0" applyNumberFormat="1" applyFont="1" applyBorder="1" applyAlignment="1">
      <alignment horizontal="center"/>
    </xf>
    <xf numFmtId="165" fontId="36" fillId="0" borderId="0" xfId="1" applyNumberFormat="1" applyFont="1" applyFill="1" applyBorder="1" applyAlignment="1" applyProtection="1"/>
    <xf numFmtId="165" fontId="34" fillId="0" borderId="0" xfId="0" applyNumberFormat="1" applyFont="1" applyBorder="1"/>
    <xf numFmtId="0" fontId="39" fillId="0" borderId="0" xfId="0" applyFont="1" applyBorder="1"/>
    <xf numFmtId="167" fontId="34" fillId="0" borderId="0" xfId="0" applyNumberFormat="1" applyFont="1" applyBorder="1"/>
    <xf numFmtId="165" fontId="34" fillId="0" borderId="0" xfId="0" applyNumberFormat="1" applyFont="1" applyBorder="1" applyAlignment="1"/>
    <xf numFmtId="0" fontId="34" fillId="4" borderId="0" xfId="0" applyFont="1" applyFill="1" applyAlignment="1">
      <alignment horizontal="center"/>
    </xf>
    <xf numFmtId="0" fontId="34" fillId="0" borderId="0" xfId="0" applyFont="1" applyAlignment="1">
      <alignment horizontal="center"/>
    </xf>
    <xf numFmtId="0" fontId="24" fillId="4" borderId="0" xfId="0" applyFont="1" applyFill="1" applyAlignment="1">
      <alignment horizontal="right" vertical="center"/>
    </xf>
    <xf numFmtId="0" fontId="40" fillId="17" borderId="0" xfId="0" applyFont="1" applyFill="1" applyBorder="1" applyAlignment="1">
      <alignment horizontal="center"/>
    </xf>
    <xf numFmtId="0" fontId="34" fillId="18" borderId="0" xfId="0" applyFont="1" applyFill="1" applyBorder="1" applyAlignment="1">
      <alignment horizontal="center"/>
    </xf>
    <xf numFmtId="165" fontId="34" fillId="18" borderId="0" xfId="0" applyNumberFormat="1" applyFont="1" applyFill="1" applyBorder="1" applyAlignment="1">
      <alignment horizontal="center" vertical="center"/>
    </xf>
    <xf numFmtId="9" fontId="34" fillId="18" borderId="0" xfId="0" applyNumberFormat="1" applyFont="1" applyFill="1" applyBorder="1" applyAlignment="1">
      <alignment horizontal="center"/>
    </xf>
    <xf numFmtId="165" fontId="36" fillId="18" borderId="0" xfId="1" applyNumberFormat="1" applyFont="1" applyFill="1" applyBorder="1" applyAlignment="1"/>
    <xf numFmtId="165" fontId="34" fillId="18" borderId="0" xfId="0" applyNumberFormat="1" applyFont="1" applyFill="1" applyBorder="1"/>
    <xf numFmtId="0" fontId="24" fillId="2" borderId="0" xfId="0" applyFont="1" applyFill="1" applyAlignment="1">
      <alignment horizontal="right" vertical="center"/>
    </xf>
    <xf numFmtId="0" fontId="24" fillId="4" borderId="0" xfId="0" applyFont="1" applyFill="1"/>
    <xf numFmtId="165" fontId="34" fillId="18" borderId="0" xfId="0" applyNumberFormat="1" applyFont="1" applyFill="1" applyBorder="1" applyAlignment="1"/>
    <xf numFmtId="0" fontId="24" fillId="4" borderId="0" xfId="0" applyFont="1" applyFill="1" applyAlignment="1">
      <alignment vertical="center"/>
    </xf>
    <xf numFmtId="0" fontId="24" fillId="2" borderId="0" xfId="0" applyFont="1" applyFill="1" applyAlignment="1">
      <alignment vertical="center"/>
    </xf>
    <xf numFmtId="37" fontId="34" fillId="0" borderId="0" xfId="0" applyNumberFormat="1" applyFont="1" applyBorder="1" applyAlignment="1">
      <alignment horizontal="center"/>
    </xf>
    <xf numFmtId="0" fontId="40" fillId="17" borderId="0" xfId="0" applyFont="1" applyFill="1" applyBorder="1"/>
    <xf numFmtId="9" fontId="34" fillId="0" borderId="0" xfId="0" applyNumberFormat="1" applyFont="1" applyBorder="1"/>
    <xf numFmtId="0" fontId="34" fillId="4" borderId="0" xfId="0" applyFont="1" applyFill="1" applyBorder="1"/>
    <xf numFmtId="167" fontId="36" fillId="18" borderId="32" xfId="1" applyNumberFormat="1" applyFont="1" applyFill="1" applyBorder="1" applyAlignment="1">
      <alignment horizontal="center"/>
    </xf>
    <xf numFmtId="167" fontId="36" fillId="0" borderId="34" xfId="1" applyNumberFormat="1" applyFont="1" applyBorder="1" applyAlignment="1">
      <alignment horizontal="center"/>
    </xf>
    <xf numFmtId="167" fontId="34" fillId="18" borderId="34" xfId="0" applyNumberFormat="1" applyFont="1" applyFill="1" applyBorder="1" applyAlignment="1">
      <alignment horizontal="center"/>
    </xf>
    <xf numFmtId="0" fontId="40" fillId="17" borderId="25" xfId="0" applyFont="1" applyFill="1" applyBorder="1" applyAlignment="1">
      <alignment horizontal="center"/>
    </xf>
    <xf numFmtId="0" fontId="40" fillId="17" borderId="27" xfId="0" applyFont="1" applyFill="1" applyBorder="1" applyAlignment="1">
      <alignment horizontal="center"/>
    </xf>
    <xf numFmtId="0" fontId="24" fillId="18" borderId="32" xfId="0" applyFont="1" applyFill="1" applyBorder="1" applyAlignment="1">
      <alignment horizontal="center"/>
    </xf>
    <xf numFmtId="167" fontId="36" fillId="18" borderId="33" xfId="1" applyNumberFormat="1" applyFont="1" applyFill="1" applyBorder="1" applyAlignment="1">
      <alignment horizontal="center"/>
    </xf>
    <xf numFmtId="0" fontId="24" fillId="0" borderId="34" xfId="0" applyFont="1" applyBorder="1" applyAlignment="1">
      <alignment horizontal="center"/>
    </xf>
    <xf numFmtId="167" fontId="36" fillId="0" borderId="35" xfId="1" applyNumberFormat="1" applyFont="1" applyBorder="1" applyAlignment="1">
      <alignment horizontal="center"/>
    </xf>
    <xf numFmtId="167" fontId="34" fillId="18" borderId="35" xfId="0" applyNumberFormat="1" applyFont="1" applyFill="1" applyBorder="1" applyAlignment="1">
      <alignment horizontal="center"/>
    </xf>
    <xf numFmtId="2" fontId="24" fillId="18" borderId="32" xfId="0" applyNumberFormat="1" applyFont="1" applyFill="1" applyBorder="1" applyAlignment="1">
      <alignment horizontal="center"/>
    </xf>
    <xf numFmtId="169" fontId="39" fillId="18" borderId="33" xfId="1" applyNumberFormat="1" applyFont="1" applyFill="1" applyBorder="1" applyAlignment="1">
      <alignment horizontal="center"/>
    </xf>
    <xf numFmtId="169" fontId="39" fillId="18" borderId="32" xfId="1" applyNumberFormat="1" applyFont="1" applyFill="1" applyBorder="1" applyAlignment="1">
      <alignment horizontal="center"/>
    </xf>
    <xf numFmtId="0" fontId="34" fillId="0" borderId="34" xfId="0" applyFont="1" applyBorder="1" applyAlignment="1">
      <alignment horizontal="center"/>
    </xf>
    <xf numFmtId="0" fontId="34" fillId="18" borderId="34" xfId="0" applyFont="1" applyFill="1" applyBorder="1" applyAlignment="1">
      <alignment horizontal="center"/>
    </xf>
    <xf numFmtId="1" fontId="34" fillId="0" borderId="34" xfId="0" applyNumberFormat="1" applyFont="1" applyBorder="1" applyAlignment="1">
      <alignment horizontal="center"/>
    </xf>
    <xf numFmtId="1" fontId="34" fillId="18" borderId="34" xfId="0" applyNumberFormat="1" applyFont="1" applyFill="1" applyBorder="1" applyAlignment="1">
      <alignment horizontal="center"/>
    </xf>
    <xf numFmtId="0" fontId="34" fillId="18" borderId="32" xfId="0" applyFont="1" applyFill="1" applyBorder="1" applyAlignment="1">
      <alignment horizontal="center"/>
    </xf>
    <xf numFmtId="1" fontId="40" fillId="17" borderId="25" xfId="0" applyNumberFormat="1" applyFont="1" applyFill="1" applyBorder="1" applyAlignment="1">
      <alignment horizontal="center"/>
    </xf>
    <xf numFmtId="1" fontId="40" fillId="17" borderId="27" xfId="0" applyNumberFormat="1" applyFont="1" applyFill="1" applyBorder="1" applyAlignment="1">
      <alignment horizontal="center"/>
    </xf>
    <xf numFmtId="172" fontId="0" fillId="0" borderId="0" xfId="3" applyNumberFormat="1" applyFont="1" applyAlignment="1"/>
    <xf numFmtId="10" fontId="0" fillId="0" borderId="0" xfId="2" applyNumberFormat="1" applyFont="1" applyAlignment="1"/>
    <xf numFmtId="0" fontId="40" fillId="17" borderId="0" xfId="0" applyFont="1" applyFill="1" applyBorder="1" applyAlignment="1">
      <alignment horizontal="center" vertical="center"/>
    </xf>
    <xf numFmtId="4" fontId="2" fillId="18" borderId="26" xfId="2" applyNumberFormat="1" applyFont="1" applyFill="1" applyBorder="1" applyAlignment="1">
      <alignment horizontal="center" vertical="center"/>
    </xf>
    <xf numFmtId="4" fontId="2" fillId="18" borderId="26" xfId="2" applyNumberFormat="1" applyFont="1" applyFill="1" applyBorder="1" applyAlignment="1">
      <alignment horizontal="center" vertical="center" wrapText="1"/>
    </xf>
    <xf numFmtId="4" fontId="2" fillId="0" borderId="26" xfId="2" applyNumberFormat="1" applyFont="1" applyBorder="1" applyAlignment="1">
      <alignment horizontal="center" vertical="center" wrapText="1"/>
    </xf>
    <xf numFmtId="4" fontId="2" fillId="0" borderId="26" xfId="2" applyNumberFormat="1" applyFont="1" applyBorder="1" applyAlignment="1">
      <alignment horizontal="center" vertical="center"/>
    </xf>
    <xf numFmtId="4" fontId="0" fillId="0" borderId="26" xfId="2" applyNumberFormat="1" applyFont="1" applyBorder="1" applyAlignment="1">
      <alignment horizontal="left" vertical="center" wrapText="1"/>
    </xf>
    <xf numFmtId="4" fontId="0" fillId="18" borderId="26" xfId="2" applyNumberFormat="1" applyFont="1" applyFill="1" applyBorder="1" applyAlignment="1">
      <alignment horizontal="left" vertical="center" wrapText="1"/>
    </xf>
    <xf numFmtId="4" fontId="2" fillId="0" borderId="26" xfId="2" applyNumberFormat="1" applyFont="1" applyBorder="1" applyAlignment="1">
      <alignment horizontal="left" vertical="center" wrapText="1"/>
    </xf>
    <xf numFmtId="3" fontId="0" fillId="18" borderId="26" xfId="2" applyNumberFormat="1" applyFont="1" applyFill="1" applyBorder="1" applyAlignment="1">
      <alignment horizontal="center" vertical="center" wrapText="1"/>
    </xf>
    <xf numFmtId="3" fontId="0" fillId="18" borderId="26" xfId="2" applyNumberFormat="1" applyFont="1" applyFill="1" applyBorder="1" applyAlignment="1">
      <alignment horizontal="center" vertical="center"/>
    </xf>
    <xf numFmtId="3" fontId="2" fillId="18" borderId="26" xfId="2" applyNumberFormat="1" applyFont="1" applyFill="1" applyBorder="1" applyAlignment="1">
      <alignment horizontal="center" vertical="center"/>
    </xf>
    <xf numFmtId="3" fontId="2" fillId="18" borderId="26" xfId="2" applyNumberFormat="1" applyFont="1" applyFill="1" applyBorder="1" applyAlignment="1">
      <alignment horizontal="center" vertical="center" wrapText="1"/>
    </xf>
    <xf numFmtId="3" fontId="34" fillId="0" borderId="0" xfId="0" applyNumberFormat="1" applyFont="1" applyBorder="1"/>
    <xf numFmtId="3" fontId="24" fillId="4" borderId="0" xfId="0" applyNumberFormat="1" applyFont="1" applyFill="1" applyAlignment="1">
      <alignment horizontal="right" vertical="center"/>
    </xf>
    <xf numFmtId="3" fontId="2" fillId="0" borderId="26" xfId="2" applyNumberFormat="1" applyFont="1" applyBorder="1" applyAlignment="1">
      <alignment horizontal="center" vertical="center"/>
    </xf>
    <xf numFmtId="3" fontId="2" fillId="0" borderId="26" xfId="2" applyNumberFormat="1" applyFont="1" applyBorder="1" applyAlignment="1">
      <alignment horizontal="center" vertical="center" wrapText="1"/>
    </xf>
    <xf numFmtId="3" fontId="34" fillId="4" borderId="0" xfId="0" applyNumberFormat="1" applyFont="1" applyFill="1"/>
    <xf numFmtId="3" fontId="0" fillId="0" borderId="26" xfId="2" applyNumberFormat="1" applyFont="1" applyBorder="1" applyAlignment="1">
      <alignment horizontal="center" vertical="center"/>
    </xf>
    <xf numFmtId="3" fontId="0" fillId="0" borderId="26" xfId="2" applyNumberFormat="1" applyFont="1" applyBorder="1" applyAlignment="1">
      <alignment horizontal="center" vertical="center" wrapText="1"/>
    </xf>
    <xf numFmtId="3" fontId="34" fillId="4" borderId="0" xfId="0" applyNumberFormat="1" applyFont="1" applyFill="1" applyAlignment="1">
      <alignment vertical="center"/>
    </xf>
    <xf numFmtId="0" fontId="42" fillId="20" borderId="7" xfId="0" applyFont="1" applyFill="1" applyBorder="1" applyAlignment="1">
      <alignment horizontal="center" vertical="center"/>
    </xf>
    <xf numFmtId="4" fontId="42" fillId="21" borderId="21" xfId="0" applyNumberFormat="1" applyFont="1" applyFill="1" applyBorder="1" applyAlignment="1">
      <alignment horizontal="center" vertical="center"/>
    </xf>
    <xf numFmtId="10" fontId="0" fillId="0" borderId="23" xfId="0" applyNumberFormat="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vertical="center"/>
    </xf>
    <xf numFmtId="10" fontId="0" fillId="0" borderId="6" xfId="0" applyNumberFormat="1" applyBorder="1" applyAlignment="1">
      <alignment horizontal="center" vertical="center"/>
    </xf>
    <xf numFmtId="0" fontId="0" fillId="4" borderId="39" xfId="0" applyFill="1" applyBorder="1" applyAlignment="1">
      <alignment vertical="center"/>
    </xf>
    <xf numFmtId="0" fontId="23" fillId="16" borderId="39" xfId="0" applyFont="1" applyFill="1" applyBorder="1" applyAlignment="1">
      <alignment vertical="center"/>
    </xf>
    <xf numFmtId="0" fontId="44" fillId="2" borderId="39" xfId="0" applyFont="1" applyFill="1" applyBorder="1" applyAlignment="1">
      <alignment vertical="center"/>
    </xf>
    <xf numFmtId="167" fontId="45" fillId="16" borderId="39" xfId="0" applyNumberFormat="1" applyFont="1" applyFill="1" applyBorder="1" applyAlignment="1">
      <alignment horizontal="right"/>
    </xf>
    <xf numFmtId="167" fontId="23" fillId="16" borderId="39" xfId="4" applyNumberFormat="1" applyFont="1" applyFill="1" applyBorder="1" applyAlignment="1">
      <alignment horizontal="right"/>
    </xf>
    <xf numFmtId="167" fontId="0" fillId="4" borderId="39" xfId="0" applyNumberFormat="1" applyFont="1" applyFill="1" applyBorder="1" applyAlignment="1">
      <alignment horizontal="right"/>
    </xf>
    <xf numFmtId="167" fontId="44" fillId="2" borderId="39" xfId="0" applyNumberFormat="1" applyFont="1" applyFill="1" applyBorder="1" applyAlignment="1">
      <alignment horizontal="right"/>
    </xf>
    <xf numFmtId="0" fontId="44" fillId="3" borderId="39" xfId="0" applyFont="1" applyFill="1" applyBorder="1" applyAlignment="1">
      <alignment horizontal="center" vertical="center"/>
    </xf>
    <xf numFmtId="167" fontId="1" fillId="4" borderId="39" xfId="4" applyNumberFormat="1" applyFont="1" applyFill="1" applyBorder="1" applyAlignment="1">
      <alignment horizontal="right"/>
    </xf>
    <xf numFmtId="167" fontId="1" fillId="4" borderId="39" xfId="0" applyNumberFormat="1" applyFont="1" applyFill="1" applyBorder="1" applyAlignment="1">
      <alignment horizontal="right"/>
    </xf>
    <xf numFmtId="167" fontId="1" fillId="4" borderId="9" xfId="0" applyNumberFormat="1" applyFont="1" applyFill="1" applyBorder="1" applyAlignment="1">
      <alignment horizontal="right"/>
    </xf>
    <xf numFmtId="167" fontId="1" fillId="4" borderId="10" xfId="0" applyNumberFormat="1" applyFont="1" applyFill="1" applyBorder="1" applyAlignment="1">
      <alignment horizontal="right"/>
    </xf>
    <xf numFmtId="167" fontId="1" fillId="4" borderId="11" xfId="0" applyNumberFormat="1" applyFont="1" applyFill="1" applyBorder="1" applyAlignment="1">
      <alignment horizontal="right"/>
    </xf>
    <xf numFmtId="167" fontId="46" fillId="16" borderId="39" xfId="0" applyNumberFormat="1" applyFont="1" applyFill="1" applyBorder="1" applyAlignment="1">
      <alignment horizontal="right"/>
    </xf>
    <xf numFmtId="0" fontId="47" fillId="4" borderId="39" xfId="0" applyFont="1" applyFill="1" applyBorder="1" applyAlignment="1">
      <alignment horizontal="right" vertical="center"/>
    </xf>
    <xf numFmtId="167" fontId="0" fillId="4" borderId="39" xfId="4" applyNumberFormat="1" applyFont="1" applyFill="1" applyBorder="1" applyAlignment="1">
      <alignment horizontal="right" vertical="center"/>
    </xf>
    <xf numFmtId="0" fontId="47" fillId="4" borderId="39" xfId="0" applyFont="1" applyFill="1" applyBorder="1" applyAlignment="1">
      <alignment horizontal="left" vertical="center"/>
    </xf>
    <xf numFmtId="0" fontId="0" fillId="4" borderId="39" xfId="0" applyFont="1" applyFill="1" applyBorder="1" applyAlignment="1">
      <alignment vertical="center"/>
    </xf>
    <xf numFmtId="0" fontId="0" fillId="4" borderId="0" xfId="0" applyFill="1" applyAlignment="1">
      <alignment vertical="center"/>
    </xf>
    <xf numFmtId="169" fontId="1" fillId="4" borderId="39" xfId="0" applyNumberFormat="1" applyFont="1" applyFill="1" applyBorder="1" applyAlignment="1">
      <alignment horizontal="right" vertical="center"/>
    </xf>
    <xf numFmtId="169" fontId="0" fillId="4" borderId="39" xfId="1" applyNumberFormat="1" applyFont="1" applyFill="1" applyBorder="1" applyAlignment="1">
      <alignment horizontal="right"/>
    </xf>
    <xf numFmtId="167" fontId="23" fillId="16" borderId="39" xfId="0" applyNumberFormat="1" applyFont="1" applyFill="1" applyBorder="1" applyAlignment="1">
      <alignment horizontal="right"/>
    </xf>
    <xf numFmtId="167" fontId="44" fillId="2" borderId="39" xfId="1" applyNumberFormat="1" applyFont="1" applyFill="1" applyBorder="1" applyAlignment="1">
      <alignment horizontal="right"/>
    </xf>
    <xf numFmtId="167" fontId="44" fillId="2" borderId="43" xfId="1" applyNumberFormat="1" applyFont="1" applyFill="1" applyBorder="1" applyAlignment="1">
      <alignment horizontal="right"/>
    </xf>
    <xf numFmtId="167" fontId="44" fillId="2" borderId="43" xfId="0" applyNumberFormat="1" applyFont="1" applyFill="1" applyBorder="1" applyAlignment="1">
      <alignment horizontal="right"/>
    </xf>
    <xf numFmtId="167" fontId="2" fillId="0" borderId="42" xfId="0" applyNumberFormat="1" applyFont="1" applyBorder="1" applyAlignment="1">
      <alignment horizontal="center" vertical="center" wrapText="1"/>
    </xf>
    <xf numFmtId="0" fontId="48" fillId="0" borderId="40" xfId="0" applyFont="1" applyBorder="1" applyAlignment="1">
      <alignment horizontal="center" wrapText="1"/>
    </xf>
    <xf numFmtId="9" fontId="44" fillId="2" borderId="44" xfId="6" applyFont="1" applyFill="1" applyBorder="1" applyAlignment="1">
      <alignment horizontal="center" vertical="center"/>
    </xf>
    <xf numFmtId="9" fontId="44" fillId="2" borderId="45" xfId="6" applyFont="1" applyFill="1" applyBorder="1" applyAlignment="1">
      <alignment horizontal="center" vertical="center"/>
    </xf>
    <xf numFmtId="9" fontId="44" fillId="2" borderId="46" xfId="6" applyFont="1" applyFill="1" applyBorder="1" applyAlignment="1">
      <alignment horizontal="center" vertical="center"/>
    </xf>
    <xf numFmtId="0" fontId="2" fillId="22" borderId="47" xfId="0" applyFont="1" applyFill="1" applyBorder="1" applyAlignment="1">
      <alignment horizontal="center"/>
    </xf>
    <xf numFmtId="9" fontId="44" fillId="22" borderId="0" xfId="6" applyFont="1" applyFill="1" applyBorder="1" applyAlignment="1">
      <alignment horizontal="center"/>
    </xf>
    <xf numFmtId="9" fontId="44" fillId="22" borderId="48" xfId="6" applyFont="1" applyFill="1" applyBorder="1" applyAlignment="1">
      <alignment horizontal="center"/>
    </xf>
    <xf numFmtId="0" fontId="2" fillId="2" borderId="47" xfId="0" applyFont="1" applyFill="1" applyBorder="1" applyAlignment="1">
      <alignment horizontal="center"/>
    </xf>
    <xf numFmtId="9" fontId="44" fillId="2" borderId="0" xfId="6" applyFont="1" applyFill="1" applyBorder="1" applyAlignment="1">
      <alignment horizontal="center"/>
    </xf>
    <xf numFmtId="9" fontId="44" fillId="2" borderId="48" xfId="6" applyFont="1" applyFill="1" applyBorder="1" applyAlignment="1">
      <alignment horizontal="center"/>
    </xf>
    <xf numFmtId="2" fontId="44" fillId="2" borderId="48" xfId="6" applyNumberFormat="1" applyFont="1" applyFill="1" applyBorder="1" applyAlignment="1">
      <alignment horizontal="center"/>
    </xf>
    <xf numFmtId="2" fontId="44" fillId="22" borderId="48" xfId="6" applyNumberFormat="1" applyFont="1" applyFill="1" applyBorder="1" applyAlignment="1">
      <alignment horizontal="center"/>
    </xf>
    <xf numFmtId="0" fontId="2" fillId="2" borderId="49" xfId="0" applyFont="1" applyFill="1" applyBorder="1" applyAlignment="1">
      <alignment horizontal="center" vertical="center"/>
    </xf>
    <xf numFmtId="9" fontId="44" fillId="2" borderId="50" xfId="6" applyFont="1" applyFill="1" applyBorder="1" applyAlignment="1">
      <alignment horizontal="center" vertical="center"/>
    </xf>
    <xf numFmtId="1" fontId="44" fillId="2" borderId="51" xfId="6" applyNumberFormat="1" applyFont="1" applyFill="1" applyBorder="1" applyAlignment="1">
      <alignment horizontal="center" vertical="center"/>
    </xf>
    <xf numFmtId="10" fontId="13" fillId="24" borderId="48" xfId="2" applyNumberFormat="1" applyFont="1" applyFill="1" applyBorder="1" applyAlignment="1">
      <alignment horizontal="center"/>
    </xf>
    <xf numFmtId="9" fontId="2" fillId="3" borderId="48" xfId="2" applyFont="1" applyFill="1" applyBorder="1" applyAlignment="1">
      <alignment horizontal="center"/>
    </xf>
    <xf numFmtId="173" fontId="13" fillId="24" borderId="48" xfId="2" applyNumberFormat="1" applyFont="1" applyFill="1" applyBorder="1" applyAlignment="1">
      <alignment horizontal="center"/>
    </xf>
    <xf numFmtId="0" fontId="2" fillId="3" borderId="48" xfId="0" applyFont="1" applyFill="1" applyBorder="1" applyAlignment="1">
      <alignment horizontal="center"/>
    </xf>
    <xf numFmtId="10" fontId="13" fillId="24" borderId="51" xfId="0" applyNumberFormat="1" applyFont="1" applyFill="1" applyBorder="1" applyAlignment="1">
      <alignment horizontal="center"/>
    </xf>
    <xf numFmtId="0" fontId="13" fillId="24" borderId="47" xfId="0" applyFont="1" applyFill="1" applyBorder="1" applyAlignment="1">
      <alignment horizontal="center"/>
    </xf>
    <xf numFmtId="0" fontId="2" fillId="3" borderId="47" xfId="0" applyFont="1" applyFill="1" applyBorder="1" applyAlignment="1">
      <alignment horizontal="center"/>
    </xf>
    <xf numFmtId="0" fontId="13" fillId="24" borderId="49" xfId="0" applyFont="1" applyFill="1" applyBorder="1" applyAlignment="1">
      <alignment horizontal="center"/>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49" fillId="0" borderId="0" xfId="0" applyFont="1"/>
    <xf numFmtId="169" fontId="0" fillId="4" borderId="39" xfId="0" applyNumberFormat="1" applyFont="1" applyFill="1" applyBorder="1" applyAlignment="1">
      <alignment horizontal="right" vertical="center"/>
    </xf>
    <xf numFmtId="0" fontId="51" fillId="4" borderId="0" xfId="0" applyFont="1" applyFill="1" applyBorder="1" applyAlignment="1">
      <alignment horizontal="center" vertical="center"/>
    </xf>
    <xf numFmtId="0" fontId="2" fillId="4" borderId="0" xfId="0" applyFont="1" applyFill="1" applyBorder="1" applyAlignment="1">
      <alignment vertical="center"/>
    </xf>
    <xf numFmtId="0" fontId="43" fillId="0" borderId="0" xfId="0" applyFont="1" applyAlignment="1">
      <alignment horizontal="center" vertical="center"/>
    </xf>
    <xf numFmtId="0" fontId="54" fillId="0" borderId="0" xfId="0" applyFont="1" applyAlignment="1">
      <alignment vertical="center"/>
    </xf>
    <xf numFmtId="0" fontId="55" fillId="0" borderId="0" xfId="0" applyFont="1"/>
    <xf numFmtId="0" fontId="57" fillId="0" borderId="0" xfId="0" applyFont="1" applyAlignment="1">
      <alignment horizontal="center" vertical="center"/>
    </xf>
    <xf numFmtId="0" fontId="57" fillId="4" borderId="0" xfId="0" applyFont="1" applyFill="1"/>
    <xf numFmtId="9" fontId="58" fillId="2" borderId="44" xfId="6" applyFont="1" applyFill="1" applyBorder="1" applyAlignment="1">
      <alignment horizontal="center" vertical="center"/>
    </xf>
    <xf numFmtId="9" fontId="58" fillId="2" borderId="45" xfId="6" applyFont="1" applyFill="1" applyBorder="1" applyAlignment="1">
      <alignment horizontal="center" vertical="center"/>
    </xf>
    <xf numFmtId="9" fontId="58" fillId="2" borderId="46" xfId="6" applyFont="1" applyFill="1" applyBorder="1" applyAlignment="1">
      <alignment horizontal="center" vertical="center"/>
    </xf>
    <xf numFmtId="0" fontId="58" fillId="27" borderId="59" xfId="0" applyFont="1" applyFill="1" applyBorder="1" applyAlignment="1">
      <alignment horizontal="center" vertical="center"/>
    </xf>
    <xf numFmtId="0" fontId="58" fillId="27" borderId="61" xfId="0" applyFont="1" applyFill="1" applyBorder="1" applyAlignment="1">
      <alignment horizontal="center" vertical="center"/>
    </xf>
    <xf numFmtId="0" fontId="58" fillId="27" borderId="63" xfId="0" applyFont="1" applyFill="1" applyBorder="1" applyAlignment="1">
      <alignment horizontal="center" vertical="center"/>
    </xf>
    <xf numFmtId="0" fontId="58" fillId="27" borderId="65" xfId="0" applyFont="1" applyFill="1" applyBorder="1" applyAlignment="1">
      <alignment horizontal="center" vertical="center"/>
    </xf>
    <xf numFmtId="0" fontId="58" fillId="27" borderId="66" xfId="0" applyFont="1" applyFill="1" applyBorder="1" applyAlignment="1">
      <alignment horizontal="center" vertical="center"/>
    </xf>
    <xf numFmtId="0" fontId="58" fillId="27" borderId="68" xfId="0" applyFont="1" applyFill="1" applyBorder="1" applyAlignment="1">
      <alignment horizontal="center" vertical="center"/>
    </xf>
    <xf numFmtId="0" fontId="57" fillId="0" borderId="58" xfId="0" applyFont="1" applyBorder="1" applyAlignment="1">
      <alignment horizontal="center" vertical="center"/>
    </xf>
    <xf numFmtId="0" fontId="57" fillId="0" borderId="18" xfId="0" applyFont="1" applyBorder="1" applyAlignment="1">
      <alignment horizontal="center" vertical="center"/>
    </xf>
    <xf numFmtId="0" fontId="57" fillId="0" borderId="17" xfId="0" applyFont="1" applyBorder="1" applyAlignment="1">
      <alignment horizontal="center" vertical="center"/>
    </xf>
    <xf numFmtId="0" fontId="57" fillId="0" borderId="43" xfId="0" applyFont="1" applyBorder="1" applyAlignment="1">
      <alignment horizontal="center" vertical="center"/>
    </xf>
    <xf numFmtId="0" fontId="57" fillId="0" borderId="15" xfId="0" applyFont="1" applyBorder="1" applyAlignment="1">
      <alignment horizontal="center" vertical="center"/>
    </xf>
    <xf numFmtId="10" fontId="57" fillId="0" borderId="15" xfId="0" applyNumberFormat="1" applyFont="1" applyBorder="1" applyAlignment="1">
      <alignment horizontal="center" vertical="center"/>
    </xf>
    <xf numFmtId="167" fontId="57" fillId="0" borderId="15" xfId="0" applyNumberFormat="1" applyFont="1" applyBorder="1" applyAlignment="1">
      <alignment horizontal="center" vertical="center"/>
    </xf>
    <xf numFmtId="167" fontId="57" fillId="0" borderId="8" xfId="0" applyNumberFormat="1" applyFont="1" applyBorder="1" applyAlignment="1">
      <alignment horizontal="center" vertical="center"/>
    </xf>
    <xf numFmtId="0" fontId="57" fillId="12" borderId="15" xfId="0" applyFont="1" applyFill="1" applyBorder="1" applyAlignment="1">
      <alignment horizontal="center" vertical="center"/>
    </xf>
    <xf numFmtId="167" fontId="57" fillId="0" borderId="18" xfId="0" applyNumberFormat="1" applyFont="1" applyBorder="1" applyAlignment="1">
      <alignment horizontal="center" vertical="center"/>
    </xf>
    <xf numFmtId="0" fontId="57" fillId="12" borderId="43" xfId="0" applyFont="1" applyFill="1" applyBorder="1" applyAlignment="1">
      <alignment horizontal="center" vertical="center"/>
    </xf>
    <xf numFmtId="0" fontId="58" fillId="0" borderId="0" xfId="0" applyFont="1" applyBorder="1" applyAlignment="1">
      <alignment horizontal="right" vertical="center"/>
    </xf>
    <xf numFmtId="167" fontId="58" fillId="0" borderId="39" xfId="0" applyNumberFormat="1" applyFont="1" applyBorder="1" applyAlignment="1">
      <alignment horizontal="center" vertical="center"/>
    </xf>
    <xf numFmtId="0" fontId="56" fillId="4" borderId="39" xfId="0" applyFont="1" applyFill="1" applyBorder="1" applyAlignment="1">
      <alignment horizontal="center" vertical="center"/>
    </xf>
    <xf numFmtId="0" fontId="58" fillId="4" borderId="39" xfId="0" applyFont="1" applyFill="1" applyBorder="1" applyAlignment="1">
      <alignment horizontal="center" vertical="center" wrapText="1"/>
    </xf>
    <xf numFmtId="0" fontId="58" fillId="2" borderId="39" xfId="0" applyFont="1" applyFill="1" applyBorder="1" applyAlignment="1">
      <alignment horizontal="center" vertical="center" wrapText="1"/>
    </xf>
    <xf numFmtId="43" fontId="58" fillId="2" borderId="39" xfId="1" applyFont="1" applyFill="1" applyBorder="1" applyAlignment="1">
      <alignment horizontal="center" vertical="center" wrapText="1"/>
    </xf>
    <xf numFmtId="0" fontId="58" fillId="4" borderId="9" xfId="0" applyFont="1" applyFill="1" applyBorder="1" applyAlignment="1">
      <alignment horizontal="center" vertical="center" wrapText="1"/>
    </xf>
    <xf numFmtId="0" fontId="57" fillId="0" borderId="0" xfId="0" applyFont="1"/>
    <xf numFmtId="0" fontId="59" fillId="27" borderId="9" xfId="0" applyFont="1" applyFill="1" applyBorder="1" applyAlignment="1">
      <alignment horizontal="center" vertical="center"/>
    </xf>
    <xf numFmtId="0" fontId="57" fillId="0" borderId="9" xfId="0" applyFont="1" applyBorder="1" applyAlignment="1">
      <alignment horizontal="center" vertical="center"/>
    </xf>
    <xf numFmtId="9" fontId="57" fillId="2" borderId="0" xfId="2" applyFont="1" applyFill="1" applyAlignment="1">
      <alignment horizontal="center" vertical="center"/>
    </xf>
    <xf numFmtId="0" fontId="57" fillId="0" borderId="0" xfId="0" applyNumberFormat="1" applyFont="1" applyAlignment="1">
      <alignment horizontal="center" vertical="center"/>
    </xf>
    <xf numFmtId="10" fontId="57" fillId="25" borderId="9" xfId="0" applyNumberFormat="1" applyFont="1" applyFill="1" applyBorder="1" applyAlignment="1">
      <alignment horizontal="center" vertical="center"/>
    </xf>
    <xf numFmtId="167" fontId="57" fillId="26" borderId="9" xfId="0" applyNumberFormat="1" applyFont="1" applyFill="1" applyBorder="1" applyAlignment="1">
      <alignment horizontal="center" vertical="center"/>
    </xf>
    <xf numFmtId="167" fontId="57" fillId="0" borderId="9" xfId="0" applyNumberFormat="1" applyFont="1" applyBorder="1" applyAlignment="1">
      <alignment horizontal="center" vertical="center"/>
    </xf>
    <xf numFmtId="9" fontId="57" fillId="0" borderId="9" xfId="0" applyNumberFormat="1" applyFont="1" applyBorder="1" applyAlignment="1">
      <alignment horizontal="center" vertical="center"/>
    </xf>
    <xf numFmtId="10" fontId="57" fillId="0" borderId="9" xfId="0" applyNumberFormat="1" applyFont="1" applyBorder="1" applyAlignment="1">
      <alignment horizontal="center" vertical="center"/>
    </xf>
    <xf numFmtId="2" fontId="57" fillId="0" borderId="9" xfId="0" applyNumberFormat="1" applyFont="1" applyBorder="1" applyAlignment="1">
      <alignment horizontal="center" vertical="center"/>
    </xf>
    <xf numFmtId="2" fontId="57" fillId="0" borderId="55" xfId="0" applyNumberFormat="1" applyFont="1" applyBorder="1" applyAlignment="1">
      <alignment horizontal="center" vertical="center"/>
    </xf>
    <xf numFmtId="0" fontId="59" fillId="27" borderId="10" xfId="0" applyFont="1" applyFill="1" applyBorder="1" applyAlignment="1">
      <alignment horizontal="center" vertical="center"/>
    </xf>
    <xf numFmtId="0" fontId="57" fillId="0" borderId="10" xfId="0" applyFont="1" applyBorder="1" applyAlignment="1">
      <alignment horizontal="center" vertical="center"/>
    </xf>
    <xf numFmtId="10" fontId="57" fillId="25" borderId="10" xfId="0" applyNumberFormat="1" applyFont="1" applyFill="1" applyBorder="1" applyAlignment="1">
      <alignment horizontal="center" vertical="center"/>
    </xf>
    <xf numFmtId="167" fontId="57" fillId="26" borderId="10" xfId="0" applyNumberFormat="1" applyFont="1" applyFill="1" applyBorder="1" applyAlignment="1">
      <alignment horizontal="center" vertical="center"/>
    </xf>
    <xf numFmtId="167" fontId="57" fillId="0" borderId="10" xfId="0" applyNumberFormat="1" applyFont="1" applyBorder="1" applyAlignment="1">
      <alignment horizontal="center" vertical="center"/>
    </xf>
    <xf numFmtId="9" fontId="57" fillId="0" borderId="10" xfId="0" applyNumberFormat="1" applyFont="1" applyBorder="1" applyAlignment="1">
      <alignment horizontal="center" vertical="center"/>
    </xf>
    <xf numFmtId="10" fontId="57" fillId="0" borderId="10" xfId="0" applyNumberFormat="1" applyFont="1" applyBorder="1" applyAlignment="1">
      <alignment horizontal="center" vertical="center"/>
    </xf>
    <xf numFmtId="2" fontId="57" fillId="0" borderId="10" xfId="0" applyNumberFormat="1" applyFont="1" applyBorder="1" applyAlignment="1">
      <alignment horizontal="center" vertical="center"/>
    </xf>
    <xf numFmtId="2" fontId="57" fillId="0" borderId="57" xfId="0" applyNumberFormat="1" applyFont="1" applyBorder="1" applyAlignment="1">
      <alignment horizontal="center" vertical="center"/>
    </xf>
    <xf numFmtId="0" fontId="59" fillId="27" borderId="11" xfId="0" applyFont="1" applyFill="1" applyBorder="1" applyAlignment="1">
      <alignment horizontal="center" vertical="center"/>
    </xf>
    <xf numFmtId="0" fontId="57" fillId="0" borderId="11" xfId="0" applyFont="1" applyBorder="1" applyAlignment="1">
      <alignment horizontal="center" vertical="center"/>
    </xf>
    <xf numFmtId="10" fontId="57" fillId="25" borderId="11" xfId="0" applyNumberFormat="1" applyFont="1" applyFill="1" applyBorder="1" applyAlignment="1">
      <alignment horizontal="center" vertical="center"/>
    </xf>
    <xf numFmtId="167" fontId="57" fillId="26" borderId="11" xfId="0" applyNumberFormat="1" applyFont="1" applyFill="1" applyBorder="1" applyAlignment="1">
      <alignment horizontal="center" vertical="center"/>
    </xf>
    <xf numFmtId="167" fontId="57" fillId="0" borderId="11" xfId="0" applyNumberFormat="1" applyFont="1" applyBorder="1" applyAlignment="1">
      <alignment horizontal="center" vertical="center"/>
    </xf>
    <xf numFmtId="9" fontId="57" fillId="0" borderId="11" xfId="0" applyNumberFormat="1" applyFont="1" applyBorder="1" applyAlignment="1">
      <alignment horizontal="center" vertical="center"/>
    </xf>
    <xf numFmtId="10" fontId="57" fillId="0" borderId="11" xfId="0" applyNumberFormat="1" applyFont="1" applyBorder="1" applyAlignment="1">
      <alignment horizontal="center" vertical="center"/>
    </xf>
    <xf numFmtId="2" fontId="57" fillId="0" borderId="11" xfId="0" applyNumberFormat="1" applyFont="1" applyBorder="1" applyAlignment="1">
      <alignment horizontal="center" vertical="center"/>
    </xf>
    <xf numFmtId="2" fontId="57" fillId="0" borderId="56" xfId="0" applyNumberFormat="1" applyFont="1" applyBorder="1" applyAlignment="1">
      <alignment horizontal="center" vertical="center"/>
    </xf>
    <xf numFmtId="167" fontId="57" fillId="0" borderId="0" xfId="0" applyNumberFormat="1" applyFont="1"/>
    <xf numFmtId="170" fontId="57" fillId="0" borderId="0" xfId="0" applyNumberFormat="1" applyFont="1"/>
    <xf numFmtId="167" fontId="57" fillId="0" borderId="0" xfId="0" applyNumberFormat="1" applyFont="1" applyAlignment="1">
      <alignment horizontal="center" vertical="center"/>
    </xf>
    <xf numFmtId="9" fontId="57" fillId="0" borderId="0" xfId="0" applyNumberFormat="1" applyFont="1" applyAlignment="1">
      <alignment horizontal="center" vertical="center"/>
    </xf>
    <xf numFmtId="10" fontId="57" fillId="0" borderId="0" xfId="0" applyNumberFormat="1" applyFont="1"/>
    <xf numFmtId="43" fontId="57" fillId="0" borderId="0" xfId="1" applyFont="1"/>
    <xf numFmtId="167" fontId="57" fillId="0" borderId="55" xfId="0" applyNumberFormat="1" applyFont="1" applyBorder="1" applyAlignment="1">
      <alignment horizontal="center" vertical="center"/>
    </xf>
    <xf numFmtId="167" fontId="57" fillId="0" borderId="57" xfId="0" applyNumberFormat="1" applyFont="1" applyBorder="1" applyAlignment="1">
      <alignment horizontal="center" vertical="center"/>
    </xf>
    <xf numFmtId="0" fontId="57" fillId="4" borderId="0" xfId="0" applyFont="1" applyFill="1" applyAlignment="1">
      <alignment horizontal="right"/>
    </xf>
    <xf numFmtId="174" fontId="57" fillId="4" borderId="0" xfId="0" applyNumberFormat="1" applyFont="1" applyFill="1"/>
    <xf numFmtId="10" fontId="57" fillId="4" borderId="0" xfId="0" applyNumberFormat="1" applyFont="1" applyFill="1"/>
    <xf numFmtId="174" fontId="57" fillId="11" borderId="0" xfId="0" applyNumberFormat="1" applyFont="1" applyFill="1"/>
    <xf numFmtId="167" fontId="57" fillId="11" borderId="0" xfId="0" applyNumberFormat="1" applyFont="1" applyFill="1" applyAlignment="1">
      <alignment horizontal="center" vertical="center"/>
    </xf>
    <xf numFmtId="174" fontId="57" fillId="11" borderId="0" xfId="0" applyNumberFormat="1" applyFont="1" applyFill="1" applyAlignment="1">
      <alignment horizontal="center" vertical="center"/>
    </xf>
    <xf numFmtId="167" fontId="56" fillId="25" borderId="60" xfId="0" applyNumberFormat="1" applyFont="1" applyFill="1" applyBorder="1" applyAlignment="1">
      <alignment horizontal="center" vertical="center"/>
    </xf>
    <xf numFmtId="167" fontId="56" fillId="25" borderId="62" xfId="0" applyNumberFormat="1" applyFont="1" applyFill="1" applyBorder="1" applyAlignment="1">
      <alignment horizontal="center" vertical="center"/>
    </xf>
    <xf numFmtId="167" fontId="56" fillId="25" borderId="64" xfId="0" applyNumberFormat="1" applyFont="1" applyFill="1" applyBorder="1" applyAlignment="1">
      <alignment horizontal="center" vertical="center"/>
    </xf>
    <xf numFmtId="175" fontId="56" fillId="25" borderId="64" xfId="1" applyNumberFormat="1" applyFont="1" applyFill="1" applyBorder="1" applyAlignment="1">
      <alignment horizontal="center" vertical="center"/>
    </xf>
    <xf numFmtId="9" fontId="56" fillId="25" borderId="21" xfId="2" applyFont="1" applyFill="1" applyBorder="1" applyAlignment="1">
      <alignment horizontal="center" vertical="center"/>
    </xf>
    <xf numFmtId="39" fontId="56" fillId="25" borderId="21" xfId="1" applyNumberFormat="1" applyFont="1" applyFill="1" applyBorder="1" applyAlignment="1">
      <alignment horizontal="center" vertical="center"/>
    </xf>
    <xf numFmtId="176" fontId="56" fillId="25" borderId="60" xfId="1" applyNumberFormat="1" applyFont="1" applyFill="1" applyBorder="1" applyAlignment="1">
      <alignment horizontal="center" vertical="center"/>
    </xf>
    <xf numFmtId="176" fontId="56" fillId="25" borderId="67" xfId="1" applyNumberFormat="1" applyFont="1" applyFill="1" applyBorder="1" applyAlignment="1">
      <alignment horizontal="center" vertical="center"/>
    </xf>
    <xf numFmtId="176" fontId="56" fillId="25" borderId="6" xfId="1" applyNumberFormat="1" applyFont="1" applyFill="1" applyBorder="1" applyAlignment="1">
      <alignment horizontal="center" vertical="center"/>
    </xf>
    <xf numFmtId="0" fontId="58" fillId="28" borderId="47" xfId="0" applyFont="1" applyFill="1" applyBorder="1" applyAlignment="1">
      <alignment horizontal="center"/>
    </xf>
    <xf numFmtId="9" fontId="58" fillId="28" borderId="0" xfId="6" applyFont="1" applyFill="1" applyBorder="1" applyAlignment="1">
      <alignment horizontal="center"/>
    </xf>
    <xf numFmtId="9" fontId="58" fillId="28" borderId="48" xfId="6" applyFont="1" applyFill="1" applyBorder="1" applyAlignment="1">
      <alignment horizontal="center"/>
    </xf>
    <xf numFmtId="0" fontId="58" fillId="11" borderId="47" xfId="0" applyFont="1" applyFill="1" applyBorder="1" applyAlignment="1">
      <alignment horizontal="center"/>
    </xf>
    <xf numFmtId="9" fontId="58" fillId="11" borderId="0" xfId="6" applyFont="1" applyFill="1" applyBorder="1" applyAlignment="1">
      <alignment horizontal="center"/>
    </xf>
    <xf numFmtId="9" fontId="58" fillId="11" borderId="48" xfId="6" applyFont="1" applyFill="1" applyBorder="1" applyAlignment="1">
      <alignment horizontal="center"/>
    </xf>
    <xf numFmtId="2" fontId="58" fillId="28" borderId="48" xfId="6" applyNumberFormat="1" applyFont="1" applyFill="1" applyBorder="1" applyAlignment="1">
      <alignment horizontal="center"/>
    </xf>
    <xf numFmtId="0" fontId="58" fillId="11" borderId="53" xfId="0" applyFont="1" applyFill="1" applyBorder="1" applyAlignment="1">
      <alignment horizontal="center" vertical="center" wrapText="1"/>
    </xf>
    <xf numFmtId="2" fontId="58" fillId="11" borderId="48" xfId="6" applyNumberFormat="1" applyFont="1" applyFill="1" applyBorder="1" applyAlignment="1">
      <alignment horizontal="center"/>
    </xf>
    <xf numFmtId="0" fontId="58" fillId="11" borderId="54" xfId="0" applyFont="1" applyFill="1" applyBorder="1" applyAlignment="1">
      <alignment horizontal="center" vertical="center" wrapText="1"/>
    </xf>
    <xf numFmtId="0" fontId="58" fillId="11" borderId="49" xfId="0" applyFont="1" applyFill="1" applyBorder="1" applyAlignment="1">
      <alignment horizontal="center" vertical="center"/>
    </xf>
    <xf numFmtId="9" fontId="58" fillId="11" borderId="50" xfId="6" applyFont="1" applyFill="1" applyBorder="1" applyAlignment="1">
      <alignment horizontal="center" vertical="center"/>
    </xf>
    <xf numFmtId="1" fontId="58" fillId="11" borderId="51" xfId="6" applyNumberFormat="1" applyFont="1" applyFill="1" applyBorder="1" applyAlignment="1">
      <alignment horizontal="center" vertical="center"/>
    </xf>
    <xf numFmtId="0" fontId="23" fillId="24" borderId="69" xfId="0" applyFont="1" applyFill="1" applyBorder="1" applyAlignment="1">
      <alignment horizontal="center" vertical="center" wrapText="1"/>
    </xf>
    <xf numFmtId="0" fontId="0" fillId="0" borderId="59" xfId="0" applyBorder="1"/>
    <xf numFmtId="0" fontId="0" fillId="0" borderId="61" xfId="0" applyBorder="1"/>
    <xf numFmtId="0" fontId="0" fillId="0" borderId="63" xfId="0" applyBorder="1"/>
    <xf numFmtId="0" fontId="61" fillId="30" borderId="69" xfId="0" applyFont="1" applyFill="1" applyBorder="1" applyAlignment="1">
      <alignment horizontal="center" vertical="center" wrapText="1"/>
    </xf>
    <xf numFmtId="0" fontId="61" fillId="30" borderId="21" xfId="0" applyFont="1" applyFill="1" applyBorder="1" applyAlignment="1">
      <alignment horizontal="center" vertical="center" wrapText="1"/>
    </xf>
    <xf numFmtId="0" fontId="0" fillId="0" borderId="75" xfId="0" applyBorder="1"/>
    <xf numFmtId="0" fontId="23" fillId="29" borderId="65" xfId="0" applyFont="1" applyFill="1" applyBorder="1" applyAlignment="1">
      <alignment horizontal="center" vertical="center" wrapText="1"/>
    </xf>
    <xf numFmtId="0" fontId="23" fillId="24" borderId="65" xfId="0" applyFont="1" applyFill="1" applyBorder="1" applyAlignment="1">
      <alignment horizontal="center" vertical="center" wrapText="1"/>
    </xf>
    <xf numFmtId="0" fontId="23" fillId="24" borderId="24" xfId="0" applyFont="1" applyFill="1" applyBorder="1" applyAlignment="1">
      <alignment horizontal="center" vertical="center" wrapText="1"/>
    </xf>
    <xf numFmtId="0" fontId="61" fillId="30" borderId="65" xfId="0" applyFont="1" applyFill="1" applyBorder="1" applyAlignment="1">
      <alignment horizontal="center" vertical="center" wrapText="1"/>
    </xf>
    <xf numFmtId="0" fontId="0" fillId="0" borderId="0" xfId="0" applyAlignment="1">
      <alignment wrapText="1"/>
    </xf>
    <xf numFmtId="0" fontId="62" fillId="0" borderId="0" xfId="0" applyFont="1"/>
    <xf numFmtId="0" fontId="0" fillId="0" borderId="11" xfId="0" applyBorder="1" applyAlignment="1">
      <alignment horizontal="center"/>
    </xf>
    <xf numFmtId="0" fontId="0" fillId="0" borderId="16" xfId="0" applyBorder="1" applyAlignment="1">
      <alignment horizontal="center"/>
    </xf>
    <xf numFmtId="0" fontId="0" fillId="0" borderId="66" xfId="0" applyBorder="1" applyAlignment="1">
      <alignment horizontal="center"/>
    </xf>
    <xf numFmtId="0" fontId="0" fillId="0" borderId="70" xfId="0" applyBorder="1" applyAlignment="1">
      <alignment horizontal="center"/>
    </xf>
    <xf numFmtId="0" fontId="0" fillId="0" borderId="39" xfId="0" applyBorder="1" applyAlignment="1">
      <alignment horizontal="center"/>
    </xf>
    <xf numFmtId="0" fontId="0" fillId="0" borderId="15" xfId="0" applyBorder="1" applyAlignment="1">
      <alignment horizontal="center"/>
    </xf>
    <xf numFmtId="0" fontId="0" fillId="0" borderId="61" xfId="0" applyBorder="1" applyAlignment="1">
      <alignment horizontal="center"/>
    </xf>
    <xf numFmtId="0" fontId="0" fillId="0" borderId="39" xfId="0" applyFill="1" applyBorder="1" applyAlignment="1">
      <alignment horizontal="center"/>
    </xf>
    <xf numFmtId="0" fontId="0" fillId="0" borderId="71" xfId="0" applyBorder="1" applyAlignment="1">
      <alignment horizontal="center"/>
    </xf>
    <xf numFmtId="0" fontId="0" fillId="0" borderId="9" xfId="0" applyBorder="1" applyAlignment="1">
      <alignment horizontal="center"/>
    </xf>
    <xf numFmtId="0" fontId="0" fillId="0" borderId="18"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2" xfId="0" applyBorder="1" applyAlignment="1">
      <alignment horizontal="center"/>
    </xf>
    <xf numFmtId="0" fontId="0" fillId="0" borderId="74" xfId="0" applyBorder="1" applyAlignment="1">
      <alignment horizontal="center"/>
    </xf>
    <xf numFmtId="0" fontId="0" fillId="0" borderId="63" xfId="0" applyBorder="1" applyAlignment="1">
      <alignment horizontal="center"/>
    </xf>
    <xf numFmtId="0" fontId="0" fillId="0" borderId="73" xfId="0" applyBorder="1" applyAlignment="1">
      <alignment horizontal="center"/>
    </xf>
    <xf numFmtId="0" fontId="0" fillId="0" borderId="0" xfId="0" applyBorder="1" applyAlignment="1">
      <alignment horizontal="center"/>
    </xf>
    <xf numFmtId="0" fontId="61" fillId="25" borderId="14" xfId="0" applyFont="1" applyFill="1" applyBorder="1" applyAlignment="1">
      <alignment horizontal="center" vertical="center" wrapText="1"/>
    </xf>
    <xf numFmtId="0" fontId="61" fillId="25" borderId="10" xfId="0" applyFont="1" applyFill="1" applyBorder="1" applyAlignment="1">
      <alignment horizontal="center" vertical="center" wrapText="1"/>
    </xf>
    <xf numFmtId="0" fontId="61" fillId="25" borderId="0" xfId="0" applyFont="1" applyFill="1" applyBorder="1" applyAlignment="1">
      <alignment horizontal="center" vertical="center" wrapText="1"/>
    </xf>
    <xf numFmtId="0" fontId="0" fillId="0" borderId="82" xfId="0" applyBorder="1"/>
    <xf numFmtId="0" fontId="0" fillId="0" borderId="83" xfId="0" applyBorder="1"/>
    <xf numFmtId="0" fontId="0" fillId="0" borderId="87" xfId="0" applyBorder="1"/>
    <xf numFmtId="0" fontId="0" fillId="0" borderId="89" xfId="0" applyBorder="1"/>
    <xf numFmtId="0" fontId="64" fillId="0" borderId="85" xfId="0" applyFont="1" applyBorder="1" applyAlignment="1">
      <alignment horizontal="center" vertical="center"/>
    </xf>
    <xf numFmtId="0" fontId="64" fillId="0" borderId="86" xfId="0" applyFont="1" applyBorder="1" applyAlignment="1">
      <alignment horizontal="center"/>
    </xf>
    <xf numFmtId="0" fontId="64" fillId="0" borderId="88" xfId="0" applyFont="1" applyBorder="1" applyAlignment="1">
      <alignment horizontal="center"/>
    </xf>
    <xf numFmtId="0" fontId="64" fillId="0" borderId="85" xfId="0" applyFont="1" applyBorder="1" applyAlignment="1">
      <alignment horizontal="center"/>
    </xf>
    <xf numFmtId="0" fontId="64" fillId="0" borderId="83" xfId="0" applyFont="1" applyBorder="1" applyAlignment="1">
      <alignment horizontal="center"/>
    </xf>
    <xf numFmtId="0" fontId="66" fillId="0" borderId="86" xfId="0" applyFont="1" applyBorder="1"/>
    <xf numFmtId="0" fontId="66" fillId="0" borderId="85" xfId="0" applyFont="1" applyBorder="1"/>
    <xf numFmtId="0" fontId="67" fillId="0" borderId="86" xfId="0" applyFont="1" applyBorder="1"/>
    <xf numFmtId="0" fontId="67" fillId="0" borderId="85" xfId="0" applyFont="1" applyBorder="1"/>
    <xf numFmtId="9" fontId="64" fillId="0" borderId="85" xfId="2" applyFont="1" applyBorder="1" applyAlignment="1">
      <alignment horizontal="center"/>
    </xf>
    <xf numFmtId="9" fontId="64" fillId="0" borderId="86" xfId="2" applyFont="1" applyBorder="1" applyAlignment="1">
      <alignment horizontal="center"/>
    </xf>
    <xf numFmtId="0" fontId="2" fillId="0" borderId="89" xfId="0" applyFont="1" applyBorder="1" applyAlignment="1">
      <alignment vertical="center"/>
    </xf>
    <xf numFmtId="0" fontId="65" fillId="0" borderId="85" xfId="0" applyFont="1" applyBorder="1" applyAlignment="1">
      <alignment horizontal="center" vertical="center"/>
    </xf>
    <xf numFmtId="0" fontId="2" fillId="0" borderId="89" xfId="0" applyFont="1" applyBorder="1"/>
    <xf numFmtId="9" fontId="64" fillId="0" borderId="85" xfId="0" applyNumberFormat="1" applyFont="1" applyBorder="1" applyAlignment="1">
      <alignment horizontal="center"/>
    </xf>
    <xf numFmtId="2" fontId="64" fillId="0" borderId="85" xfId="0" applyNumberFormat="1" applyFont="1" applyBorder="1" applyAlignment="1">
      <alignment horizontal="center"/>
    </xf>
    <xf numFmtId="1" fontId="64" fillId="0" borderId="85" xfId="0" applyNumberFormat="1" applyFont="1" applyBorder="1" applyAlignment="1">
      <alignment horizontal="center"/>
    </xf>
    <xf numFmtId="1" fontId="64" fillId="0" borderId="83" xfId="0" applyNumberFormat="1" applyFont="1" applyBorder="1" applyAlignment="1">
      <alignment horizontal="center"/>
    </xf>
    <xf numFmtId="43" fontId="64" fillId="0" borderId="83" xfId="1" applyFont="1" applyBorder="1" applyAlignment="1">
      <alignment horizontal="center"/>
    </xf>
    <xf numFmtId="0" fontId="67" fillId="0" borderId="0" xfId="0" applyFont="1" applyBorder="1"/>
    <xf numFmtId="0" fontId="66" fillId="0" borderId="0" xfId="0" applyFont="1" applyBorder="1"/>
    <xf numFmtId="0" fontId="64" fillId="0" borderId="0" xfId="0" applyFont="1" applyBorder="1" applyAlignment="1">
      <alignment horizontal="center"/>
    </xf>
    <xf numFmtId="9" fontId="64" fillId="0" borderId="0" xfId="2" applyFont="1" applyBorder="1" applyAlignment="1">
      <alignment horizontal="center"/>
    </xf>
    <xf numFmtId="2" fontId="64" fillId="0" borderId="86" xfId="0" applyNumberFormat="1" applyFont="1" applyBorder="1" applyAlignment="1">
      <alignment horizontal="center"/>
    </xf>
    <xf numFmtId="2" fontId="64" fillId="0" borderId="88" xfId="0" applyNumberFormat="1" applyFont="1" applyBorder="1" applyAlignment="1">
      <alignment horizontal="center"/>
    </xf>
    <xf numFmtId="0" fontId="25" fillId="0" borderId="0" xfId="0" applyFont="1" applyFill="1" applyBorder="1"/>
    <xf numFmtId="0" fontId="68" fillId="32" borderId="0" xfId="0" applyFont="1" applyFill="1" applyBorder="1" applyAlignment="1"/>
    <xf numFmtId="0" fontId="69" fillId="32" borderId="0" xfId="0" applyFont="1" applyFill="1" applyBorder="1"/>
    <xf numFmtId="0" fontId="70" fillId="0" borderId="0" xfId="0" applyFont="1" applyFill="1" applyBorder="1"/>
    <xf numFmtId="0" fontId="69" fillId="32" borderId="58" xfId="0" applyFont="1" applyFill="1" applyBorder="1" applyAlignment="1">
      <alignment horizontal="center" vertical="center"/>
    </xf>
    <xf numFmtId="0" fontId="69" fillId="32" borderId="43" xfId="0" applyFont="1" applyFill="1" applyBorder="1" applyAlignment="1">
      <alignment horizontal="center" vertical="center"/>
    </xf>
    <xf numFmtId="0" fontId="71" fillId="32" borderId="0" xfId="0" applyFont="1" applyFill="1" applyBorder="1" applyAlignment="1">
      <alignment horizontal="left" vertical="center"/>
    </xf>
    <xf numFmtId="0" fontId="71" fillId="32" borderId="0" xfId="0" applyFont="1" applyFill="1" applyBorder="1" applyAlignment="1">
      <alignment vertical="center"/>
    </xf>
    <xf numFmtId="0" fontId="71" fillId="32" borderId="0" xfId="0" applyFont="1" applyFill="1" applyBorder="1" applyAlignment="1">
      <alignment horizontal="center" vertical="center"/>
    </xf>
    <xf numFmtId="0" fontId="68" fillId="0" borderId="2" xfId="0" applyFont="1" applyFill="1" applyBorder="1"/>
    <xf numFmtId="0" fontId="68" fillId="0" borderId="0" xfId="0" applyFont="1" applyFill="1" applyBorder="1"/>
    <xf numFmtId="0" fontId="68" fillId="0" borderId="0" xfId="0" applyFont="1" applyFill="1" applyBorder="1" applyAlignment="1">
      <alignment horizontal="left" vertical="center"/>
    </xf>
    <xf numFmtId="0" fontId="72" fillId="0" borderId="0" xfId="0" applyFont="1" applyFill="1" applyBorder="1"/>
    <xf numFmtId="0" fontId="69" fillId="32" borderId="9" xfId="0" applyFont="1" applyFill="1" applyBorder="1" applyAlignment="1">
      <alignment horizontal="center" vertical="center"/>
    </xf>
    <xf numFmtId="10" fontId="69" fillId="32" borderId="17" xfId="0" applyNumberFormat="1" applyFont="1" applyFill="1" applyBorder="1" applyAlignment="1">
      <alignment horizontal="center" vertical="center"/>
    </xf>
    <xf numFmtId="0" fontId="69" fillId="33" borderId="59" xfId="0" applyFont="1" applyFill="1" applyBorder="1" applyAlignment="1">
      <alignment horizontal="center" vertical="center"/>
    </xf>
    <xf numFmtId="0" fontId="70" fillId="33" borderId="90" xfId="0" applyFont="1" applyFill="1" applyBorder="1" applyAlignment="1">
      <alignment horizontal="center" vertical="center"/>
    </xf>
    <xf numFmtId="0" fontId="70" fillId="33" borderId="60" xfId="0" applyFont="1" applyFill="1" applyBorder="1" applyAlignment="1">
      <alignment horizontal="center" vertical="center"/>
    </xf>
    <xf numFmtId="0" fontId="70" fillId="32" borderId="39" xfId="0" applyFont="1" applyFill="1" applyBorder="1" applyAlignment="1">
      <alignment horizontal="center" vertical="center"/>
    </xf>
    <xf numFmtId="0" fontId="70" fillId="32" borderId="8" xfId="0" applyFont="1" applyFill="1" applyBorder="1" applyAlignment="1">
      <alignment horizontal="center" vertical="center"/>
    </xf>
    <xf numFmtId="0" fontId="69" fillId="33" borderId="61" xfId="0" applyFont="1" applyFill="1" applyBorder="1" applyAlignment="1">
      <alignment horizontal="center" vertical="center"/>
    </xf>
    <xf numFmtId="167" fontId="70" fillId="0" borderId="15" xfId="0" applyNumberFormat="1" applyFont="1" applyFill="1" applyBorder="1" applyAlignment="1">
      <alignment vertical="center"/>
    </xf>
    <xf numFmtId="177" fontId="70" fillId="0" borderId="15" xfId="0" applyNumberFormat="1" applyFont="1" applyFill="1" applyBorder="1" applyAlignment="1">
      <alignment vertical="center"/>
    </xf>
    <xf numFmtId="177" fontId="70" fillId="0" borderId="62" xfId="0" applyNumberFormat="1" applyFont="1" applyFill="1" applyBorder="1" applyAlignment="1">
      <alignment vertical="center"/>
    </xf>
    <xf numFmtId="0" fontId="69" fillId="33" borderId="68" xfId="0" applyFont="1" applyFill="1" applyBorder="1" applyAlignment="1">
      <alignment horizontal="center" vertical="center"/>
    </xf>
    <xf numFmtId="169" fontId="70" fillId="34" borderId="2" xfId="1" applyNumberFormat="1" applyFont="1" applyFill="1" applyBorder="1" applyAlignment="1">
      <alignment vertical="center"/>
    </xf>
    <xf numFmtId="169" fontId="70" fillId="0" borderId="2" xfId="1" applyNumberFormat="1" applyFont="1" applyFill="1" applyBorder="1" applyAlignment="1">
      <alignment vertical="center"/>
    </xf>
    <xf numFmtId="169" fontId="70" fillId="0" borderId="6" xfId="1" applyNumberFormat="1" applyFont="1" applyFill="1" applyBorder="1" applyAlignment="1">
      <alignment vertical="center"/>
    </xf>
    <xf numFmtId="0" fontId="69" fillId="32" borderId="39" xfId="0" applyFont="1" applyFill="1" applyBorder="1" applyAlignment="1">
      <alignment horizontal="center" vertical="center"/>
    </xf>
    <xf numFmtId="0" fontId="73" fillId="32" borderId="8" xfId="0" applyFont="1" applyFill="1" applyBorder="1" applyAlignment="1">
      <alignment horizontal="center" vertical="center"/>
    </xf>
    <xf numFmtId="0" fontId="25" fillId="0" borderId="0" xfId="0" applyFont="1" applyFill="1" applyBorder="1" applyAlignment="1">
      <alignment horizontal="center" vertical="center"/>
    </xf>
    <xf numFmtId="169" fontId="75" fillId="35" borderId="1" xfId="1" applyNumberFormat="1" applyFont="1" applyFill="1" applyBorder="1" applyAlignment="1">
      <alignment vertical="center"/>
    </xf>
    <xf numFmtId="169" fontId="70" fillId="0" borderId="0" xfId="1" applyNumberFormat="1" applyFont="1" applyFill="1" applyBorder="1" applyAlignment="1">
      <alignment vertical="center"/>
    </xf>
    <xf numFmtId="0" fontId="69" fillId="0" borderId="43" xfId="0" applyFont="1" applyFill="1" applyBorder="1" applyAlignment="1">
      <alignment horizontal="center" vertical="center"/>
    </xf>
    <xf numFmtId="0" fontId="69" fillId="0" borderId="15" xfId="0" applyFont="1" applyFill="1" applyBorder="1" applyAlignment="1">
      <alignment horizontal="center" vertical="center"/>
    </xf>
    <xf numFmtId="0" fontId="69" fillId="0" borderId="8" xfId="0" applyFont="1" applyFill="1" applyBorder="1" applyAlignment="1">
      <alignment horizontal="center" vertical="center"/>
    </xf>
    <xf numFmtId="0" fontId="70" fillId="33" borderId="57" xfId="0" applyFont="1" applyFill="1" applyBorder="1" applyAlignment="1">
      <alignment horizontal="center" vertical="center"/>
    </xf>
    <xf numFmtId="9" fontId="70" fillId="33" borderId="0" xfId="0" applyNumberFormat="1" applyFont="1" applyFill="1" applyBorder="1" applyAlignment="1">
      <alignment vertical="center"/>
    </xf>
    <xf numFmtId="0" fontId="70" fillId="33" borderId="0" xfId="0" applyFont="1" applyFill="1" applyBorder="1" applyAlignment="1">
      <alignment vertical="center"/>
    </xf>
    <xf numFmtId="2" fontId="70" fillId="33" borderId="14" xfId="0" applyNumberFormat="1" applyFont="1" applyFill="1" applyBorder="1" applyAlignment="1">
      <alignment vertical="center"/>
    </xf>
    <xf numFmtId="0" fontId="70" fillId="0" borderId="57" xfId="0" applyFont="1" applyFill="1" applyBorder="1" applyAlignment="1">
      <alignment horizontal="center" vertical="center"/>
    </xf>
    <xf numFmtId="9" fontId="70" fillId="0" borderId="0" xfId="0" applyNumberFormat="1" applyFont="1" applyFill="1" applyBorder="1" applyAlignment="1">
      <alignment vertical="center"/>
    </xf>
    <xf numFmtId="0" fontId="70" fillId="0" borderId="0" xfId="0" applyFont="1" applyFill="1" applyBorder="1" applyAlignment="1">
      <alignment vertical="center"/>
    </xf>
    <xf numFmtId="2" fontId="70" fillId="32" borderId="14" xfId="0" applyNumberFormat="1" applyFont="1" applyFill="1" applyBorder="1" applyAlignment="1">
      <alignment vertical="center"/>
    </xf>
    <xf numFmtId="0" fontId="69" fillId="33" borderId="63" xfId="0" applyFont="1" applyFill="1" applyBorder="1" applyAlignment="1">
      <alignment horizontal="center" vertical="center"/>
    </xf>
    <xf numFmtId="167" fontId="70" fillId="0" borderId="2" xfId="1" applyNumberFormat="1" applyFont="1" applyFill="1" applyBorder="1" applyAlignment="1">
      <alignment vertical="center"/>
    </xf>
    <xf numFmtId="0" fontId="69" fillId="0" borderId="65" xfId="0" applyFont="1" applyFill="1" applyBorder="1" applyAlignment="1">
      <alignment vertical="center"/>
    </xf>
    <xf numFmtId="169" fontId="69" fillId="0" borderId="21" xfId="0" applyNumberFormat="1" applyFont="1" applyFill="1" applyBorder="1" applyAlignment="1">
      <alignment vertical="center"/>
    </xf>
    <xf numFmtId="0" fontId="72" fillId="0" borderId="0" xfId="0" applyFont="1" applyFill="1" applyBorder="1" applyAlignment="1">
      <alignment vertical="center"/>
    </xf>
    <xf numFmtId="0" fontId="75" fillId="32" borderId="39" xfId="0" applyFont="1" applyFill="1" applyBorder="1" applyAlignment="1">
      <alignment vertical="center"/>
    </xf>
    <xf numFmtId="2" fontId="75" fillId="32" borderId="39" xfId="0" applyNumberFormat="1" applyFont="1" applyFill="1" applyBorder="1" applyAlignment="1">
      <alignment vertical="center"/>
    </xf>
    <xf numFmtId="169" fontId="75" fillId="36" borderId="1" xfId="1" applyNumberFormat="1" applyFont="1" applyFill="1" applyBorder="1" applyAlignment="1">
      <alignment vertical="center"/>
    </xf>
    <xf numFmtId="0" fontId="68" fillId="0" borderId="2" xfId="0" applyFont="1" applyFill="1" applyBorder="1" applyAlignment="1">
      <alignment vertical="center"/>
    </xf>
    <xf numFmtId="0" fontId="68" fillId="0" borderId="0" xfId="0" applyFont="1" applyFill="1" applyBorder="1" applyAlignment="1">
      <alignment vertical="center"/>
    </xf>
    <xf numFmtId="0" fontId="78" fillId="32" borderId="91" xfId="0" applyFont="1" applyFill="1" applyBorder="1" applyAlignment="1">
      <alignment horizontal="center" vertical="center"/>
    </xf>
    <xf numFmtId="0" fontId="78" fillId="32" borderId="90" xfId="0" applyFont="1" applyFill="1" applyBorder="1" applyAlignment="1">
      <alignment horizontal="center" vertical="center"/>
    </xf>
    <xf numFmtId="169" fontId="79" fillId="0" borderId="60" xfId="0" applyNumberFormat="1" applyFont="1" applyFill="1" applyBorder="1" applyAlignment="1">
      <alignment vertical="center"/>
    </xf>
    <xf numFmtId="0" fontId="78" fillId="32" borderId="92" xfId="0" applyFont="1" applyFill="1" applyBorder="1" applyAlignment="1">
      <alignment horizontal="center" vertical="center"/>
    </xf>
    <xf numFmtId="0" fontId="78" fillId="32" borderId="15" xfId="0" applyFont="1" applyFill="1" applyBorder="1" applyAlignment="1">
      <alignment horizontal="center" vertical="center"/>
    </xf>
    <xf numFmtId="169" fontId="79" fillId="0" borderId="62" xfId="0" applyNumberFormat="1" applyFont="1" applyFill="1" applyBorder="1" applyAlignment="1">
      <alignment vertical="center"/>
    </xf>
    <xf numFmtId="167" fontId="79" fillId="0" borderId="62" xfId="0" applyNumberFormat="1" applyFont="1" applyFill="1" applyBorder="1" applyAlignment="1">
      <alignment vertical="center"/>
    </xf>
    <xf numFmtId="0" fontId="78" fillId="32" borderId="93" xfId="0" applyFont="1" applyFill="1" applyBorder="1" applyAlignment="1">
      <alignment horizontal="center" vertical="center"/>
    </xf>
    <xf numFmtId="0" fontId="78" fillId="32" borderId="74" xfId="0" applyFont="1" applyFill="1" applyBorder="1" applyAlignment="1">
      <alignment horizontal="center" vertical="center"/>
    </xf>
    <xf numFmtId="169" fontId="79" fillId="0" borderId="64" xfId="0" applyNumberFormat="1" applyFont="1" applyFill="1" applyBorder="1" applyAlignment="1">
      <alignment vertical="center"/>
    </xf>
    <xf numFmtId="0" fontId="78" fillId="32" borderId="94" xfId="0" applyFont="1" applyFill="1" applyBorder="1" applyAlignment="1">
      <alignment horizontal="center" vertical="center"/>
    </xf>
    <xf numFmtId="0" fontId="78" fillId="32" borderId="16" xfId="0" applyFont="1" applyFill="1" applyBorder="1" applyAlignment="1">
      <alignment horizontal="center" vertical="center"/>
    </xf>
    <xf numFmtId="169" fontId="79" fillId="0" borderId="67" xfId="0" applyNumberFormat="1" applyFont="1" applyFill="1" applyBorder="1" applyAlignment="1">
      <alignment vertical="center"/>
    </xf>
    <xf numFmtId="0" fontId="78" fillId="32" borderId="5" xfId="0" applyFont="1" applyFill="1" applyBorder="1" applyAlignment="1">
      <alignment horizontal="center" vertical="center"/>
    </xf>
    <xf numFmtId="0" fontId="78" fillId="32" borderId="2" xfId="0" applyFont="1" applyFill="1" applyBorder="1" applyAlignment="1">
      <alignment horizontal="center" vertical="center"/>
    </xf>
    <xf numFmtId="169" fontId="79" fillId="0" borderId="6" xfId="0" applyNumberFormat="1" applyFont="1" applyFill="1" applyBorder="1" applyAlignment="1">
      <alignment vertical="center"/>
    </xf>
    <xf numFmtId="0" fontId="80" fillId="32" borderId="0" xfId="0" applyFont="1" applyFill="1" applyBorder="1"/>
    <xf numFmtId="0" fontId="0" fillId="0" borderId="0" xfId="0" quotePrefix="1"/>
    <xf numFmtId="0" fontId="58" fillId="11" borderId="53" xfId="0" applyFont="1" applyFill="1" applyBorder="1" applyAlignment="1">
      <alignment horizontal="center" vertical="center" wrapText="1"/>
    </xf>
    <xf numFmtId="0" fontId="0" fillId="4" borderId="39" xfId="0" applyFill="1" applyBorder="1"/>
    <xf numFmtId="10" fontId="0" fillId="4" borderId="39" xfId="0" applyNumberFormat="1" applyFill="1" applyBorder="1"/>
    <xf numFmtId="0" fontId="0" fillId="4" borderId="0" xfId="0" applyFill="1" applyAlignment="1">
      <alignment wrapText="1"/>
    </xf>
    <xf numFmtId="0" fontId="0" fillId="4" borderId="39" xfId="0" applyFill="1" applyBorder="1" applyAlignment="1">
      <alignment wrapText="1"/>
    </xf>
    <xf numFmtId="0" fontId="0" fillId="38" borderId="59" xfId="0" applyFill="1" applyBorder="1"/>
    <xf numFmtId="0" fontId="0" fillId="10" borderId="95" xfId="0" applyFill="1" applyBorder="1" applyAlignment="1">
      <alignment horizontal="center" vertical="center"/>
    </xf>
    <xf numFmtId="0" fontId="0" fillId="10" borderId="96" xfId="0" applyFill="1" applyBorder="1" applyAlignment="1">
      <alignment horizontal="center" vertical="center"/>
    </xf>
    <xf numFmtId="174" fontId="0" fillId="4" borderId="0" xfId="0" applyNumberFormat="1" applyFill="1"/>
    <xf numFmtId="43" fontId="0" fillId="4" borderId="0" xfId="0" applyNumberFormat="1" applyFill="1"/>
    <xf numFmtId="43" fontId="0" fillId="39" borderId="39" xfId="0" applyNumberFormat="1" applyFill="1" applyBorder="1"/>
    <xf numFmtId="43" fontId="82" fillId="26" borderId="39" xfId="0" applyNumberFormat="1" applyFont="1" applyFill="1" applyBorder="1"/>
    <xf numFmtId="0" fontId="0" fillId="4" borderId="61" xfId="0" applyFill="1" applyBorder="1"/>
    <xf numFmtId="0" fontId="0" fillId="4" borderId="39" xfId="0" quotePrefix="1" applyNumberFormat="1" applyFill="1" applyBorder="1" applyAlignment="1">
      <alignment horizontal="center" vertical="center"/>
    </xf>
    <xf numFmtId="0" fontId="0" fillId="4" borderId="39" xfId="0" applyFill="1" applyBorder="1" applyAlignment="1">
      <alignment horizontal="center" vertical="center"/>
    </xf>
    <xf numFmtId="0" fontId="0" fillId="4" borderId="71" xfId="0" applyFill="1" applyBorder="1" applyAlignment="1">
      <alignment horizontal="center" vertical="center"/>
    </xf>
    <xf numFmtId="10" fontId="43" fillId="4" borderId="0" xfId="2" applyNumberFormat="1" applyFont="1" applyFill="1"/>
    <xf numFmtId="1" fontId="0" fillId="4" borderId="0" xfId="0" applyNumberFormat="1" applyFill="1"/>
    <xf numFmtId="43" fontId="0" fillId="40" borderId="39" xfId="0" applyNumberFormat="1" applyFill="1" applyBorder="1"/>
    <xf numFmtId="43" fontId="83" fillId="12" borderId="39" xfId="0" applyNumberFormat="1" applyFont="1" applyFill="1" applyBorder="1"/>
    <xf numFmtId="0" fontId="0" fillId="4" borderId="39" xfId="0" quotePrefix="1" applyFill="1" applyBorder="1" applyAlignment="1">
      <alignment horizontal="center"/>
    </xf>
    <xf numFmtId="0" fontId="0" fillId="4" borderId="39" xfId="0" applyFill="1" applyBorder="1" applyAlignment="1">
      <alignment horizontal="center"/>
    </xf>
    <xf numFmtId="0" fontId="0" fillId="4" borderId="71" xfId="0" applyFill="1" applyBorder="1" applyAlignment="1">
      <alignment horizontal="center"/>
    </xf>
    <xf numFmtId="0" fontId="44" fillId="16" borderId="63" xfId="0" applyFont="1" applyFill="1" applyBorder="1"/>
    <xf numFmtId="2" fontId="44" fillId="16" borderId="72" xfId="0" applyNumberFormat="1" applyFont="1" applyFill="1" applyBorder="1" applyAlignment="1">
      <alignment horizontal="center"/>
    </xf>
    <xf numFmtId="2" fontId="44" fillId="16" borderId="73" xfId="0" applyNumberFormat="1" applyFont="1" applyFill="1" applyBorder="1" applyAlignment="1">
      <alignment horizontal="center"/>
    </xf>
    <xf numFmtId="0" fontId="0" fillId="10" borderId="95" xfId="0" applyFill="1" applyBorder="1" applyAlignment="1">
      <alignment horizontal="center"/>
    </xf>
    <xf numFmtId="0" fontId="0" fillId="10" borderId="96" xfId="0" applyFill="1" applyBorder="1" applyAlignment="1">
      <alignment horizontal="center"/>
    </xf>
    <xf numFmtId="2" fontId="0" fillId="4" borderId="39" xfId="0" applyNumberFormat="1" applyFill="1" applyBorder="1" applyAlignment="1">
      <alignment horizontal="center"/>
    </xf>
    <xf numFmtId="2" fontId="0" fillId="4" borderId="71" xfId="0" applyNumberFormat="1" applyFill="1" applyBorder="1" applyAlignment="1">
      <alignment horizontal="center"/>
    </xf>
    <xf numFmtId="0" fontId="0" fillId="4" borderId="0" xfId="0" applyFill="1" applyAlignment="1">
      <alignment horizontal="center"/>
    </xf>
    <xf numFmtId="0" fontId="0" fillId="4" borderId="75" xfId="0" applyFill="1" applyBorder="1" applyAlignment="1"/>
    <xf numFmtId="43" fontId="0" fillId="4" borderId="39" xfId="0" applyNumberFormat="1" applyFill="1" applyBorder="1" applyAlignment="1">
      <alignment horizontal="center"/>
    </xf>
    <xf numFmtId="0" fontId="0" fillId="4" borderId="66" xfId="0" applyFill="1" applyBorder="1" applyAlignment="1"/>
    <xf numFmtId="43" fontId="43" fillId="4" borderId="39" xfId="1" applyFont="1" applyFill="1" applyBorder="1" applyAlignment="1">
      <alignment horizontal="center"/>
    </xf>
    <xf numFmtId="0" fontId="0" fillId="4" borderId="97" xfId="0" applyFill="1" applyBorder="1" applyAlignment="1"/>
    <xf numFmtId="43" fontId="0" fillId="4" borderId="9" xfId="0" applyNumberFormat="1" applyFill="1" applyBorder="1" applyAlignment="1">
      <alignment horizontal="center"/>
    </xf>
    <xf numFmtId="1" fontId="0" fillId="39" borderId="7" xfId="0" applyNumberFormat="1" applyFont="1" applyFill="1" applyBorder="1"/>
    <xf numFmtId="1" fontId="0" fillId="39" borderId="24" xfId="0" applyNumberFormat="1" applyFont="1" applyFill="1" applyBorder="1"/>
    <xf numFmtId="43" fontId="0" fillId="39" borderId="21" xfId="0" applyNumberFormat="1" applyFill="1" applyBorder="1"/>
    <xf numFmtId="0" fontId="0" fillId="16" borderId="63" xfId="0" applyFill="1" applyBorder="1"/>
    <xf numFmtId="43" fontId="44" fillId="16" borderId="72" xfId="0" applyNumberFormat="1" applyFont="1" applyFill="1" applyBorder="1" applyAlignment="1">
      <alignment horizontal="center"/>
    </xf>
    <xf numFmtId="43" fontId="44" fillId="16" borderId="73" xfId="0" applyNumberFormat="1" applyFont="1" applyFill="1" applyBorder="1" applyAlignment="1">
      <alignment horizontal="center"/>
    </xf>
    <xf numFmtId="0" fontId="44" fillId="4" borderId="0" xfId="0" applyFont="1" applyFill="1"/>
    <xf numFmtId="0" fontId="0" fillId="4" borderId="0" xfId="0" applyFont="1" applyFill="1"/>
    <xf numFmtId="1" fontId="0" fillId="4" borderId="0" xfId="0" applyNumberFormat="1" applyFont="1" applyFill="1"/>
    <xf numFmtId="43" fontId="44" fillId="4" borderId="0" xfId="0" applyNumberFormat="1" applyFont="1" applyFill="1"/>
    <xf numFmtId="1" fontId="0" fillId="40" borderId="7" xfId="0" applyNumberFormat="1" applyFill="1" applyBorder="1"/>
    <xf numFmtId="1" fontId="0" fillId="40" borderId="24" xfId="0" applyNumberFormat="1" applyFill="1" applyBorder="1"/>
    <xf numFmtId="43" fontId="0" fillId="40" borderId="21" xfId="0" applyNumberFormat="1" applyFill="1" applyBorder="1"/>
    <xf numFmtId="0" fontId="0" fillId="4" borderId="59" xfId="0" applyFill="1" applyBorder="1" applyAlignment="1">
      <alignment horizontal="center"/>
    </xf>
    <xf numFmtId="0" fontId="84" fillId="41" borderId="95" xfId="0" applyFont="1" applyFill="1" applyBorder="1" applyAlignment="1">
      <alignment horizontal="center"/>
    </xf>
    <xf numFmtId="0" fontId="84" fillId="41" borderId="96" xfId="0" applyFont="1" applyFill="1" applyBorder="1" applyAlignment="1">
      <alignment horizontal="center"/>
    </xf>
    <xf numFmtId="0" fontId="0" fillId="16" borderId="63" xfId="0" applyFill="1" applyBorder="1" applyAlignment="1">
      <alignment horizontal="center"/>
    </xf>
    <xf numFmtId="43" fontId="0" fillId="16" borderId="72" xfId="0" applyNumberFormat="1" applyFill="1" applyBorder="1" applyAlignment="1">
      <alignment horizontal="center"/>
    </xf>
    <xf numFmtId="43" fontId="0" fillId="16" borderId="73" xfId="0" applyNumberFormat="1" applyFill="1" applyBorder="1" applyAlignment="1">
      <alignment horizontal="center"/>
    </xf>
    <xf numFmtId="0" fontId="0" fillId="16" borderId="7" xfId="0" applyFill="1" applyBorder="1" applyAlignment="1">
      <alignment horizontal="center"/>
    </xf>
    <xf numFmtId="43" fontId="0" fillId="16" borderId="78" xfId="0" applyNumberFormat="1" applyFill="1" applyBorder="1" applyAlignment="1">
      <alignment horizontal="center"/>
    </xf>
    <xf numFmtId="43" fontId="0" fillId="16" borderId="24" xfId="0" applyNumberFormat="1" applyFill="1" applyBorder="1" applyAlignment="1">
      <alignment horizontal="center"/>
    </xf>
    <xf numFmtId="43" fontId="0" fillId="16" borderId="21" xfId="0" applyNumberFormat="1" applyFill="1" applyBorder="1" applyAlignment="1">
      <alignment horizontal="center"/>
    </xf>
    <xf numFmtId="43" fontId="44" fillId="4" borderId="71" xfId="0" applyNumberFormat="1" applyFont="1" applyFill="1" applyBorder="1" applyAlignment="1">
      <alignment horizontal="right"/>
    </xf>
    <xf numFmtId="0" fontId="44" fillId="4" borderId="71" xfId="0" applyFont="1" applyFill="1" applyBorder="1" applyAlignment="1">
      <alignment horizontal="right"/>
    </xf>
    <xf numFmtId="0" fontId="0" fillId="4" borderId="63" xfId="0" applyFill="1" applyBorder="1"/>
    <xf numFmtId="43" fontId="44" fillId="4" borderId="73" xfId="0" applyNumberFormat="1" applyFont="1" applyFill="1" applyBorder="1" applyAlignment="1">
      <alignment horizontal="right"/>
    </xf>
    <xf numFmtId="174" fontId="43" fillId="4" borderId="0" xfId="31" applyNumberFormat="1" applyFont="1" applyFill="1"/>
    <xf numFmtId="10" fontId="0" fillId="4" borderId="0" xfId="0" applyNumberFormat="1" applyFill="1"/>
    <xf numFmtId="0" fontId="0" fillId="4" borderId="0" xfId="0" applyFill="1" applyAlignment="1">
      <alignment horizontal="right"/>
    </xf>
    <xf numFmtId="0" fontId="44" fillId="4" borderId="12" xfId="0" applyFont="1" applyFill="1" applyBorder="1" applyAlignment="1">
      <alignment horizontal="center"/>
    </xf>
    <xf numFmtId="0" fontId="44" fillId="4" borderId="4" xfId="0" applyFont="1" applyFill="1" applyBorder="1" applyAlignment="1">
      <alignment horizontal="center"/>
    </xf>
    <xf numFmtId="43" fontId="0" fillId="4" borderId="71" xfId="0" applyNumberFormat="1" applyFill="1" applyBorder="1" applyAlignment="1">
      <alignment horizontal="center"/>
    </xf>
    <xf numFmtId="43" fontId="0" fillId="4" borderId="39" xfId="0" applyNumberFormat="1" applyFill="1" applyBorder="1"/>
    <xf numFmtId="0" fontId="0" fillId="4" borderId="71" xfId="0" applyFill="1" applyBorder="1"/>
    <xf numFmtId="2" fontId="0" fillId="4" borderId="39" xfId="0" applyNumberFormat="1" applyFill="1" applyBorder="1"/>
    <xf numFmtId="43" fontId="0" fillId="4" borderId="2" xfId="0" applyNumberFormat="1" applyFill="1" applyBorder="1"/>
    <xf numFmtId="0" fontId="0" fillId="4" borderId="0" xfId="0" applyFill="1" applyBorder="1" applyAlignment="1">
      <alignment horizontal="center"/>
    </xf>
    <xf numFmtId="43" fontId="0" fillId="4" borderId="0" xfId="0" applyNumberFormat="1" applyFill="1" applyBorder="1" applyAlignment="1">
      <alignment horizontal="center"/>
    </xf>
    <xf numFmtId="0" fontId="0" fillId="25" borderId="39" xfId="0" applyFill="1" applyBorder="1"/>
    <xf numFmtId="0" fontId="0" fillId="4" borderId="98" xfId="0" applyFill="1" applyBorder="1"/>
    <xf numFmtId="0" fontId="0" fillId="4" borderId="101" xfId="0" applyFill="1" applyBorder="1"/>
    <xf numFmtId="0" fontId="64" fillId="4" borderId="99" xfId="0" applyFont="1" applyFill="1" applyBorder="1" applyAlignment="1">
      <alignment horizontal="center" vertical="center"/>
    </xf>
    <xf numFmtId="0" fontId="64" fillId="4" borderId="101" xfId="0" applyFont="1" applyFill="1" applyBorder="1" applyAlignment="1">
      <alignment horizontal="center" vertical="center"/>
    </xf>
    <xf numFmtId="9" fontId="85" fillId="4" borderId="101" xfId="30" applyFont="1" applyFill="1" applyBorder="1" applyAlignment="1">
      <alignment horizontal="center" vertical="center"/>
    </xf>
    <xf numFmtId="9" fontId="85" fillId="4" borderId="99" xfId="30" applyFont="1" applyFill="1" applyBorder="1" applyAlignment="1">
      <alignment horizontal="center" vertical="center"/>
    </xf>
    <xf numFmtId="9" fontId="64" fillId="4" borderId="99" xfId="0" applyNumberFormat="1" applyFont="1" applyFill="1" applyBorder="1" applyAlignment="1">
      <alignment horizontal="center" vertical="center"/>
    </xf>
    <xf numFmtId="0" fontId="86" fillId="4" borderId="100" xfId="0" applyFont="1" applyFill="1" applyBorder="1"/>
    <xf numFmtId="0" fontId="0" fillId="30" borderId="59" xfId="0" applyFill="1" applyBorder="1"/>
    <xf numFmtId="1" fontId="0" fillId="0" borderId="0" xfId="0" applyNumberFormat="1"/>
    <xf numFmtId="178" fontId="0" fillId="4" borderId="0" xfId="0" applyNumberFormat="1" applyFill="1" applyAlignment="1">
      <alignment horizontal="center" vertical="center"/>
    </xf>
    <xf numFmtId="178" fontId="0" fillId="4" borderId="0" xfId="0" applyNumberFormat="1" applyFill="1"/>
    <xf numFmtId="44" fontId="0" fillId="4" borderId="0" xfId="29" applyFont="1" applyFill="1"/>
    <xf numFmtId="0" fontId="87" fillId="4" borderId="39" xfId="0" applyFont="1" applyFill="1" applyBorder="1"/>
    <xf numFmtId="1" fontId="87" fillId="4" borderId="39" xfId="0" applyNumberFormat="1" applyFont="1" applyFill="1" applyBorder="1" applyAlignment="1">
      <alignment horizontal="center"/>
    </xf>
    <xf numFmtId="0" fontId="87" fillId="4" borderId="39" xfId="0" applyFont="1" applyFill="1" applyBorder="1" applyAlignment="1">
      <alignment horizontal="center"/>
    </xf>
    <xf numFmtId="0" fontId="13" fillId="43" borderId="39" xfId="0" applyFont="1" applyFill="1" applyBorder="1" applyAlignment="1">
      <alignment horizontal="center" vertical="center"/>
    </xf>
    <xf numFmtId="0" fontId="87" fillId="4" borderId="0" xfId="0" applyFont="1" applyFill="1"/>
    <xf numFmtId="0" fontId="88" fillId="4" borderId="11" xfId="0" applyFont="1" applyFill="1" applyBorder="1"/>
    <xf numFmtId="1" fontId="2" fillId="4" borderId="15" xfId="0" applyNumberFormat="1" applyFont="1" applyFill="1" applyBorder="1" applyAlignment="1">
      <alignment horizontal="center" vertical="center"/>
    </xf>
    <xf numFmtId="0" fontId="46" fillId="29" borderId="105" xfId="0" applyFont="1" applyFill="1" applyBorder="1" applyAlignment="1">
      <alignment horizontal="center" vertical="center"/>
    </xf>
    <xf numFmtId="0" fontId="46" fillId="29" borderId="106" xfId="0" applyFont="1" applyFill="1" applyBorder="1" applyAlignment="1">
      <alignment horizontal="center" vertical="center"/>
    </xf>
    <xf numFmtId="0" fontId="46" fillId="29" borderId="107" xfId="0" applyFont="1" applyFill="1" applyBorder="1" applyAlignment="1">
      <alignment horizontal="center" vertical="center"/>
    </xf>
    <xf numFmtId="0" fontId="46" fillId="29" borderId="0" xfId="0" applyFont="1" applyFill="1" applyAlignment="1">
      <alignment horizontal="center" vertical="center"/>
    </xf>
    <xf numFmtId="0" fontId="46" fillId="29" borderId="0" xfId="0" applyFont="1" applyFill="1" applyAlignment="1">
      <alignment horizontal="center" vertical="center" wrapText="1"/>
    </xf>
    <xf numFmtId="0" fontId="46" fillId="29" borderId="0" xfId="0" applyFont="1" applyFill="1" applyAlignment="1">
      <alignment horizontal="center"/>
    </xf>
    <xf numFmtId="0" fontId="46" fillId="29" borderId="0" xfId="0" applyFont="1" applyFill="1"/>
    <xf numFmtId="0" fontId="46" fillId="29" borderId="0" xfId="0" applyFont="1" applyFill="1" applyAlignment="1">
      <alignment horizontal="left" vertical="center"/>
    </xf>
    <xf numFmtId="0" fontId="89" fillId="4" borderId="0" xfId="32" applyFont="1" applyFill="1" applyAlignment="1">
      <alignment horizontal="left" vertical="center"/>
    </xf>
    <xf numFmtId="0" fontId="89" fillId="2" borderId="0" xfId="32" applyFont="1" applyFill="1" applyAlignment="1">
      <alignment horizontal="left" vertical="center"/>
    </xf>
    <xf numFmtId="0" fontId="89" fillId="44" borderId="0" xfId="32" applyFont="1" applyFill="1" applyAlignment="1">
      <alignment horizontal="left" vertical="center"/>
    </xf>
    <xf numFmtId="0" fontId="89" fillId="16" borderId="0" xfId="32" applyFont="1" applyFill="1" applyAlignment="1">
      <alignment horizontal="left" vertical="center"/>
    </xf>
    <xf numFmtId="0" fontId="46" fillId="4" borderId="0" xfId="0" applyFont="1" applyFill="1" applyAlignment="1">
      <alignment horizontal="center" vertical="center" wrapText="1"/>
    </xf>
    <xf numFmtId="0" fontId="46" fillId="4" borderId="0" xfId="0" applyFont="1" applyFill="1" applyAlignment="1">
      <alignment horizontal="left" vertical="center"/>
    </xf>
    <xf numFmtId="0" fontId="89" fillId="4" borderId="0" xfId="32" applyFont="1" applyFill="1"/>
    <xf numFmtId="0" fontId="89" fillId="2" borderId="0" xfId="32" applyFont="1" applyFill="1"/>
    <xf numFmtId="0" fontId="89" fillId="44" borderId="0" xfId="32" applyFont="1" applyFill="1"/>
    <xf numFmtId="0" fontId="89" fillId="16" borderId="0" xfId="32" applyFont="1" applyFill="1"/>
    <xf numFmtId="0" fontId="46" fillId="4" borderId="0" xfId="0" applyFont="1" applyFill="1" applyAlignment="1">
      <alignment horizontal="center" vertical="center"/>
    </xf>
    <xf numFmtId="0" fontId="46" fillId="4" borderId="0" xfId="0" applyFont="1" applyFill="1"/>
    <xf numFmtId="10" fontId="46" fillId="29" borderId="0" xfId="2" applyNumberFormat="1" applyFont="1" applyFill="1" applyAlignment="1">
      <alignment horizontal="center"/>
    </xf>
    <xf numFmtId="9" fontId="0" fillId="0" borderId="0" xfId="2" applyFont="1" applyAlignment="1">
      <alignment horizontal="center" vertical="center"/>
    </xf>
    <xf numFmtId="43" fontId="0" fillId="3" borderId="0" xfId="0" applyNumberFormat="1" applyFill="1"/>
    <xf numFmtId="44" fontId="0" fillId="3" borderId="0" xfId="29" applyFont="1" applyFill="1"/>
    <xf numFmtId="44" fontId="0" fillId="3" borderId="0" xfId="0" applyNumberFormat="1" applyFill="1"/>
    <xf numFmtId="174" fontId="46" fillId="29" borderId="0" xfId="1" applyNumberFormat="1" applyFont="1" applyFill="1" applyAlignment="1">
      <alignment horizontal="center"/>
    </xf>
    <xf numFmtId="44" fontId="0" fillId="3" borderId="0" xfId="29" applyNumberFormat="1" applyFont="1" applyFill="1"/>
    <xf numFmtId="44" fontId="0" fillId="0" borderId="0" xfId="0" applyNumberFormat="1"/>
    <xf numFmtId="0" fontId="90" fillId="45" borderId="7" xfId="0" applyFont="1" applyFill="1" applyBorder="1"/>
    <xf numFmtId="0" fontId="0" fillId="45" borderId="24" xfId="0" applyFill="1" applyBorder="1"/>
    <xf numFmtId="1" fontId="0" fillId="4" borderId="39" xfId="0" applyNumberFormat="1" applyFill="1" applyBorder="1" applyAlignment="1">
      <alignment horizontal="center"/>
    </xf>
    <xf numFmtId="0" fontId="13" fillId="46" borderId="39" xfId="0" applyFont="1" applyFill="1" applyBorder="1" applyAlignment="1">
      <alignment horizontal="center" vertical="center"/>
    </xf>
    <xf numFmtId="0" fontId="2" fillId="4" borderId="11" xfId="0" applyFont="1" applyFill="1" applyBorder="1"/>
    <xf numFmtId="0" fontId="2" fillId="4" borderId="0" xfId="0" applyFont="1" applyFill="1" applyBorder="1"/>
    <xf numFmtId="1" fontId="2" fillId="4" borderId="0" xfId="0" applyNumberFormat="1" applyFont="1" applyFill="1" applyBorder="1" applyAlignment="1">
      <alignment horizontal="center" vertical="center"/>
    </xf>
    <xf numFmtId="0" fontId="91" fillId="4" borderId="0" xfId="0" applyFont="1" applyFill="1"/>
    <xf numFmtId="0" fontId="45" fillId="47" borderId="0" xfId="0" applyFont="1" applyFill="1" applyAlignment="1">
      <alignment horizontal="center"/>
    </xf>
    <xf numFmtId="174" fontId="1" fillId="51" borderId="0" xfId="33" applyNumberFormat="1" applyFont="1" applyFill="1"/>
    <xf numFmtId="9" fontId="1" fillId="51" borderId="0" xfId="34" applyFont="1" applyFill="1"/>
    <xf numFmtId="174" fontId="1" fillId="52" borderId="0" xfId="33" applyNumberFormat="1" applyFont="1" applyFill="1"/>
    <xf numFmtId="9" fontId="1" fillId="52" borderId="0" xfId="34" applyFont="1" applyFill="1"/>
    <xf numFmtId="174" fontId="1" fillId="53" borderId="0" xfId="33" applyNumberFormat="1" applyFont="1" applyFill="1"/>
    <xf numFmtId="9" fontId="1" fillId="53" borderId="0" xfId="34" applyNumberFormat="1" applyFont="1" applyFill="1"/>
    <xf numFmtId="174" fontId="45" fillId="47" borderId="0" xfId="33" applyNumberFormat="1" applyFont="1" applyFill="1" applyAlignment="1">
      <alignment horizontal="center"/>
    </xf>
    <xf numFmtId="0" fontId="44" fillId="0" borderId="111" xfId="0" applyFont="1" applyBorder="1"/>
    <xf numFmtId="14" fontId="2" fillId="0" borderId="112" xfId="0" applyNumberFormat="1" applyFont="1" applyBorder="1"/>
    <xf numFmtId="14" fontId="2" fillId="0" borderId="113" xfId="0" applyNumberFormat="1" applyFont="1" applyBorder="1"/>
    <xf numFmtId="0" fontId="2" fillId="0" borderId="114" xfId="0" applyFont="1" applyBorder="1"/>
    <xf numFmtId="174" fontId="1" fillId="0" borderId="115" xfId="33" applyNumberFormat="1" applyFont="1" applyBorder="1"/>
    <xf numFmtId="174" fontId="1" fillId="0" borderId="116" xfId="33" applyNumberFormat="1" applyFont="1" applyBorder="1"/>
    <xf numFmtId="0" fontId="0" fillId="0" borderId="114" xfId="0" applyBorder="1"/>
    <xf numFmtId="174" fontId="1" fillId="4" borderId="0" xfId="33" applyNumberFormat="1" applyFont="1" applyFill="1"/>
    <xf numFmtId="0" fontId="2" fillId="0" borderId="111" xfId="0" applyFont="1" applyBorder="1"/>
    <xf numFmtId="0" fontId="0" fillId="0" borderId="112" xfId="0" applyBorder="1"/>
    <xf numFmtId="174" fontId="1" fillId="0" borderId="112" xfId="33" applyNumberFormat="1" applyFont="1" applyBorder="1"/>
    <xf numFmtId="174" fontId="1" fillId="0" borderId="113" xfId="33" applyNumberFormat="1" applyFont="1" applyBorder="1"/>
    <xf numFmtId="174" fontId="2" fillId="0" borderId="115" xfId="33" applyNumberFormat="1" applyFont="1" applyBorder="1"/>
    <xf numFmtId="174" fontId="2" fillId="0" borderId="116" xfId="33" applyNumberFormat="1" applyFont="1" applyBorder="1"/>
    <xf numFmtId="0" fontId="2" fillId="11" borderId="117" xfId="0" applyFont="1" applyFill="1" applyBorder="1"/>
    <xf numFmtId="174" fontId="2" fillId="11" borderId="118" xfId="33" applyNumberFormat="1" applyFont="1" applyFill="1" applyBorder="1"/>
    <xf numFmtId="174" fontId="2" fillId="11" borderId="119" xfId="33" applyNumberFormat="1" applyFont="1" applyFill="1" applyBorder="1"/>
    <xf numFmtId="0" fontId="90" fillId="45" borderId="21" xfId="0" applyFont="1" applyFill="1" applyBorder="1"/>
    <xf numFmtId="0" fontId="2" fillId="11" borderId="3" xfId="0" applyFont="1" applyFill="1" applyBorder="1"/>
    <xf numFmtId="0" fontId="2" fillId="11" borderId="120" xfId="0" applyNumberFormat="1" applyFont="1" applyFill="1" applyBorder="1"/>
    <xf numFmtId="0" fontId="2" fillId="11" borderId="80" xfId="0" applyNumberFormat="1" applyFont="1" applyFill="1" applyBorder="1"/>
    <xf numFmtId="0" fontId="2" fillId="11" borderId="4" xfId="0" applyNumberFormat="1" applyFont="1" applyFill="1" applyBorder="1"/>
    <xf numFmtId="0" fontId="0" fillId="0" borderId="121" xfId="0" applyBorder="1"/>
    <xf numFmtId="174" fontId="0" fillId="0" borderId="122" xfId="0" applyNumberFormat="1" applyBorder="1"/>
    <xf numFmtId="174" fontId="0" fillId="0" borderId="112" xfId="0" applyNumberFormat="1" applyBorder="1"/>
    <xf numFmtId="174" fontId="0" fillId="0" borderId="123" xfId="0" applyNumberFormat="1" applyBorder="1"/>
    <xf numFmtId="0" fontId="0" fillId="0" borderId="124" xfId="0" applyBorder="1"/>
    <xf numFmtId="174" fontId="0" fillId="0" borderId="125" xfId="0" applyNumberFormat="1" applyBorder="1"/>
    <xf numFmtId="174" fontId="0" fillId="0" borderId="115" xfId="0" applyNumberFormat="1" applyBorder="1"/>
    <xf numFmtId="174" fontId="0" fillId="0" borderId="126" xfId="0" applyNumberFormat="1" applyBorder="1"/>
    <xf numFmtId="10" fontId="2" fillId="54" borderId="112" xfId="34" applyNumberFormat="1" applyFont="1" applyFill="1" applyBorder="1"/>
    <xf numFmtId="10" fontId="2" fillId="0" borderId="112" xfId="34" applyNumberFormat="1" applyFont="1" applyBorder="1"/>
    <xf numFmtId="10" fontId="2" fillId="0" borderId="113" xfId="34" applyNumberFormat="1" applyFont="1" applyBorder="1"/>
    <xf numFmtId="0" fontId="47" fillId="0" borderId="77" xfId="0" applyFont="1" applyBorder="1"/>
    <xf numFmtId="10" fontId="2" fillId="54" borderId="115" xfId="34" applyNumberFormat="1" applyFont="1" applyFill="1" applyBorder="1"/>
    <xf numFmtId="10" fontId="2" fillId="0" borderId="115" xfId="34" applyNumberFormat="1" applyFont="1" applyBorder="1"/>
    <xf numFmtId="10" fontId="2" fillId="0" borderId="116" xfId="34" applyNumberFormat="1" applyFont="1" applyBorder="1"/>
    <xf numFmtId="0" fontId="47" fillId="0" borderId="97" xfId="0" applyFont="1" applyBorder="1"/>
    <xf numFmtId="0" fontId="0" fillId="0" borderId="127" xfId="0" applyBorder="1"/>
    <xf numFmtId="174" fontId="0" fillId="0" borderId="128" xfId="0" applyNumberFormat="1" applyBorder="1"/>
    <xf numFmtId="174" fontId="0" fillId="0" borderId="118" xfId="0" applyNumberFormat="1" applyBorder="1"/>
    <xf numFmtId="174" fontId="0" fillId="0" borderId="129" xfId="0" applyNumberFormat="1" applyBorder="1"/>
    <xf numFmtId="0" fontId="2" fillId="0" borderId="117" xfId="0" applyFont="1" applyBorder="1"/>
    <xf numFmtId="10" fontId="2" fillId="39" borderId="118" xfId="34" applyNumberFormat="1" applyFont="1" applyFill="1" applyBorder="1"/>
    <xf numFmtId="10" fontId="2" fillId="0" borderId="118" xfId="34" applyNumberFormat="1" applyFont="1" applyBorder="1"/>
    <xf numFmtId="10" fontId="2" fillId="0" borderId="119" xfId="34" applyNumberFormat="1" applyFont="1" applyBorder="1"/>
    <xf numFmtId="0" fontId="47" fillId="0" borderId="68" xfId="0" applyFont="1" applyBorder="1"/>
    <xf numFmtId="0" fontId="0" fillId="0" borderId="111" xfId="0" applyBorder="1"/>
    <xf numFmtId="178" fontId="0" fillId="0" borderId="113" xfId="0" applyNumberFormat="1" applyBorder="1"/>
    <xf numFmtId="179" fontId="0" fillId="0" borderId="116" xfId="0" applyNumberFormat="1" applyBorder="1"/>
    <xf numFmtId="0" fontId="0" fillId="0" borderId="117" xfId="0" applyBorder="1"/>
    <xf numFmtId="174" fontId="1" fillId="0" borderId="119" xfId="33" applyNumberFormat="1" applyFont="1" applyBorder="1"/>
    <xf numFmtId="0" fontId="0" fillId="11" borderId="3" xfId="0" applyFill="1" applyBorder="1"/>
    <xf numFmtId="0" fontId="0" fillId="11" borderId="77" xfId="0" applyFill="1" applyBorder="1" applyAlignment="1">
      <alignment horizontal="center" vertical="center"/>
    </xf>
    <xf numFmtId="0" fontId="0" fillId="11" borderId="4" xfId="0" applyFill="1" applyBorder="1" applyAlignment="1">
      <alignment horizontal="center" vertical="center" wrapText="1"/>
    </xf>
    <xf numFmtId="0" fontId="0" fillId="11" borderId="4" xfId="0" applyFill="1" applyBorder="1" applyAlignment="1">
      <alignment vertical="center" wrapText="1"/>
    </xf>
    <xf numFmtId="0" fontId="0" fillId="11" borderId="130" xfId="0" applyFill="1" applyBorder="1" applyAlignment="1">
      <alignment horizontal="center" vertical="center"/>
    </xf>
    <xf numFmtId="0" fontId="2" fillId="0" borderId="3" xfId="0" applyFont="1" applyBorder="1"/>
    <xf numFmtId="174" fontId="1" fillId="0" borderId="61" xfId="33" applyNumberFormat="1" applyFont="1" applyBorder="1"/>
    <xf numFmtId="10" fontId="2" fillId="0" borderId="71" xfId="34" applyNumberFormat="1" applyFont="1" applyBorder="1"/>
    <xf numFmtId="174" fontId="0" fillId="0" borderId="61" xfId="0" applyNumberFormat="1" applyBorder="1"/>
    <xf numFmtId="10" fontId="43" fillId="0" borderId="8" xfId="2" applyNumberFormat="1" applyFont="1" applyBorder="1"/>
    <xf numFmtId="0" fontId="0" fillId="4" borderId="0" xfId="0" quotePrefix="1" applyFill="1"/>
    <xf numFmtId="0" fontId="2" fillId="0" borderId="22" xfId="0" applyFont="1" applyBorder="1"/>
    <xf numFmtId="0" fontId="2" fillId="0" borderId="5" xfId="0" applyFont="1" applyBorder="1"/>
    <xf numFmtId="174" fontId="1" fillId="0" borderId="75" xfId="33" applyNumberFormat="1" applyFont="1" applyBorder="1"/>
    <xf numFmtId="10" fontId="2" fillId="0" borderId="76" xfId="34" applyNumberFormat="1" applyFont="1" applyBorder="1"/>
    <xf numFmtId="174" fontId="0" fillId="0" borderId="75" xfId="0" applyNumberFormat="1" applyBorder="1"/>
    <xf numFmtId="10" fontId="43" fillId="0" borderId="17" xfId="2" applyNumberFormat="1" applyFont="1" applyBorder="1"/>
    <xf numFmtId="174" fontId="0" fillId="4" borderId="7" xfId="0" applyNumberFormat="1" applyFill="1" applyBorder="1"/>
    <xf numFmtId="9" fontId="43" fillId="4" borderId="21" xfId="2" applyFont="1" applyFill="1" applyBorder="1"/>
    <xf numFmtId="9" fontId="43" fillId="0" borderId="1" xfId="2" applyFont="1" applyBorder="1"/>
    <xf numFmtId="10" fontId="2" fillId="4" borderId="0" xfId="34" applyNumberFormat="1" applyFont="1" applyFill="1"/>
    <xf numFmtId="0" fontId="2" fillId="11" borderId="7" xfId="0" applyFont="1" applyFill="1" applyBorder="1"/>
    <xf numFmtId="0" fontId="2" fillId="11" borderId="79" xfId="0" applyFont="1" applyFill="1" applyBorder="1"/>
    <xf numFmtId="0" fontId="2" fillId="11" borderId="69" xfId="0" applyNumberFormat="1" applyFont="1" applyFill="1" applyBorder="1"/>
    <xf numFmtId="0" fontId="2" fillId="11" borderId="21" xfId="0" applyNumberFormat="1" applyFont="1" applyFill="1" applyBorder="1"/>
    <xf numFmtId="44" fontId="43" fillId="4" borderId="0" xfId="29" applyFont="1" applyFill="1"/>
    <xf numFmtId="0" fontId="2" fillId="0" borderId="121" xfId="0" applyFont="1" applyBorder="1"/>
    <xf numFmtId="10" fontId="1" fillId="0" borderId="112" xfId="34" applyNumberFormat="1" applyFont="1" applyBorder="1"/>
    <xf numFmtId="10" fontId="1" fillId="0" borderId="123" xfId="34" applyNumberFormat="1" applyFont="1" applyBorder="1"/>
    <xf numFmtId="0" fontId="47" fillId="0" borderId="40" xfId="0" applyFont="1" applyBorder="1"/>
    <xf numFmtId="0" fontId="2" fillId="0" borderId="124" xfId="0" applyFont="1" applyBorder="1"/>
    <xf numFmtId="10" fontId="1" fillId="0" borderId="115" xfId="34" applyNumberFormat="1" applyFont="1" applyBorder="1"/>
    <xf numFmtId="10" fontId="1" fillId="0" borderId="126" xfId="34" applyNumberFormat="1" applyFont="1" applyBorder="1"/>
    <xf numFmtId="0" fontId="47" fillId="0" borderId="41" xfId="0" applyFont="1" applyBorder="1"/>
    <xf numFmtId="0" fontId="2" fillId="0" borderId="127" xfId="0" applyFont="1" applyBorder="1"/>
    <xf numFmtId="10" fontId="2" fillId="54" borderId="118" xfId="34" applyNumberFormat="1" applyFont="1" applyFill="1" applyBorder="1"/>
    <xf numFmtId="10" fontId="1" fillId="0" borderId="118" xfId="34" applyNumberFormat="1" applyFont="1" applyBorder="1"/>
    <xf numFmtId="10" fontId="1" fillId="0" borderId="129" xfId="34" applyNumberFormat="1" applyFont="1" applyBorder="1"/>
    <xf numFmtId="0" fontId="47" fillId="0" borderId="42" xfId="0" applyFont="1" applyBorder="1"/>
    <xf numFmtId="0" fontId="2" fillId="11" borderId="121" xfId="0" applyFont="1" applyFill="1" applyBorder="1"/>
    <xf numFmtId="0" fontId="2" fillId="11" borderId="112" xfId="0" applyFont="1" applyFill="1" applyBorder="1"/>
    <xf numFmtId="0" fontId="2" fillId="11" borderId="112" xfId="0" applyNumberFormat="1" applyFont="1" applyFill="1" applyBorder="1"/>
    <xf numFmtId="0" fontId="2" fillId="11" borderId="123" xfId="0" applyNumberFormat="1" applyFont="1" applyFill="1" applyBorder="1"/>
    <xf numFmtId="10" fontId="1" fillId="0" borderId="113" xfId="34" applyNumberFormat="1" applyFont="1" applyBorder="1"/>
    <xf numFmtId="10" fontId="1" fillId="0" borderId="116" xfId="34" applyNumberFormat="1" applyFont="1" applyBorder="1"/>
    <xf numFmtId="10" fontId="1" fillId="0" borderId="119" xfId="34" applyNumberFormat="1" applyFont="1" applyBorder="1"/>
    <xf numFmtId="0" fontId="93" fillId="4" borderId="0" xfId="35" applyFont="1" applyFill="1"/>
    <xf numFmtId="0" fontId="13" fillId="4" borderId="0" xfId="35" applyFont="1" applyFill="1" applyAlignment="1">
      <alignment vertical="center"/>
    </xf>
    <xf numFmtId="0" fontId="94" fillId="3" borderId="7" xfId="35" applyFont="1" applyFill="1" applyBorder="1" applyAlignment="1"/>
    <xf numFmtId="0" fontId="94" fillId="3" borderId="79" xfId="35" applyFont="1" applyFill="1" applyBorder="1" applyAlignment="1"/>
    <xf numFmtId="0" fontId="94" fillId="3" borderId="69" xfId="35" applyFont="1" applyFill="1" applyBorder="1" applyAlignment="1">
      <alignment horizontal="center"/>
    </xf>
    <xf numFmtId="0" fontId="94" fillId="3" borderId="78" xfId="35" applyFont="1" applyFill="1" applyBorder="1" applyAlignment="1"/>
    <xf numFmtId="0" fontId="94" fillId="3" borderId="24" xfId="35" applyFont="1" applyFill="1" applyBorder="1" applyAlignment="1"/>
    <xf numFmtId="0" fontId="94" fillId="3" borderId="131" xfId="35" applyFont="1" applyFill="1" applyBorder="1" applyAlignment="1"/>
    <xf numFmtId="8" fontId="93" fillId="4" borderId="0" xfId="35" applyNumberFormat="1" applyFont="1" applyFill="1"/>
    <xf numFmtId="8" fontId="93" fillId="4" borderId="22" xfId="35" applyNumberFormat="1" applyFont="1" applyFill="1" applyBorder="1" applyAlignment="1">
      <alignment vertical="center"/>
    </xf>
    <xf numFmtId="8" fontId="93" fillId="4" borderId="14" xfId="35" applyNumberFormat="1" applyFont="1" applyFill="1" applyBorder="1" applyAlignment="1">
      <alignment vertical="center"/>
    </xf>
    <xf numFmtId="0" fontId="93" fillId="4" borderId="0" xfId="35" applyFont="1" applyFill="1" applyAlignment="1">
      <alignment horizontal="center"/>
    </xf>
    <xf numFmtId="8" fontId="93" fillId="4" borderId="93" xfId="35" applyNumberFormat="1" applyFont="1" applyFill="1" applyBorder="1" applyAlignment="1">
      <alignment vertical="center"/>
    </xf>
    <xf numFmtId="8" fontId="93" fillId="4" borderId="133" xfId="35" applyNumberFormat="1" applyFont="1" applyFill="1" applyBorder="1" applyAlignment="1">
      <alignment vertical="center"/>
    </xf>
    <xf numFmtId="8" fontId="93" fillId="4" borderId="0" xfId="35" applyNumberFormat="1" applyFont="1" applyFill="1" applyAlignment="1">
      <alignment horizontal="center"/>
    </xf>
    <xf numFmtId="174" fontId="93" fillId="4" borderId="1" xfId="36" applyNumberFormat="1" applyFont="1" applyFill="1" applyBorder="1" applyAlignment="1">
      <alignment horizontal="center"/>
    </xf>
    <xf numFmtId="174" fontId="93" fillId="4" borderId="0" xfId="35" applyNumberFormat="1" applyFont="1" applyFill="1"/>
    <xf numFmtId="174" fontId="93" fillId="4" borderId="0" xfId="1" applyNumberFormat="1" applyFont="1" applyFill="1"/>
    <xf numFmtId="174" fontId="95" fillId="4" borderId="0" xfId="1" applyNumberFormat="1" applyFont="1" applyFill="1" applyAlignment="1"/>
    <xf numFmtId="0" fontId="95" fillId="4" borderId="0" xfId="35" applyFont="1" applyFill="1"/>
    <xf numFmtId="174" fontId="95" fillId="4" borderId="0" xfId="1" applyNumberFormat="1" applyFont="1" applyFill="1"/>
    <xf numFmtId="0" fontId="94" fillId="3" borderId="3" xfId="35" applyFont="1" applyFill="1" applyBorder="1"/>
    <xf numFmtId="0" fontId="94" fillId="3" borderId="130" xfId="35" applyFont="1" applyFill="1" applyBorder="1"/>
    <xf numFmtId="174" fontId="93" fillId="4" borderId="4" xfId="35" applyNumberFormat="1" applyFont="1" applyFill="1" applyBorder="1" applyAlignment="1">
      <alignment horizontal="center"/>
    </xf>
    <xf numFmtId="0" fontId="94" fillId="3" borderId="22" xfId="35" applyFont="1" applyFill="1" applyBorder="1"/>
    <xf numFmtId="0" fontId="94" fillId="3" borderId="14" xfId="35" applyFont="1" applyFill="1" applyBorder="1"/>
    <xf numFmtId="173" fontId="93" fillId="4" borderId="23" xfId="2" applyNumberFormat="1" applyFont="1" applyFill="1" applyBorder="1" applyAlignment="1">
      <alignment horizontal="center"/>
    </xf>
    <xf numFmtId="174" fontId="93" fillId="4" borderId="23" xfId="1" applyNumberFormat="1" applyFont="1" applyFill="1" applyBorder="1" applyAlignment="1">
      <alignment horizontal="center"/>
    </xf>
    <xf numFmtId="0" fontId="94" fillId="3" borderId="5" xfId="35" applyFont="1" applyFill="1" applyBorder="1"/>
    <xf numFmtId="8" fontId="94" fillId="3" borderId="136" xfId="35" applyNumberFormat="1" applyFont="1" applyFill="1" applyBorder="1"/>
    <xf numFmtId="174" fontId="93" fillId="4" borderId="6" xfId="1" applyNumberFormat="1" applyFont="1" applyFill="1" applyBorder="1" applyAlignment="1">
      <alignment horizontal="center"/>
    </xf>
    <xf numFmtId="0" fontId="63" fillId="10" borderId="16" xfId="0" applyFont="1" applyFill="1" applyBorder="1" applyAlignment="1">
      <alignment horizontal="center" vertical="center"/>
    </xf>
    <xf numFmtId="0" fontId="63" fillId="31" borderId="16" xfId="0" applyFont="1" applyFill="1" applyBorder="1" applyAlignment="1">
      <alignment horizontal="center" vertical="center"/>
    </xf>
    <xf numFmtId="2" fontId="44" fillId="16" borderId="63" xfId="0" applyNumberFormat="1" applyFont="1" applyFill="1" applyBorder="1"/>
    <xf numFmtId="9" fontId="44" fillId="16" borderId="63" xfId="0" applyNumberFormat="1" applyFont="1" applyFill="1" applyBorder="1"/>
    <xf numFmtId="10" fontId="0" fillId="4" borderId="0" xfId="0" applyNumberFormat="1" applyFill="1" applyAlignment="1">
      <alignment horizontal="left"/>
    </xf>
    <xf numFmtId="0" fontId="97" fillId="55" borderId="140" xfId="0" applyFont="1" applyFill="1" applyBorder="1"/>
    <xf numFmtId="0" fontId="97" fillId="55" borderId="141" xfId="0" applyFont="1" applyFill="1" applyBorder="1"/>
    <xf numFmtId="180" fontId="96" fillId="56" borderId="143" xfId="0" applyNumberFormat="1" applyFont="1" applyFill="1" applyBorder="1" applyAlignment="1">
      <alignment horizontal="center"/>
    </xf>
    <xf numFmtId="0" fontId="2" fillId="30" borderId="59" xfId="0" applyFont="1" applyFill="1" applyBorder="1"/>
    <xf numFmtId="0" fontId="2" fillId="30" borderId="77" xfId="0" applyFont="1" applyFill="1" applyBorder="1" applyAlignment="1">
      <alignment horizontal="center"/>
    </xf>
    <xf numFmtId="0" fontId="26" fillId="10" borderId="80" xfId="0" applyFont="1" applyFill="1" applyBorder="1" applyAlignment="1">
      <alignment horizontal="center" vertical="center"/>
    </xf>
    <xf numFmtId="180" fontId="96" fillId="56" borderId="145" xfId="0" applyNumberFormat="1" applyFont="1" applyFill="1" applyBorder="1" applyAlignment="1">
      <alignment horizontal="center"/>
    </xf>
    <xf numFmtId="10" fontId="96" fillId="56" borderId="146" xfId="0" applyNumberFormat="1" applyFont="1" applyFill="1" applyBorder="1" applyAlignment="1">
      <alignment horizontal="center"/>
    </xf>
    <xf numFmtId="180" fontId="96" fillId="56" borderId="146" xfId="0" applyNumberFormat="1" applyFont="1" applyFill="1" applyBorder="1" applyAlignment="1">
      <alignment horizontal="center"/>
    </xf>
    <xf numFmtId="9" fontId="96" fillId="56" borderId="147" xfId="2" applyFont="1" applyFill="1" applyBorder="1" applyAlignment="1">
      <alignment horizontal="center"/>
    </xf>
    <xf numFmtId="180" fontId="96" fillId="56" borderId="144" xfId="0" applyNumberFormat="1" applyFont="1" applyFill="1" applyBorder="1" applyAlignment="1">
      <alignment horizontal="center"/>
    </xf>
    <xf numFmtId="10" fontId="96" fillId="56" borderId="142" xfId="0" applyNumberFormat="1" applyFont="1" applyFill="1" applyBorder="1" applyAlignment="1">
      <alignment horizontal="center"/>
    </xf>
    <xf numFmtId="180" fontId="96" fillId="56" borderId="142" xfId="0" applyNumberFormat="1" applyFont="1" applyFill="1" applyBorder="1" applyAlignment="1">
      <alignment horizontal="center"/>
    </xf>
    <xf numFmtId="0" fontId="98" fillId="57" borderId="137" xfId="0" applyFont="1" applyFill="1" applyBorder="1"/>
    <xf numFmtId="0" fontId="98" fillId="57" borderId="137" xfId="0" applyFont="1" applyFill="1" applyBorder="1" applyAlignment="1">
      <alignment horizontal="center"/>
    </xf>
    <xf numFmtId="0" fontId="0" fillId="0" borderId="59" xfId="0" applyFont="1" applyBorder="1"/>
    <xf numFmtId="181" fontId="0" fillId="0" borderId="95" xfId="0" applyNumberFormat="1" applyBorder="1"/>
    <xf numFmtId="0" fontId="0" fillId="0" borderId="148" xfId="0" applyFont="1" applyBorder="1"/>
    <xf numFmtId="181" fontId="0" fillId="0" borderId="139" xfId="0" applyNumberFormat="1" applyBorder="1"/>
    <xf numFmtId="0" fontId="0" fillId="0" borderId="148" xfId="0" applyFont="1" applyFill="1" applyBorder="1"/>
    <xf numFmtId="181" fontId="0" fillId="0" borderId="139" xfId="0" applyNumberFormat="1" applyFill="1" applyBorder="1"/>
    <xf numFmtId="181" fontId="0" fillId="0" borderId="149" xfId="0" applyNumberFormat="1" applyFill="1" applyBorder="1"/>
    <xf numFmtId="0" fontId="3" fillId="0" borderId="148" xfId="0" applyFont="1" applyBorder="1" applyAlignment="1">
      <alignment wrapText="1"/>
    </xf>
    <xf numFmtId="181" fontId="3" fillId="0" borderId="139" xfId="0" applyNumberFormat="1" applyFont="1" applyBorder="1"/>
    <xf numFmtId="181" fontId="3" fillId="0" borderId="149" xfId="0" applyNumberFormat="1" applyFont="1" applyBorder="1"/>
    <xf numFmtId="0" fontId="99" fillId="0" borderId="148" xfId="0" applyFont="1" applyBorder="1" applyAlignment="1">
      <alignment wrapText="1"/>
    </xf>
    <xf numFmtId="181" fontId="4" fillId="0" borderId="139" xfId="0" applyNumberFormat="1" applyFont="1" applyBorder="1"/>
    <xf numFmtId="0" fontId="3" fillId="0" borderId="148" xfId="0" applyFont="1" applyBorder="1"/>
    <xf numFmtId="3" fontId="3" fillId="0" borderId="139" xfId="0" applyNumberFormat="1" applyFont="1" applyBorder="1"/>
    <xf numFmtId="3" fontId="3" fillId="0" borderId="149" xfId="0" applyNumberFormat="1" applyFont="1" applyBorder="1"/>
    <xf numFmtId="0" fontId="3" fillId="0" borderId="150" xfId="0" applyFont="1" applyBorder="1"/>
    <xf numFmtId="181" fontId="3" fillId="0" borderId="151" xfId="0" applyNumberFormat="1" applyFont="1" applyBorder="1"/>
    <xf numFmtId="181" fontId="3" fillId="0" borderId="152" xfId="0" applyNumberFormat="1" applyFont="1" applyBorder="1"/>
    <xf numFmtId="0" fontId="98" fillId="10" borderId="65" xfId="0" applyFont="1" applyFill="1" applyBorder="1"/>
    <xf numFmtId="43" fontId="100" fillId="0" borderId="69" xfId="1" applyFont="1" applyFill="1" applyBorder="1"/>
    <xf numFmtId="0" fontId="4" fillId="0" borderId="146" xfId="0" applyFont="1" applyFill="1" applyBorder="1"/>
    <xf numFmtId="43" fontId="1" fillId="0" borderId="146" xfId="1" applyBorder="1"/>
    <xf numFmtId="0" fontId="101" fillId="0" borderId="139" xfId="0" applyFont="1" applyBorder="1"/>
    <xf numFmtId="43" fontId="102" fillId="0" borderId="139" xfId="1" applyFont="1" applyBorder="1"/>
    <xf numFmtId="0" fontId="103" fillId="4" borderId="0" xfId="0" applyFont="1" applyFill="1"/>
    <xf numFmtId="0" fontId="105" fillId="4" borderId="0" xfId="0" applyFont="1" applyFill="1"/>
    <xf numFmtId="0" fontId="106" fillId="4" borderId="0" xfId="0" applyFont="1" applyFill="1"/>
    <xf numFmtId="0" fontId="90" fillId="10" borderId="7" xfId="0" applyFont="1" applyFill="1" applyBorder="1"/>
    <xf numFmtId="0" fontId="0" fillId="10" borderId="24" xfId="0" applyFill="1" applyBorder="1"/>
    <xf numFmtId="0" fontId="0" fillId="4" borderId="24" xfId="0" applyFill="1" applyBorder="1"/>
    <xf numFmtId="0" fontId="90" fillId="4" borderId="0" xfId="0" applyFont="1" applyFill="1" applyBorder="1" applyAlignment="1">
      <alignment horizontal="center"/>
    </xf>
    <xf numFmtId="0" fontId="104" fillId="0" borderId="0" xfId="0" applyFont="1"/>
    <xf numFmtId="9" fontId="0" fillId="4" borderId="0" xfId="2" applyFont="1" applyFill="1"/>
    <xf numFmtId="0" fontId="98" fillId="9" borderId="0" xfId="0" applyFont="1" applyFill="1" applyBorder="1" applyAlignment="1">
      <alignment horizontal="center"/>
    </xf>
    <xf numFmtId="43" fontId="100" fillId="4" borderId="0" xfId="1" applyFont="1" applyFill="1" applyBorder="1"/>
    <xf numFmtId="0" fontId="98" fillId="57" borderId="153" xfId="0" applyFont="1" applyFill="1" applyBorder="1" applyAlignment="1">
      <alignment horizontal="center"/>
    </xf>
    <xf numFmtId="43" fontId="100" fillId="0" borderId="154" xfId="1" applyFont="1" applyFill="1" applyBorder="1"/>
    <xf numFmtId="0" fontId="65" fillId="0" borderId="155" xfId="0" applyFont="1" applyBorder="1" applyAlignment="1">
      <alignment horizontal="center" vertical="center"/>
    </xf>
    <xf numFmtId="0" fontId="64" fillId="0" borderId="156" xfId="0" applyFont="1" applyBorder="1" applyAlignment="1">
      <alignment horizontal="center"/>
    </xf>
    <xf numFmtId="0" fontId="63" fillId="4" borderId="0" xfId="0" applyFont="1" applyFill="1" applyBorder="1" applyAlignment="1">
      <alignment horizontal="center" vertical="center"/>
    </xf>
    <xf numFmtId="0" fontId="44" fillId="28" borderId="3" xfId="0" applyFont="1" applyFill="1" applyBorder="1"/>
    <xf numFmtId="0" fontId="44" fillId="28" borderId="12" xfId="0" applyFont="1" applyFill="1" applyBorder="1"/>
    <xf numFmtId="0" fontId="44" fillId="28" borderId="4" xfId="0" applyFont="1" applyFill="1" applyBorder="1"/>
    <xf numFmtId="0" fontId="0" fillId="4" borderId="3" xfId="0" applyFill="1" applyBorder="1"/>
    <xf numFmtId="0" fontId="0" fillId="4" borderId="12" xfId="0" applyFill="1" applyBorder="1"/>
    <xf numFmtId="0" fontId="0" fillId="4" borderId="4" xfId="0" applyFill="1" applyBorder="1"/>
    <xf numFmtId="0" fontId="0" fillId="4" borderId="23" xfId="0" applyFill="1" applyBorder="1"/>
    <xf numFmtId="0" fontId="0" fillId="4" borderId="5" xfId="0" applyFill="1" applyBorder="1"/>
    <xf numFmtId="0" fontId="0" fillId="4" borderId="2" xfId="0" applyFill="1" applyBorder="1"/>
    <xf numFmtId="0" fontId="0" fillId="4" borderId="6" xfId="0" applyFill="1" applyBorder="1"/>
    <xf numFmtId="0" fontId="47" fillId="4" borderId="0" xfId="0" applyFont="1" applyFill="1"/>
    <xf numFmtId="43" fontId="100" fillId="0" borderId="78" xfId="1" applyFont="1" applyFill="1" applyBorder="1"/>
    <xf numFmtId="43" fontId="1" fillId="0" borderId="57" xfId="1" applyBorder="1"/>
    <xf numFmtId="43" fontId="0" fillId="0" borderId="158" xfId="0" applyNumberFormat="1" applyBorder="1"/>
    <xf numFmtId="43" fontId="102" fillId="0" borderId="157" xfId="1" applyFont="1" applyBorder="1"/>
    <xf numFmtId="43" fontId="102" fillId="0" borderId="158" xfId="1" applyFont="1" applyBorder="1"/>
    <xf numFmtId="4" fontId="2" fillId="18" borderId="26" xfId="2" applyNumberFormat="1" applyFont="1" applyFill="1" applyBorder="1" applyAlignment="1">
      <alignment horizontal="left" vertical="center" wrapText="1"/>
    </xf>
    <xf numFmtId="4" fontId="0" fillId="18" borderId="26" xfId="2" applyNumberFormat="1" applyFont="1" applyFill="1" applyBorder="1" applyAlignment="1">
      <alignment horizontal="left" vertical="center" wrapText="1"/>
    </xf>
    <xf numFmtId="0" fontId="40" fillId="17" borderId="36" xfId="0" applyFont="1" applyFill="1" applyBorder="1" applyAlignment="1">
      <alignment horizontal="center"/>
    </xf>
    <xf numFmtId="0" fontId="40" fillId="17" borderId="37" xfId="0" applyFont="1" applyFill="1" applyBorder="1" applyAlignment="1">
      <alignment horizontal="center"/>
    </xf>
    <xf numFmtId="0" fontId="35" fillId="0" borderId="0" xfId="0" applyFont="1" applyBorder="1" applyAlignment="1">
      <alignment horizontal="left" vertical="center"/>
    </xf>
    <xf numFmtId="0" fontId="24" fillId="18" borderId="31" xfId="0" applyFont="1" applyFill="1" applyBorder="1" applyAlignment="1">
      <alignment horizontal="left"/>
    </xf>
    <xf numFmtId="0" fontId="24" fillId="18" borderId="33" xfId="0" applyFont="1" applyFill="1" applyBorder="1" applyAlignment="1">
      <alignment horizontal="left"/>
    </xf>
    <xf numFmtId="0" fontId="24" fillId="0" borderId="38" xfId="0" applyFont="1" applyBorder="1" applyAlignment="1">
      <alignment horizontal="left"/>
    </xf>
    <xf numFmtId="0" fontId="24" fillId="0" borderId="35" xfId="0" applyFont="1" applyBorder="1" applyAlignment="1">
      <alignment horizontal="left"/>
    </xf>
    <xf numFmtId="0" fontId="24" fillId="18" borderId="38" xfId="0" applyFont="1" applyFill="1" applyBorder="1" applyAlignment="1">
      <alignment horizontal="left"/>
    </xf>
    <xf numFmtId="0" fontId="24" fillId="18" borderId="35" xfId="0" applyFont="1" applyFill="1" applyBorder="1" applyAlignment="1">
      <alignment horizontal="left"/>
    </xf>
    <xf numFmtId="1" fontId="40" fillId="17" borderId="25" xfId="0" applyNumberFormat="1" applyFont="1" applyFill="1" applyBorder="1" applyAlignment="1">
      <alignment horizontal="center"/>
    </xf>
    <xf numFmtId="1" fontId="40" fillId="17" borderId="27" xfId="0" applyNumberFormat="1" applyFont="1" applyFill="1" applyBorder="1" applyAlignment="1">
      <alignment horizontal="center"/>
    </xf>
    <xf numFmtId="0" fontId="2" fillId="0" borderId="2" xfId="0" applyFont="1" applyBorder="1" applyAlignment="1">
      <alignment horizontal="center"/>
    </xf>
    <xf numFmtId="0" fontId="17" fillId="11" borderId="7" xfId="0" applyFont="1" applyFill="1" applyBorder="1" applyAlignment="1">
      <alignment horizontal="center" vertical="center"/>
    </xf>
    <xf numFmtId="0" fontId="17" fillId="11" borderId="24" xfId="0" applyFont="1" applyFill="1" applyBorder="1" applyAlignment="1">
      <alignment horizontal="center" vertical="center"/>
    </xf>
    <xf numFmtId="0" fontId="17" fillId="11" borderId="21" xfId="0" applyFont="1" applyFill="1" applyBorder="1" applyAlignment="1">
      <alignment horizontal="center" vertical="center"/>
    </xf>
    <xf numFmtId="0" fontId="41" fillId="11" borderId="7" xfId="0" applyFont="1" applyFill="1" applyBorder="1" applyAlignment="1">
      <alignment horizontal="center"/>
    </xf>
    <xf numFmtId="0" fontId="41" fillId="11" borderId="24" xfId="0" applyFont="1" applyFill="1" applyBorder="1" applyAlignment="1">
      <alignment horizontal="center"/>
    </xf>
    <xf numFmtId="0" fontId="41" fillId="11" borderId="21" xfId="0" applyFont="1" applyFill="1" applyBorder="1" applyAlignment="1">
      <alignment horizontal="center"/>
    </xf>
    <xf numFmtId="0" fontId="41" fillId="11" borderId="7" xfId="0" applyFont="1" applyFill="1" applyBorder="1" applyAlignment="1">
      <alignment horizontal="center" wrapText="1"/>
    </xf>
    <xf numFmtId="0" fontId="41" fillId="11" borderId="24" xfId="0" applyFont="1" applyFill="1" applyBorder="1" applyAlignment="1">
      <alignment horizontal="center" wrapText="1"/>
    </xf>
    <xf numFmtId="0" fontId="41" fillId="11" borderId="21" xfId="0" applyFont="1" applyFill="1" applyBorder="1" applyAlignment="1">
      <alignment horizontal="center" wrapText="1"/>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5" fillId="0" borderId="0" xfId="0" applyFont="1" applyBorder="1" applyAlignment="1">
      <alignment horizontal="center"/>
    </xf>
    <xf numFmtId="15" fontId="28" fillId="0" borderId="28" xfId="0" applyNumberFormat="1" applyFont="1" applyBorder="1" applyAlignment="1">
      <alignment horizontal="center" vertical="center"/>
    </xf>
    <xf numFmtId="15" fontId="28" fillId="0" borderId="29" xfId="0" applyNumberFormat="1" applyFont="1" applyBorder="1" applyAlignment="1">
      <alignment horizontal="center" vertical="center"/>
    </xf>
    <xf numFmtId="15" fontId="28" fillId="18" borderId="28" xfId="0" applyNumberFormat="1" applyFont="1" applyFill="1" applyBorder="1" applyAlignment="1">
      <alignment horizontal="center" vertical="center"/>
    </xf>
    <xf numFmtId="15" fontId="28" fillId="18" borderId="29" xfId="0" applyNumberFormat="1" applyFont="1" applyFill="1" applyBorder="1" applyAlignment="1">
      <alignment horizontal="center" vertical="center"/>
    </xf>
    <xf numFmtId="0" fontId="28" fillId="18" borderId="28" xfId="0" applyFont="1" applyFill="1" applyBorder="1" applyAlignment="1">
      <alignment horizontal="center" vertical="center"/>
    </xf>
    <xf numFmtId="0" fontId="28" fillId="18" borderId="29" xfId="0" applyFont="1" applyFill="1" applyBorder="1" applyAlignment="1">
      <alignment horizontal="center" vertical="center"/>
    </xf>
    <xf numFmtId="0" fontId="26" fillId="0" borderId="27" xfId="0" applyFont="1" applyBorder="1" applyAlignment="1">
      <alignment horizontal="center" vertical="center"/>
    </xf>
    <xf numFmtId="0" fontId="52" fillId="27" borderId="0" xfId="0" applyFont="1" applyFill="1" applyBorder="1" applyAlignment="1">
      <alignment horizontal="center" vertical="center"/>
    </xf>
    <xf numFmtId="0" fontId="49" fillId="0" borderId="0" xfId="0" applyFont="1" applyAlignment="1">
      <alignment horizontal="center" vertical="center"/>
    </xf>
    <xf numFmtId="0" fontId="2" fillId="4" borderId="0" xfId="0" applyFont="1" applyFill="1" applyBorder="1" applyAlignment="1">
      <alignment horizontal="center" vertical="center" wrapText="1"/>
    </xf>
    <xf numFmtId="0" fontId="2" fillId="22" borderId="53" xfId="0" applyFont="1" applyFill="1" applyBorder="1" applyAlignment="1">
      <alignment horizontal="center" vertical="center" wrapText="1"/>
    </xf>
    <xf numFmtId="0" fontId="2" fillId="0" borderId="7" xfId="0" applyFont="1" applyBorder="1" applyAlignment="1">
      <alignment horizontal="center"/>
    </xf>
    <xf numFmtId="0" fontId="2" fillId="0" borderId="21" xfId="0" applyFont="1" applyBorder="1" applyAlignment="1">
      <alignment horizontal="center"/>
    </xf>
    <xf numFmtId="0" fontId="13" fillId="23" borderId="44" xfId="0" applyFont="1" applyFill="1" applyBorder="1" applyAlignment="1">
      <alignment horizontal="center" vertical="center"/>
    </xf>
    <xf numFmtId="0" fontId="13" fillId="23" borderId="46" xfId="0" applyFont="1" applyFill="1" applyBorder="1" applyAlignment="1">
      <alignment horizontal="center" vertical="center"/>
    </xf>
    <xf numFmtId="0" fontId="2" fillId="22" borderId="52" xfId="0" applyFont="1" applyFill="1" applyBorder="1" applyAlignment="1">
      <alignment horizontal="center" wrapText="1"/>
    </xf>
    <xf numFmtId="0" fontId="2" fillId="22" borderId="53" xfId="0" applyFont="1" applyFill="1" applyBorder="1" applyAlignment="1">
      <alignment horizontal="center" wrapText="1"/>
    </xf>
    <xf numFmtId="0" fontId="2" fillId="2" borderId="53" xfId="0" applyFont="1" applyFill="1" applyBorder="1" applyAlignment="1">
      <alignment horizontal="center" vertical="center" wrapText="1"/>
    </xf>
    <xf numFmtId="0" fontId="53" fillId="27" borderId="43" xfId="0" applyFont="1" applyFill="1" applyBorder="1" applyAlignment="1">
      <alignment horizontal="center" vertical="center"/>
    </xf>
    <xf numFmtId="0" fontId="53" fillId="27" borderId="15" xfId="0" applyFont="1" applyFill="1" applyBorder="1" applyAlignment="1">
      <alignment horizontal="center" vertical="center"/>
    </xf>
    <xf numFmtId="0" fontId="53" fillId="27" borderId="8" xfId="0" applyFont="1" applyFill="1" applyBorder="1" applyAlignment="1">
      <alignment horizontal="center" vertical="center"/>
    </xf>
    <xf numFmtId="0" fontId="54" fillId="0" borderId="43" xfId="0" applyFont="1" applyBorder="1" applyAlignment="1">
      <alignment horizontal="center" vertical="center"/>
    </xf>
    <xf numFmtId="0" fontId="54" fillId="0" borderId="15" xfId="0" applyFont="1" applyBorder="1" applyAlignment="1">
      <alignment horizontal="center" vertical="center"/>
    </xf>
    <xf numFmtId="0" fontId="54" fillId="0" borderId="8" xfId="0" applyFont="1" applyBorder="1" applyAlignment="1">
      <alignment horizontal="center" vertical="center"/>
    </xf>
    <xf numFmtId="0" fontId="57" fillId="0" borderId="43" xfId="0" applyFont="1" applyBorder="1" applyAlignment="1">
      <alignment horizontal="center"/>
    </xf>
    <xf numFmtId="0" fontId="57" fillId="0" borderId="15" xfId="0" applyFont="1" applyBorder="1" applyAlignment="1">
      <alignment horizontal="center"/>
    </xf>
    <xf numFmtId="0" fontId="57" fillId="0" borderId="8" xfId="0" applyFont="1" applyBorder="1" applyAlignment="1">
      <alignment horizontal="center"/>
    </xf>
    <xf numFmtId="0" fontId="57" fillId="4" borderId="43" xfId="0" applyFont="1" applyFill="1" applyBorder="1" applyAlignment="1">
      <alignment horizontal="center"/>
    </xf>
    <xf numFmtId="0" fontId="57" fillId="4" borderId="15" xfId="0" applyFont="1" applyFill="1" applyBorder="1" applyAlignment="1">
      <alignment horizontal="center"/>
    </xf>
    <xf numFmtId="0" fontId="57" fillId="4" borderId="8" xfId="0" applyFont="1" applyFill="1" applyBorder="1" applyAlignment="1">
      <alignment horizontal="center"/>
    </xf>
    <xf numFmtId="0" fontId="58" fillId="4" borderId="55" xfId="0" applyFont="1" applyFill="1" applyBorder="1" applyAlignment="1">
      <alignment horizontal="center" vertical="center" wrapText="1"/>
    </xf>
    <xf numFmtId="0" fontId="58" fillId="4" borderId="17" xfId="0" applyFont="1" applyFill="1" applyBorder="1" applyAlignment="1">
      <alignment horizontal="center" vertical="center" wrapText="1"/>
    </xf>
    <xf numFmtId="0" fontId="57" fillId="11" borderId="0" xfId="0" applyFont="1" applyFill="1" applyAlignment="1">
      <alignment horizontal="center"/>
    </xf>
    <xf numFmtId="1" fontId="57" fillId="0" borderId="57" xfId="0" applyNumberFormat="1" applyFont="1" applyBorder="1" applyAlignment="1">
      <alignment horizontal="center" vertical="center"/>
    </xf>
    <xf numFmtId="1" fontId="57" fillId="0" borderId="14" xfId="0" applyNumberFormat="1" applyFont="1" applyBorder="1" applyAlignment="1">
      <alignment horizontal="center" vertical="center"/>
    </xf>
    <xf numFmtId="1" fontId="57" fillId="0" borderId="55" xfId="0" applyNumberFormat="1" applyFont="1" applyBorder="1" applyAlignment="1">
      <alignment horizontal="center" vertical="center"/>
    </xf>
    <xf numFmtId="1" fontId="57" fillId="0" borderId="17" xfId="0" applyNumberFormat="1" applyFont="1" applyBorder="1" applyAlignment="1">
      <alignment horizontal="center" vertical="center"/>
    </xf>
    <xf numFmtId="0" fontId="57" fillId="0" borderId="48" xfId="0" applyFont="1" applyBorder="1" applyAlignment="1">
      <alignment horizontal="center" vertical="center"/>
    </xf>
    <xf numFmtId="0" fontId="58" fillId="28" borderId="52" xfId="0" applyFont="1" applyFill="1" applyBorder="1" applyAlignment="1">
      <alignment horizontal="center" vertical="center" wrapText="1"/>
    </xf>
    <xf numFmtId="0" fontId="58" fillId="28" borderId="53" xfId="0" applyFont="1" applyFill="1" applyBorder="1" applyAlignment="1">
      <alignment horizontal="center" vertical="center" wrapText="1"/>
    </xf>
    <xf numFmtId="0" fontId="58" fillId="11" borderId="53" xfId="0" applyFont="1" applyFill="1" applyBorder="1" applyAlignment="1">
      <alignment horizontal="center" vertical="center" wrapText="1"/>
    </xf>
    <xf numFmtId="0" fontId="56" fillId="2" borderId="3" xfId="0" applyFont="1" applyFill="1" applyBorder="1" applyAlignment="1">
      <alignment horizontal="center" vertical="center"/>
    </xf>
    <xf numFmtId="0" fontId="56" fillId="2" borderId="4" xfId="0" applyFont="1" applyFill="1" applyBorder="1" applyAlignment="1">
      <alignment horizontal="center" vertical="center"/>
    </xf>
    <xf numFmtId="0" fontId="56" fillId="2" borderId="5" xfId="0" applyFont="1" applyFill="1" applyBorder="1" applyAlignment="1">
      <alignment horizontal="center" vertical="center"/>
    </xf>
    <xf numFmtId="0" fontId="56" fillId="2" borderId="6" xfId="0" applyFont="1" applyFill="1" applyBorder="1" applyAlignment="1">
      <alignment horizontal="center" vertical="center"/>
    </xf>
    <xf numFmtId="0" fontId="57" fillId="4" borderId="0" xfId="0" applyFont="1" applyFill="1" applyAlignment="1">
      <alignment horizontal="center"/>
    </xf>
    <xf numFmtId="1" fontId="57" fillId="0" borderId="57" xfId="0" applyNumberFormat="1" applyFont="1" applyBorder="1" applyAlignment="1">
      <alignment horizontal="center"/>
    </xf>
    <xf numFmtId="1" fontId="57" fillId="0" borderId="0" xfId="0" applyNumberFormat="1" applyFont="1" applyAlignment="1">
      <alignment horizontal="center"/>
    </xf>
    <xf numFmtId="1" fontId="57" fillId="0" borderId="56" xfId="0" applyNumberFormat="1" applyFont="1" applyBorder="1" applyAlignment="1">
      <alignment horizontal="center" vertical="center"/>
    </xf>
    <xf numFmtId="1" fontId="57" fillId="0" borderId="13" xfId="0" applyNumberFormat="1" applyFont="1" applyBorder="1" applyAlignment="1">
      <alignment horizontal="center" vertical="center"/>
    </xf>
    <xf numFmtId="0" fontId="44" fillId="10" borderId="7" xfId="0" applyFont="1" applyFill="1" applyBorder="1" applyAlignment="1">
      <alignment horizontal="center"/>
    </xf>
    <xf numFmtId="0" fontId="44" fillId="10" borderId="24" xfId="0" applyFont="1" applyFill="1" applyBorder="1" applyAlignment="1">
      <alignment horizontal="center"/>
    </xf>
    <xf numFmtId="0" fontId="44" fillId="10" borderId="21" xfId="0" applyFont="1" applyFill="1" applyBorder="1" applyAlignment="1">
      <alignment horizontal="center"/>
    </xf>
    <xf numFmtId="0" fontId="23" fillId="24" borderId="3" xfId="0" applyFont="1" applyFill="1" applyBorder="1" applyAlignment="1">
      <alignment horizontal="center" vertical="center" wrapText="1"/>
    </xf>
    <xf numFmtId="0" fontId="23" fillId="24" borderId="5" xfId="0" applyFont="1" applyFill="1" applyBorder="1" applyAlignment="1">
      <alignment horizontal="center" vertical="center" wrapText="1"/>
    </xf>
    <xf numFmtId="0" fontId="23" fillId="24" borderId="78" xfId="0" applyFont="1" applyFill="1" applyBorder="1" applyAlignment="1">
      <alignment horizontal="center" vertical="center" wrapText="1"/>
    </xf>
    <xf numFmtId="0" fontId="23" fillId="24" borderId="79" xfId="0" applyFont="1" applyFill="1" applyBorder="1" applyAlignment="1">
      <alignment horizontal="center" vertical="center" wrapText="1"/>
    </xf>
    <xf numFmtId="0" fontId="61" fillId="30" borderId="80" xfId="0" applyFont="1" applyFill="1" applyBorder="1" applyAlignment="1">
      <alignment horizontal="center" vertical="center" wrapText="1"/>
    </xf>
    <xf numFmtId="0" fontId="61" fillId="30" borderId="81" xfId="0" applyFont="1" applyFill="1" applyBorder="1" applyAlignment="1">
      <alignment horizontal="center" vertical="center" wrapText="1"/>
    </xf>
    <xf numFmtId="0" fontId="61" fillId="30" borderId="77" xfId="0" applyFont="1" applyFill="1" applyBorder="1" applyAlignment="1">
      <alignment horizontal="center" vertical="center" wrapText="1"/>
    </xf>
    <xf numFmtId="0" fontId="61" fillId="30" borderId="68" xfId="0" applyFont="1" applyFill="1" applyBorder="1" applyAlignment="1">
      <alignment horizontal="center" vertical="center" wrapText="1"/>
    </xf>
    <xf numFmtId="0" fontId="0" fillId="0" borderId="57" xfId="0" applyBorder="1" applyAlignment="1">
      <alignment horizontal="center" wrapText="1"/>
    </xf>
    <xf numFmtId="0" fontId="63" fillId="10" borderId="16" xfId="0" applyFont="1" applyFill="1" applyBorder="1" applyAlignment="1">
      <alignment horizontal="center" vertical="center"/>
    </xf>
    <xf numFmtId="0" fontId="65" fillId="0" borderId="89" xfId="0" applyFont="1" applyBorder="1" applyAlignment="1">
      <alignment horizontal="center" vertical="center"/>
    </xf>
    <xf numFmtId="0" fontId="65" fillId="0" borderId="85" xfId="0" applyFont="1" applyBorder="1" applyAlignment="1">
      <alignment horizontal="center" vertical="center"/>
    </xf>
    <xf numFmtId="0" fontId="65" fillId="0" borderId="84" xfId="0" applyFont="1" applyBorder="1" applyAlignment="1">
      <alignment horizontal="center" vertical="center"/>
    </xf>
    <xf numFmtId="0" fontId="65" fillId="0" borderId="88" xfId="0" applyFont="1" applyBorder="1" applyAlignment="1">
      <alignment horizontal="center" vertical="center"/>
    </xf>
    <xf numFmtId="0" fontId="64" fillId="0" borderId="89" xfId="0" applyFont="1" applyBorder="1" applyAlignment="1">
      <alignment horizontal="center" vertical="center"/>
    </xf>
    <xf numFmtId="0" fontId="64" fillId="0" borderId="85" xfId="0" applyFont="1" applyBorder="1" applyAlignment="1">
      <alignment horizontal="center" vertical="center"/>
    </xf>
    <xf numFmtId="0" fontId="64" fillId="0" borderId="84" xfId="0" applyFont="1" applyBorder="1" applyAlignment="1">
      <alignment horizontal="center" vertical="center"/>
    </xf>
    <xf numFmtId="0" fontId="64" fillId="0" borderId="88" xfId="0" applyFont="1" applyBorder="1" applyAlignment="1">
      <alignment horizontal="center" vertical="center"/>
    </xf>
    <xf numFmtId="0" fontId="63" fillId="31" borderId="16" xfId="0" applyFont="1" applyFill="1" applyBorder="1" applyAlignment="1">
      <alignment horizontal="center" vertical="center"/>
    </xf>
    <xf numFmtId="0" fontId="91" fillId="28" borderId="0" xfId="0" applyFont="1" applyFill="1" applyAlignment="1">
      <alignment horizontal="center" vertical="center"/>
    </xf>
    <xf numFmtId="0" fontId="65" fillId="0" borderId="156" xfId="0" applyFont="1" applyBorder="1" applyAlignment="1">
      <alignment horizontal="center" vertical="center"/>
    </xf>
    <xf numFmtId="0" fontId="74" fillId="35" borderId="7" xfId="0" applyFont="1" applyFill="1" applyBorder="1" applyAlignment="1">
      <alignment horizontal="center" vertical="center"/>
    </xf>
    <xf numFmtId="0" fontId="74" fillId="35" borderId="24" xfId="0" applyFont="1" applyFill="1" applyBorder="1" applyAlignment="1">
      <alignment horizontal="center" vertical="center"/>
    </xf>
    <xf numFmtId="0" fontId="74" fillId="35" borderId="21" xfId="0" applyFont="1" applyFill="1" applyBorder="1" applyAlignment="1">
      <alignment horizontal="center" vertical="center"/>
    </xf>
    <xf numFmtId="0" fontId="68" fillId="32" borderId="2" xfId="0" applyFont="1" applyFill="1" applyBorder="1" applyAlignment="1">
      <alignment horizontal="left"/>
    </xf>
    <xf numFmtId="0" fontId="70" fillId="32" borderId="15" xfId="0" applyFont="1" applyFill="1" applyBorder="1" applyAlignment="1">
      <alignment horizontal="center" vertical="center"/>
    </xf>
    <xf numFmtId="0" fontId="70" fillId="32" borderId="8" xfId="0" applyFont="1" applyFill="1" applyBorder="1" applyAlignment="1">
      <alignment horizontal="center" vertical="center"/>
    </xf>
    <xf numFmtId="0" fontId="70" fillId="32" borderId="18" xfId="0" applyFont="1" applyFill="1" applyBorder="1" applyAlignment="1">
      <alignment horizontal="left" vertical="center"/>
    </xf>
    <xf numFmtId="0" fontId="70" fillId="32" borderId="16" xfId="0" applyFont="1" applyFill="1" applyBorder="1" applyAlignment="1">
      <alignment horizontal="left" vertical="center"/>
    </xf>
    <xf numFmtId="0" fontId="71" fillId="32" borderId="43" xfId="0" applyFont="1" applyFill="1" applyBorder="1" applyAlignment="1">
      <alignment horizontal="center" vertical="center"/>
    </xf>
    <xf numFmtId="0" fontId="71" fillId="32" borderId="8" xfId="0" applyFont="1" applyFill="1" applyBorder="1" applyAlignment="1">
      <alignment horizontal="center" vertical="center"/>
    </xf>
    <xf numFmtId="0" fontId="68" fillId="0" borderId="2" xfId="0" applyFont="1" applyFill="1" applyBorder="1" applyAlignment="1">
      <alignment horizontal="left" vertical="center"/>
    </xf>
    <xf numFmtId="0" fontId="77" fillId="0" borderId="0" xfId="0" applyFont="1" applyFill="1" applyBorder="1" applyAlignment="1">
      <alignment horizontal="center" vertical="center"/>
    </xf>
    <xf numFmtId="0" fontId="79" fillId="0" borderId="39" xfId="0" applyFont="1" applyFill="1" applyBorder="1" applyAlignment="1">
      <alignment horizontal="center" vertical="center"/>
    </xf>
    <xf numFmtId="0" fontId="75" fillId="32" borderId="7" xfId="0" applyFont="1" applyFill="1" applyBorder="1" applyAlignment="1">
      <alignment horizontal="center" vertical="center"/>
    </xf>
    <xf numFmtId="0" fontId="75" fillId="32" borderId="24" xfId="0" applyFont="1" applyFill="1" applyBorder="1" applyAlignment="1">
      <alignment horizontal="center" vertical="center"/>
    </xf>
    <xf numFmtId="2" fontId="75" fillId="32" borderId="24" xfId="0" applyNumberFormat="1" applyFont="1" applyFill="1" applyBorder="1" applyAlignment="1">
      <alignment horizontal="center" vertical="center"/>
    </xf>
    <xf numFmtId="2" fontId="75" fillId="32" borderId="21" xfId="0" applyNumberFormat="1" applyFont="1" applyFill="1" applyBorder="1" applyAlignment="1">
      <alignment horizontal="center" vertical="center"/>
    </xf>
    <xf numFmtId="0" fontId="70" fillId="32" borderId="39" xfId="0" applyFont="1" applyFill="1" applyBorder="1" applyAlignment="1">
      <alignment horizontal="center" vertical="center"/>
    </xf>
    <xf numFmtId="0" fontId="75" fillId="32" borderId="5" xfId="0" applyFont="1" applyFill="1" applyBorder="1" applyAlignment="1">
      <alignment horizontal="center" vertical="center"/>
    </xf>
    <xf numFmtId="0" fontId="75" fillId="32" borderId="2" xfId="0" applyFont="1" applyFill="1" applyBorder="1" applyAlignment="1">
      <alignment horizontal="center" vertical="center"/>
    </xf>
    <xf numFmtId="2" fontId="75" fillId="32" borderId="2" xfId="0" applyNumberFormat="1" applyFont="1" applyFill="1" applyBorder="1" applyAlignment="1">
      <alignment horizontal="center" vertical="center"/>
    </xf>
    <xf numFmtId="2" fontId="75" fillId="32" borderId="6" xfId="0" applyNumberFormat="1" applyFont="1" applyFill="1" applyBorder="1" applyAlignment="1">
      <alignment horizontal="center" vertical="center"/>
    </xf>
    <xf numFmtId="0" fontId="75" fillId="0" borderId="43" xfId="0" applyFont="1" applyFill="1" applyBorder="1" applyAlignment="1">
      <alignment horizontal="center" vertical="center"/>
    </xf>
    <xf numFmtId="0" fontId="75" fillId="0" borderId="15" xfId="0" applyFont="1" applyFill="1" applyBorder="1" applyAlignment="1">
      <alignment horizontal="center" vertical="center"/>
    </xf>
    <xf numFmtId="0" fontId="75" fillId="0" borderId="8" xfId="0" applyFont="1" applyFill="1" applyBorder="1" applyAlignment="1">
      <alignment horizontal="center" vertical="center"/>
    </xf>
    <xf numFmtId="0" fontId="74" fillId="36" borderId="7" xfId="0" applyFont="1" applyFill="1" applyBorder="1" applyAlignment="1">
      <alignment horizontal="center" vertical="center"/>
    </xf>
    <xf numFmtId="0" fontId="74" fillId="36" borderId="24" xfId="0" applyFont="1" applyFill="1" applyBorder="1" applyAlignment="1">
      <alignment horizontal="center" vertical="center"/>
    </xf>
    <xf numFmtId="0" fontId="74" fillId="36" borderId="21" xfId="0" applyFont="1" applyFill="1" applyBorder="1" applyAlignment="1">
      <alignment horizontal="center" vertical="center"/>
    </xf>
    <xf numFmtId="0" fontId="76" fillId="37" borderId="7" xfId="0" applyFont="1" applyFill="1" applyBorder="1" applyAlignment="1">
      <alignment horizontal="center" vertical="center"/>
    </xf>
    <xf numFmtId="0" fontId="76" fillId="37" borderId="21" xfId="0" applyFont="1" applyFill="1" applyBorder="1" applyAlignment="1">
      <alignment horizontal="center" vertical="center"/>
    </xf>
    <xf numFmtId="0" fontId="81" fillId="37" borderId="7" xfId="0" applyFont="1" applyFill="1" applyBorder="1" applyAlignment="1">
      <alignment horizontal="center" vertical="center"/>
    </xf>
    <xf numFmtId="0" fontId="81" fillId="37" borderId="21" xfId="0" applyFont="1" applyFill="1" applyBorder="1" applyAlignment="1">
      <alignment horizontal="center" vertical="center"/>
    </xf>
    <xf numFmtId="0" fontId="44" fillId="4" borderId="91" xfId="0" applyFont="1" applyFill="1" applyBorder="1" applyAlignment="1">
      <alignment horizontal="center"/>
    </xf>
    <xf numFmtId="0" fontId="44" fillId="4" borderId="90" xfId="0" applyFont="1" applyFill="1" applyBorder="1" applyAlignment="1">
      <alignment horizontal="center"/>
    </xf>
    <xf numFmtId="0" fontId="44" fillId="4" borderId="93" xfId="0" applyFont="1" applyFill="1" applyBorder="1" applyAlignment="1">
      <alignment horizontal="center"/>
    </xf>
    <xf numFmtId="0" fontId="44" fillId="4" borderId="74" xfId="0" applyFont="1" applyFill="1" applyBorder="1" applyAlignment="1">
      <alignment horizontal="center"/>
    </xf>
    <xf numFmtId="0" fontId="0" fillId="16" borderId="91" xfId="0" applyFill="1" applyBorder="1" applyAlignment="1">
      <alignment horizontal="center"/>
    </xf>
    <xf numFmtId="0" fontId="0" fillId="16" borderId="60" xfId="0" applyFill="1" applyBorder="1" applyAlignment="1">
      <alignment horizontal="center"/>
    </xf>
    <xf numFmtId="0" fontId="0" fillId="13" borderId="0" xfId="0" applyFill="1" applyAlignment="1">
      <alignment horizontal="center"/>
    </xf>
    <xf numFmtId="0" fontId="0" fillId="30" borderId="2" xfId="0" applyFill="1" applyBorder="1" applyAlignment="1">
      <alignment horizontal="center"/>
    </xf>
    <xf numFmtId="0" fontId="0" fillId="13" borderId="2" xfId="0" applyFill="1" applyBorder="1" applyAlignment="1">
      <alignment horizontal="center"/>
    </xf>
    <xf numFmtId="0" fontId="46" fillId="42" borderId="58" xfId="0" applyFont="1" applyFill="1" applyBorder="1" applyAlignment="1">
      <alignment horizontal="center"/>
    </xf>
    <xf numFmtId="0" fontId="46" fillId="42" borderId="18" xfId="0" applyFont="1" applyFill="1" applyBorder="1" applyAlignment="1">
      <alignment horizontal="center"/>
    </xf>
    <xf numFmtId="0" fontId="46" fillId="42" borderId="17" xfId="0" applyFont="1" applyFill="1" applyBorder="1" applyAlignment="1">
      <alignment horizontal="center"/>
    </xf>
    <xf numFmtId="0" fontId="46" fillId="42" borderId="43" xfId="0" applyFont="1" applyFill="1" applyBorder="1" applyAlignment="1">
      <alignment horizontal="center"/>
    </xf>
    <xf numFmtId="0" fontId="46" fillId="42" borderId="15" xfId="0" applyFont="1" applyFill="1" applyBorder="1" applyAlignment="1">
      <alignment horizontal="center"/>
    </xf>
    <xf numFmtId="0" fontId="46" fillId="42" borderId="8" xfId="0" applyFont="1" applyFill="1" applyBorder="1" applyAlignment="1">
      <alignment horizontal="center"/>
    </xf>
    <xf numFmtId="0" fontId="0" fillId="0" borderId="0" xfId="0" applyAlignment="1">
      <alignment horizontal="center"/>
    </xf>
    <xf numFmtId="14" fontId="46" fillId="29" borderId="102" xfId="0" applyNumberFormat="1" applyFont="1" applyFill="1" applyBorder="1" applyAlignment="1">
      <alignment horizontal="center"/>
    </xf>
    <xf numFmtId="0" fontId="46" fillId="29" borderId="103" xfId="0" applyFont="1" applyFill="1" applyBorder="1" applyAlignment="1">
      <alignment horizontal="center"/>
    </xf>
    <xf numFmtId="0" fontId="46" fillId="29" borderId="104" xfId="0" applyFont="1" applyFill="1" applyBorder="1" applyAlignment="1">
      <alignment horizontal="center"/>
    </xf>
    <xf numFmtId="0" fontId="46" fillId="29" borderId="0" xfId="0" applyFont="1" applyFill="1" applyAlignment="1">
      <alignment horizontal="center" vertical="center"/>
    </xf>
    <xf numFmtId="0" fontId="46" fillId="29" borderId="0" xfId="0" applyFont="1" applyFill="1" applyAlignment="1">
      <alignment horizontal="center" wrapText="1"/>
    </xf>
    <xf numFmtId="0" fontId="46" fillId="29" borderId="0" xfId="0" applyFont="1" applyFill="1" applyAlignment="1">
      <alignment horizontal="center"/>
    </xf>
    <xf numFmtId="174" fontId="46" fillId="29" borderId="0" xfId="1" applyNumberFormat="1" applyFont="1" applyFill="1" applyAlignment="1">
      <alignment horizontal="center"/>
    </xf>
    <xf numFmtId="0" fontId="46" fillId="29" borderId="108" xfId="0" applyFont="1" applyFill="1" applyBorder="1" applyAlignment="1">
      <alignment horizontal="center"/>
    </xf>
    <xf numFmtId="0" fontId="46" fillId="29" borderId="109" xfId="0" applyFont="1" applyFill="1" applyBorder="1" applyAlignment="1">
      <alignment horizontal="center"/>
    </xf>
    <xf numFmtId="0" fontId="46" fillId="29" borderId="110" xfId="0" applyFont="1" applyFill="1" applyBorder="1" applyAlignment="1">
      <alignment horizontal="center"/>
    </xf>
    <xf numFmtId="0" fontId="46" fillId="29" borderId="0" xfId="0" applyFont="1" applyFill="1" applyAlignment="1">
      <alignment horizontal="center" vertical="center" wrapText="1"/>
    </xf>
    <xf numFmtId="0" fontId="46" fillId="43" borderId="0" xfId="0" applyFont="1" applyFill="1" applyAlignment="1">
      <alignment horizontal="center"/>
    </xf>
    <xf numFmtId="0" fontId="0" fillId="0" borderId="138" xfId="0" applyFont="1" applyBorder="1" applyAlignment="1">
      <alignment horizontal="center"/>
    </xf>
    <xf numFmtId="0" fontId="90" fillId="10" borderId="7" xfId="0" applyFont="1" applyFill="1" applyBorder="1" applyAlignment="1">
      <alignment horizontal="center"/>
    </xf>
    <xf numFmtId="0" fontId="90" fillId="10" borderId="21" xfId="0" applyFont="1" applyFill="1" applyBorder="1" applyAlignment="1">
      <alignment horizontal="center"/>
    </xf>
    <xf numFmtId="0" fontId="0" fillId="38" borderId="58" xfId="0" applyFill="1" applyBorder="1" applyAlignment="1">
      <alignment horizontal="center"/>
    </xf>
    <xf numFmtId="0" fontId="0" fillId="38" borderId="18" xfId="0" applyFill="1" applyBorder="1" applyAlignment="1">
      <alignment horizontal="center"/>
    </xf>
    <xf numFmtId="0" fontId="0" fillId="38" borderId="17" xfId="0" applyFill="1" applyBorder="1" applyAlignment="1">
      <alignment horizontal="center"/>
    </xf>
    <xf numFmtId="0" fontId="13" fillId="47" borderId="0" xfId="0" applyFont="1" applyFill="1" applyAlignment="1">
      <alignment horizontal="center"/>
    </xf>
    <xf numFmtId="0" fontId="2" fillId="48" borderId="0" xfId="0" applyFont="1" applyFill="1" applyAlignment="1">
      <alignment horizontal="center"/>
    </xf>
    <xf numFmtId="0" fontId="2" fillId="49" borderId="0" xfId="0" applyFont="1" applyFill="1" applyAlignment="1">
      <alignment horizontal="center"/>
    </xf>
    <xf numFmtId="0" fontId="2" fillId="50" borderId="0" xfId="0" applyFont="1" applyFill="1" applyAlignment="1">
      <alignment horizontal="center"/>
    </xf>
    <xf numFmtId="0" fontId="92" fillId="32" borderId="0" xfId="0" applyFont="1" applyFill="1" applyAlignment="1">
      <alignment horizontal="left" vertical="center" wrapText="1"/>
    </xf>
    <xf numFmtId="0" fontId="44" fillId="0" borderId="0" xfId="0" applyFont="1" applyAlignment="1">
      <alignment horizontal="left" wrapText="1"/>
    </xf>
    <xf numFmtId="0" fontId="2" fillId="4" borderId="0" xfId="0" applyFont="1" applyFill="1" applyAlignment="1">
      <alignment horizontal="left"/>
    </xf>
    <xf numFmtId="0" fontId="0" fillId="0" borderId="12"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23" xfId="0" applyBorder="1" applyAlignment="1">
      <alignment horizontal="left"/>
    </xf>
    <xf numFmtId="0" fontId="0" fillId="0" borderId="2" xfId="0" applyBorder="1" applyAlignment="1">
      <alignment horizontal="left"/>
    </xf>
    <xf numFmtId="0" fontId="0" fillId="0" borderId="6" xfId="0" applyBorder="1" applyAlignment="1">
      <alignment horizontal="left"/>
    </xf>
    <xf numFmtId="0" fontId="93" fillId="4" borderId="0" xfId="35" applyFont="1" applyFill="1" applyAlignment="1">
      <alignment horizontal="center" vertical="center"/>
    </xf>
    <xf numFmtId="0" fontId="88" fillId="3" borderId="7" xfId="35" applyFont="1" applyFill="1" applyBorder="1" applyAlignment="1">
      <alignment horizontal="center"/>
    </xf>
    <xf numFmtId="0" fontId="88" fillId="3" borderId="24" xfId="35" applyFont="1" applyFill="1" applyBorder="1" applyAlignment="1">
      <alignment horizontal="center"/>
    </xf>
    <xf numFmtId="0" fontId="88" fillId="3" borderId="21" xfId="35" applyFont="1" applyFill="1" applyBorder="1" applyAlignment="1">
      <alignment horizontal="center"/>
    </xf>
    <xf numFmtId="2" fontId="93" fillId="4" borderId="10" xfId="35" applyNumberFormat="1" applyFont="1" applyFill="1" applyBorder="1" applyAlignment="1">
      <alignment horizontal="center" vertical="center"/>
    </xf>
    <xf numFmtId="2" fontId="93" fillId="4" borderId="81" xfId="35" applyNumberFormat="1" applyFont="1" applyFill="1" applyBorder="1" applyAlignment="1">
      <alignment horizontal="center" vertical="center"/>
    </xf>
    <xf numFmtId="2" fontId="93" fillId="4" borderId="57" xfId="35" applyNumberFormat="1" applyFont="1" applyFill="1" applyBorder="1" applyAlignment="1">
      <alignment horizontal="center" vertical="center"/>
    </xf>
    <xf numFmtId="2" fontId="93" fillId="4" borderId="0" xfId="35" applyNumberFormat="1" applyFont="1" applyFill="1" applyBorder="1" applyAlignment="1">
      <alignment horizontal="center" vertical="center"/>
    </xf>
    <xf numFmtId="2" fontId="93" fillId="4" borderId="134" xfId="35" applyNumberFormat="1" applyFont="1" applyFill="1" applyBorder="1" applyAlignment="1">
      <alignment horizontal="center" vertical="center"/>
    </xf>
    <xf numFmtId="2" fontId="93" fillId="4" borderId="2" xfId="35" applyNumberFormat="1" applyFont="1" applyFill="1" applyBorder="1" applyAlignment="1">
      <alignment horizontal="center" vertical="center"/>
    </xf>
    <xf numFmtId="2" fontId="93" fillId="4" borderId="132" xfId="35" applyNumberFormat="1" applyFont="1" applyFill="1" applyBorder="1" applyAlignment="1">
      <alignment horizontal="center" vertical="center"/>
    </xf>
    <xf numFmtId="2" fontId="93" fillId="4" borderId="135" xfId="35" applyNumberFormat="1" applyFont="1" applyFill="1" applyBorder="1" applyAlignment="1">
      <alignment horizontal="center" vertical="center"/>
    </xf>
    <xf numFmtId="0" fontId="93" fillId="4" borderId="0" xfId="35" applyFont="1" applyFill="1" applyAlignment="1">
      <alignment horizontal="center"/>
    </xf>
    <xf numFmtId="0" fontId="94" fillId="3" borderId="24" xfId="35" applyFont="1" applyFill="1" applyBorder="1" applyAlignment="1">
      <alignment horizontal="left"/>
    </xf>
    <xf numFmtId="0" fontId="94" fillId="3" borderId="21" xfId="35" applyFont="1" applyFill="1" applyBorder="1" applyAlignment="1">
      <alignment horizontal="left"/>
    </xf>
  </cellXfs>
  <cellStyles count="42">
    <cellStyle name="Comma 2" xfId="3"/>
    <cellStyle name="Lien hypertexte" xfId="5" builtinId="8"/>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Milliers" xfId="1" builtinId="3"/>
    <cellStyle name="Milliers 2" xfId="4"/>
    <cellStyle name="Milliers 3" xfId="33"/>
    <cellStyle name="Milliers 4" xfId="31"/>
    <cellStyle name="Milliers 6" xfId="36"/>
    <cellStyle name="Monétaire" xfId="29" builtinId="4"/>
    <cellStyle name="Normal" xfId="0" builtinId="0"/>
    <cellStyle name="Normal 2" xfId="32"/>
    <cellStyle name="Normal 4" xfId="35"/>
    <cellStyle name="Pourcentage" xfId="2" builtinId="5"/>
    <cellStyle name="Pourcentage 3" xfId="6"/>
    <cellStyle name="Pourcentage 4" xfId="30"/>
    <cellStyle name="Pourcentage 5" xfId="34"/>
  </cellStyles>
  <dxfs count="131">
    <dxf>
      <font>
        <b val="0"/>
        <condense val="0"/>
        <extend val="0"/>
        <color indexed="16"/>
      </font>
      <fill>
        <patternFill patternType="solid">
          <fgColor indexed="47"/>
          <bgColor indexed="45"/>
        </patternFill>
      </fill>
    </dxf>
    <dxf>
      <font>
        <color rgb="FFFF0000"/>
      </font>
    </dxf>
    <dxf>
      <font>
        <b val="0"/>
        <condense val="0"/>
        <extend val="0"/>
        <color indexed="16"/>
      </font>
      <fill>
        <patternFill patternType="solid">
          <fgColor indexed="47"/>
          <bgColor indexed="45"/>
        </patternFill>
      </fill>
    </dxf>
    <dxf>
      <font>
        <color rgb="FF00B050"/>
      </font>
    </dxf>
    <dxf>
      <font>
        <color rgb="FF9C0006"/>
      </font>
    </dxf>
    <dxf>
      <font>
        <color rgb="FFFF0000"/>
      </font>
    </dxf>
    <dxf>
      <font>
        <b val="0"/>
        <condense val="0"/>
        <extend val="0"/>
        <color indexed="16"/>
      </font>
      <fill>
        <patternFill patternType="solid">
          <fgColor indexed="47"/>
          <bgColor indexed="45"/>
        </patternFill>
      </fill>
    </dxf>
    <dxf>
      <font>
        <b val="0"/>
        <condense val="0"/>
        <extend val="0"/>
        <color indexed="16"/>
      </font>
      <fill>
        <patternFill patternType="solid">
          <fgColor indexed="47"/>
          <bgColor indexed="45"/>
        </patternFill>
      </fill>
    </dxf>
    <dxf>
      <font>
        <color rgb="FF006100"/>
      </font>
      <fill>
        <patternFill>
          <bgColor rgb="FFC6EFCE"/>
        </patternFill>
      </fill>
    </dxf>
    <dxf>
      <font>
        <color rgb="FF9C0006"/>
      </font>
    </dxf>
    <dxf>
      <font>
        <color rgb="FF006100"/>
      </font>
      <fill>
        <patternFill>
          <bgColor rgb="FFC6EF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rgb="FFFFC7CE"/>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b/>
        <i val="0"/>
        <strike val="0"/>
        <condense val="0"/>
        <extend val="0"/>
        <outline val="0"/>
        <shadow val="0"/>
        <u val="none"/>
        <vertAlign val="baseline"/>
        <sz val="10"/>
        <color rgb="FF000000"/>
        <name val="Arial"/>
        <scheme val="none"/>
      </font>
      <numFmt numFmtId="14" formatCode="0.00%"/>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rgb="FF000000"/>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theme="0"/>
        <name val="Calibri"/>
        <scheme val="minor"/>
      </font>
    </dxf>
    <dxf>
      <font>
        <b val="0"/>
        <i val="0"/>
        <strike val="0"/>
        <condense val="0"/>
        <extend val="0"/>
        <outline val="0"/>
        <shadow val="0"/>
        <u val="none"/>
        <vertAlign val="baseline"/>
        <sz val="10"/>
        <color rgb="FF000000"/>
        <name val="Arial"/>
        <scheme val="none"/>
      </font>
      <numFmt numFmtId="14" formatCode="0.00%"/>
      <fill>
        <patternFill patternType="solid">
          <fgColor indexed="64"/>
          <bgColor rgb="FFFFFFFF"/>
        </patternFill>
      </fill>
      <alignment horizontal="right" vertical="top" textRotation="0" wrapText="1" indent="0" justifyLastLine="0" shrinkToFit="0" readingOrder="0"/>
      <border diagonalUp="0" diagonalDown="0">
        <left style="thick">
          <color rgb="FFEBEEEF"/>
        </left>
        <right/>
        <top/>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FF"/>
        </patternFill>
      </fill>
      <alignment horizontal="left" vertical="top" textRotation="0" wrapText="1" indent="0" justifyLastLine="0" shrinkToFit="0" readingOrder="0"/>
    </dxf>
    <dxf>
      <numFmt numFmtId="14" formatCode="0.0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font>
    </dxf>
    <dxf>
      <numFmt numFmtId="14" formatCode="0.00%"/>
      <alignment horizontal="center" vertical="center" textRotation="0" indent="0" justifyLastLine="0" shrinkToFit="0" readingOrder="0"/>
    </dxf>
    <dxf>
      <numFmt numFmtId="14" formatCode="0.00%"/>
      <alignment horizontal="center" vertical="center" textRotation="0" indent="0" justifyLastLine="0" shrinkToFit="0" readingOrder="0"/>
    </dxf>
    <dxf>
      <numFmt numFmtId="2" formatCode="0.0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2" formatCode="0.00"/>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font>
        <b/>
      </font>
      <alignment horizontal="center" vertical="center"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dxf>
    <dxf>
      <font>
        <strike val="0"/>
        <outline val="0"/>
        <shadow val="0"/>
        <u val="none"/>
        <vertAlign val="baseline"/>
        <name val="Times New Roman"/>
        <scheme val="none"/>
      </font>
      <alignment horizontal="center" vertical="bottom" textRotation="0" wrapText="0" indent="0" justifyLastLine="0" shrinkToFit="0" readingOrder="0"/>
    </dxf>
    <dxf>
      <font>
        <strike val="0"/>
        <outline val="0"/>
        <shadow val="0"/>
        <u val="none"/>
        <vertAlign val="baseline"/>
        <name val="Times New Roman"/>
        <scheme val="none"/>
      </font>
      <alignment horizontal="center" vertical="bottom" textRotation="0" wrapText="0" indent="0" justifyLastLine="0" shrinkToFit="0" readingOrder="0"/>
    </dxf>
    <dxf>
      <font>
        <strike val="0"/>
        <outline val="0"/>
        <shadow val="0"/>
        <u val="none"/>
        <vertAlign val="baseline"/>
        <name val="Times New Roman"/>
        <scheme val="none"/>
      </font>
      <alignment horizontal="center" vertical="bottom" textRotation="0" wrapText="0" indent="0" justifyLastLine="0" shrinkToFit="0" readingOrder="0"/>
    </dxf>
    <dxf>
      <font>
        <strike val="0"/>
        <outline val="0"/>
        <shadow val="0"/>
        <u val="none"/>
        <vertAlign val="baseline"/>
        <name val="Times New Roman"/>
        <scheme val="none"/>
      </font>
      <alignment horizontal="center" vertical="bottom" textRotation="0" wrapText="0"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border outline="0">
        <left style="medium">
          <color indexed="64"/>
        </left>
        <bottom style="medium">
          <color indexed="64"/>
        </bottom>
      </border>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numFmt numFmtId="165" formatCode="_-* #,##0.00\ _€_-;\-* #,##0.00\ _€_-;_-* \-??\ _€_-;_-@_-"/>
    </dxf>
    <dxf>
      <font>
        <strike val="0"/>
        <outline val="0"/>
        <shadow val="0"/>
        <u val="none"/>
        <vertAlign val="baseline"/>
        <name val="Times New Roman"/>
        <scheme val="none"/>
      </font>
      <numFmt numFmtId="165" formatCode="_-* #,##0.00\ _€_-;\-* #,##0.00\ _€_-;_-* \-??\ _€_-;_-@_-"/>
    </dxf>
    <dxf>
      <font>
        <strike val="0"/>
        <outline val="0"/>
        <shadow val="0"/>
        <u val="none"/>
        <vertAlign val="baseline"/>
        <name val="Times New Roman"/>
        <scheme val="none"/>
      </font>
      <numFmt numFmtId="13" formatCode="0%"/>
    </dxf>
    <dxf>
      <font>
        <strike val="0"/>
        <outline val="0"/>
        <shadow val="0"/>
        <u val="none"/>
        <vertAlign val="baseline"/>
        <name val="Times New Roman"/>
        <scheme val="none"/>
      </font>
      <numFmt numFmtId="165" formatCode="_-* #,##0.00\ _€_-;\-* #,##0.00\ _€_-;_-* \-??\ _€_-;_-@_-"/>
    </dxf>
    <dxf>
      <font>
        <strike val="0"/>
        <outline val="0"/>
        <shadow val="0"/>
        <u val="none"/>
        <vertAlign val="baseline"/>
        <name val="Times New Roman"/>
        <scheme val="none"/>
      </font>
      <alignment horizontal="center" vertical="bottom" textRotation="0" wrapText="0" indent="0" justifyLastLine="0" shrinkToFit="0" readingOrder="0"/>
    </dxf>
    <dxf>
      <border outline="0">
        <right style="medium">
          <color indexed="8"/>
        </right>
        <bottom style="medium">
          <color indexed="8"/>
        </bottom>
      </border>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numFmt numFmtId="165" formatCode="_-* #,##0.00\ _€_-;\-* #,##0.00\ _€_-;_-* \-??\ _€_-;_-@_-"/>
    </dxf>
    <dxf>
      <font>
        <strike val="0"/>
        <outline val="0"/>
        <shadow val="0"/>
        <u val="none"/>
        <vertAlign val="baseline"/>
        <name val="Times New Roman"/>
        <scheme val="none"/>
      </font>
      <numFmt numFmtId="165" formatCode="_-* #,##0.00\ _€_-;\-* #,##0.00\ _€_-;_-* \-??\ _€_-;_-@_-"/>
    </dxf>
    <dxf>
      <font>
        <strike val="0"/>
        <outline val="0"/>
        <shadow val="0"/>
        <u val="none"/>
        <vertAlign val="baseline"/>
        <name val="Times New Roman"/>
        <scheme val="none"/>
      </font>
      <numFmt numFmtId="13" formatCode="0%"/>
    </dxf>
    <dxf>
      <font>
        <strike val="0"/>
        <outline val="0"/>
        <shadow val="0"/>
        <u val="none"/>
        <vertAlign val="baseline"/>
        <name val="Times New Roman"/>
        <scheme val="none"/>
      </font>
      <numFmt numFmtId="165" formatCode="_-* #,##0.00\ _€_-;\-* #,##0.00\ _€_-;_-* \-??\ _€_-;_-@_-"/>
    </dxf>
    <dxf>
      <font>
        <strike val="0"/>
        <outline val="0"/>
        <shadow val="0"/>
        <u val="none"/>
        <vertAlign val="baseline"/>
        <name val="Times New Roman"/>
        <scheme val="none"/>
      </font>
      <alignment horizontal="center" vertical="bottom" textRotation="0" wrapText="0" indent="0" justifyLastLine="0" shrinkToFit="0" readingOrder="0"/>
    </dxf>
    <dxf>
      <border outline="0">
        <right style="medium">
          <color indexed="8"/>
        </right>
        <bottom style="medium">
          <color indexed="8"/>
        </bottom>
      </border>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numFmt numFmtId="165" formatCode="_-* #,##0.00\ _€_-;\-* #,##0.00\ _€_-;_-* \-??\ _€_-;_-@_-"/>
    </dxf>
    <dxf>
      <font>
        <strike val="0"/>
        <outline val="0"/>
        <shadow val="0"/>
        <u val="none"/>
        <vertAlign val="baseline"/>
        <name val="Times New Roman"/>
        <scheme val="none"/>
      </font>
      <numFmt numFmtId="165" formatCode="_-* #,##0.00\ _€_-;\-* #,##0.00\ _€_-;_-* \-??\ _€_-;_-@_-"/>
    </dxf>
    <dxf>
      <font>
        <strike val="0"/>
        <outline val="0"/>
        <shadow val="0"/>
        <u val="none"/>
        <vertAlign val="baseline"/>
        <name val="Times New Roman"/>
        <scheme val="none"/>
      </font>
      <numFmt numFmtId="13" formatCode="0%"/>
    </dxf>
    <dxf>
      <font>
        <strike val="0"/>
        <outline val="0"/>
        <shadow val="0"/>
        <u val="none"/>
        <vertAlign val="baseline"/>
        <name val="Times New Roman"/>
        <scheme val="none"/>
      </font>
      <numFmt numFmtId="165" formatCode="_-* #,##0.00\ _€_-;\-* #,##0.00\ _€_-;_-* \-??\ _€_-;_-@_-"/>
    </dxf>
    <dxf>
      <font>
        <strike val="0"/>
        <outline val="0"/>
        <shadow val="0"/>
        <u val="none"/>
        <vertAlign val="baseline"/>
        <name val="Times New Roman"/>
        <scheme val="none"/>
      </font>
      <alignment horizontal="center" vertical="bottom" textRotation="0" wrapText="0" indent="0" justifyLastLine="0" shrinkToFit="0" readingOrder="0"/>
    </dxf>
    <dxf>
      <border outline="0">
        <bottom style="medium">
          <color indexed="8"/>
        </bottom>
      </border>
    </dxf>
    <dxf>
      <font>
        <strike val="0"/>
        <outline val="0"/>
        <shadow val="0"/>
        <u val="none"/>
        <vertAlign val="baseline"/>
        <name val="Times New Roman"/>
        <scheme val="none"/>
      </font>
    </dxf>
    <dxf>
      <font>
        <b/>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numFmt numFmtId="165" formatCode="_-* #,##0.00\ _€_-;\-* #,##0.00\ _€_-;_-* \-??\ _€_-;_-@_-"/>
    </dxf>
    <dxf>
      <font>
        <strike val="0"/>
        <outline val="0"/>
        <shadow val="0"/>
        <u val="none"/>
        <vertAlign val="baseline"/>
        <name val="Times New Roman"/>
        <scheme val="none"/>
      </font>
      <numFmt numFmtId="165" formatCode="_-* #,##0.00\ _€_-;\-* #,##0.00\ _€_-;_-* \-??\ _€_-;_-@_-"/>
    </dxf>
    <dxf>
      <font>
        <strike val="0"/>
        <outline val="0"/>
        <shadow val="0"/>
        <u val="none"/>
        <vertAlign val="baseline"/>
        <name val="Times New Roman"/>
        <scheme val="none"/>
      </font>
      <numFmt numFmtId="13" formatCode="0%"/>
      <alignment horizontal="center" vertical="bottom" textRotation="0" wrapText="0" indent="0" justifyLastLine="0" shrinkToFit="0" readingOrder="0"/>
    </dxf>
    <dxf>
      <font>
        <strike val="0"/>
        <outline val="0"/>
        <shadow val="0"/>
        <u val="none"/>
        <vertAlign val="baseline"/>
        <name val="Times New Roman"/>
        <scheme val="none"/>
      </font>
      <numFmt numFmtId="165" formatCode="_-* #,##0.00\ _€_-;\-* #,##0.00\ _€_-;_-* \-??\ _€_-;_-@_-"/>
    </dxf>
    <dxf>
      <font>
        <strike val="0"/>
        <outline val="0"/>
        <shadow val="0"/>
        <u val="none"/>
        <vertAlign val="baseline"/>
        <name val="Times New Roman"/>
        <scheme val="none"/>
      </font>
      <alignment horizontal="center" vertical="bottom" textRotation="0" wrapText="0"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numFmt numFmtId="165" formatCode="_-* #,##0.00\ _€_-;\-* #,##0.00\ _€_-;_-* \-??\ _€_-;_-@_-"/>
    </dxf>
    <dxf>
      <font>
        <strike val="0"/>
        <outline val="0"/>
        <shadow val="0"/>
        <u val="none"/>
        <vertAlign val="baseline"/>
        <name val="Times New Roman"/>
        <scheme val="none"/>
      </font>
      <numFmt numFmtId="165" formatCode="_-* #,##0.00\ _€_-;\-* #,##0.00\ _€_-;_-* \-??\ _€_-;_-@_-"/>
    </dxf>
    <dxf>
      <font>
        <strike val="0"/>
        <outline val="0"/>
        <shadow val="0"/>
        <u val="none"/>
        <vertAlign val="baseline"/>
        <name val="Times New Roman"/>
        <scheme val="none"/>
      </font>
      <numFmt numFmtId="13" formatCode="0%"/>
      <alignment horizontal="center" vertical="bottom" textRotation="0" wrapText="0" indent="0" justifyLastLine="0" shrinkToFit="0" readingOrder="0"/>
    </dxf>
    <dxf>
      <font>
        <strike val="0"/>
        <outline val="0"/>
        <shadow val="0"/>
        <u val="none"/>
        <vertAlign val="baseline"/>
        <name val="Times New Roman"/>
        <scheme val="none"/>
      </font>
      <numFmt numFmtId="165" formatCode="_-* #,##0.00\ _€_-;\-* #,##0.00\ _€_-;_-* \-??\ _€_-;_-@_-"/>
      <alignment horizontal="general" vertical="bottom" textRotation="0" wrapText="0" indent="0" justifyLastLine="0" shrinkToFit="0" readingOrder="0"/>
    </dxf>
    <dxf>
      <font>
        <strike val="0"/>
        <outline val="0"/>
        <shadow val="0"/>
        <u val="none"/>
        <vertAlign val="baseline"/>
        <name val="Times New Roman"/>
        <scheme val="none"/>
      </font>
      <alignment horizontal="center" vertical="bottom" textRotation="0" wrapText="0" indent="0" justifyLastLine="0" shrinkToFit="0" readingOrder="0"/>
    </dxf>
    <dxf>
      <border outline="0">
        <bottom style="medium">
          <color indexed="8"/>
        </bottom>
      </border>
    </dxf>
    <dxf>
      <font>
        <strike val="0"/>
        <outline val="0"/>
        <shadow val="0"/>
        <u val="none"/>
        <vertAlign val="baseline"/>
        <name val="Times New Roman"/>
        <scheme val="none"/>
      </font>
    </dxf>
    <dxf>
      <font>
        <b/>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1"/>
        <color indexed="59"/>
        <name val="Times New Roman"/>
        <scheme val="none"/>
      </font>
      <alignment horizontal="center" vertical="bottom" textRotation="0" wrapText="0"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i val="0"/>
        <strike val="0"/>
        <condense val="0"/>
        <extend val="0"/>
        <outline val="0"/>
        <shadow val="0"/>
        <u val="none"/>
        <vertAlign val="baseline"/>
        <sz val="11"/>
        <color indexed="59"/>
        <name val="Times New Roman"/>
        <scheme val="none"/>
      </font>
      <numFmt numFmtId="5" formatCode="#,##0\ _€;\-#,##0\ _€"/>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indexed="59"/>
        <name val="Times New Roman"/>
        <scheme val="none"/>
      </font>
      <numFmt numFmtId="5" formatCode="#,##0\ _€;\-#,##0\ _€"/>
      <fill>
        <patternFill patternType="none">
          <fgColor indexed="64"/>
          <bgColor indexed="65"/>
        </patternFill>
      </fill>
      <alignment horizontal="center" vertical="bottom"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59"/>
        <name val="Times New Roman"/>
        <scheme val="none"/>
      </font>
      <fill>
        <patternFill patternType="none">
          <fgColor indexed="64"/>
          <bgColor indexed="65"/>
        </patternFill>
      </fill>
      <alignment horizontal="center"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border outline="0">
        <left style="thin">
          <color indexed="64"/>
        </left>
        <bottom style="thin">
          <color indexed="64"/>
        </bottom>
      </border>
    </dxf>
    <dxf>
      <font>
        <strike val="0"/>
        <outline val="0"/>
        <shadow val="0"/>
        <u val="none"/>
        <vertAlign val="baseline"/>
        <name val="Times New Roman"/>
        <scheme val="none"/>
      </font>
    </dxf>
    <dxf>
      <border outline="0">
        <bottom style="thin">
          <color indexed="64"/>
        </bottom>
      </border>
    </dxf>
    <dxf>
      <font>
        <strike val="0"/>
        <outline val="0"/>
        <shadow val="0"/>
        <u val="none"/>
        <vertAlign val="baseline"/>
        <name val="Times New Roman"/>
        <scheme val="none"/>
      </font>
    </dxf>
    <dxf>
      <font>
        <strike val="0"/>
        <outline val="0"/>
        <shadow val="0"/>
        <u val="none"/>
        <vertAlign val="baseline"/>
        <name val="Times New Roman"/>
        <scheme val="none"/>
      </font>
      <numFmt numFmtId="167" formatCode="#,##0\ _€"/>
      <alignment horizontal="center" vertical="bottom" textRotation="0" wrapText="0" indent="0" justifyLastLine="0" shrinkToFit="0" readingOrder="0"/>
    </dxf>
    <dxf>
      <font>
        <strike val="0"/>
        <outline val="0"/>
        <shadow val="0"/>
        <u val="none"/>
        <vertAlign val="baseline"/>
        <name val="Times New Roman"/>
        <scheme val="none"/>
      </font>
      <numFmt numFmtId="167" formatCode="#,##0\ _€"/>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dxf>
    <dxf>
      <border outline="0">
        <bottom style="thin">
          <color indexed="64"/>
        </bottom>
      </border>
    </dxf>
    <dxf>
      <font>
        <strike val="0"/>
        <outline val="0"/>
        <shadow val="0"/>
        <u val="none"/>
        <vertAlign val="baseline"/>
        <name val="Times New Roman"/>
        <scheme val="none"/>
      </font>
      <alignment horizontal="center" vertical="center" textRotation="0" wrapText="0" indent="0" justifyLastLine="0" shrinkToFit="0" readingOrder="0"/>
    </dxf>
  </dxfs>
  <tableStyles count="0" defaultTableStyle="TableStyleMedium2" defaultPivotStyle="PivotStyleLight16"/>
  <colors>
    <mruColors>
      <color rgb="FF0000CC"/>
      <color rgb="FF66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'Scénarios d''exploitation (2)'!$P$7:$P$42</c:f>
              <c:numCache>
                <c:formatCode>0.00%</c:formatCode>
                <c:ptCount val="36"/>
                <c:pt idx="0">
                  <c:v>1.6799999999999999E-2</c:v>
                </c:pt>
                <c:pt idx="1">
                  <c:v>5.0399999999999993E-2</c:v>
                </c:pt>
                <c:pt idx="2">
                  <c:v>2.1599999999999998E-2</c:v>
                </c:pt>
                <c:pt idx="3">
                  <c:v>7.5600000000000001E-2</c:v>
                </c:pt>
                <c:pt idx="4">
                  <c:v>3.2399999999999998E-2</c:v>
                </c:pt>
                <c:pt idx="5">
                  <c:v>8.3999999999999995E-3</c:v>
                </c:pt>
                <c:pt idx="6">
                  <c:v>3.5999999999999999E-3</c:v>
                </c:pt>
                <c:pt idx="7">
                  <c:v>1.2599999999999998E-2</c:v>
                </c:pt>
                <c:pt idx="8">
                  <c:v>5.3999999999999994E-3</c:v>
                </c:pt>
                <c:pt idx="9">
                  <c:v>5.0399999999999993E-2</c:v>
                </c:pt>
                <c:pt idx="10">
                  <c:v>2.1599999999999998E-2</c:v>
                </c:pt>
                <c:pt idx="11">
                  <c:v>7.5600000000000001E-2</c:v>
                </c:pt>
                <c:pt idx="12">
                  <c:v>3.2399999999999998E-2</c:v>
                </c:pt>
                <c:pt idx="13">
                  <c:v>2.5199999999999997E-2</c:v>
                </c:pt>
                <c:pt idx="14">
                  <c:v>1.0799999999999999E-2</c:v>
                </c:pt>
                <c:pt idx="15">
                  <c:v>7.1999999999999998E-3</c:v>
                </c:pt>
                <c:pt idx="16">
                  <c:v>2.5199999999999997E-2</c:v>
                </c:pt>
                <c:pt idx="17">
                  <c:v>1.0799999999999999E-2</c:v>
                </c:pt>
                <c:pt idx="18">
                  <c:v>0.10079999999999999</c:v>
                </c:pt>
                <c:pt idx="19">
                  <c:v>4.3199999999999995E-2</c:v>
                </c:pt>
                <c:pt idx="20">
                  <c:v>0.1512</c:v>
                </c:pt>
                <c:pt idx="21">
                  <c:v>6.4799999999999996E-2</c:v>
                </c:pt>
                <c:pt idx="22">
                  <c:v>3.78E-2</c:v>
                </c:pt>
                <c:pt idx="23">
                  <c:v>1.6199999999999999E-2</c:v>
                </c:pt>
                <c:pt idx="24">
                  <c:v>2.8000000000000004E-3</c:v>
                </c:pt>
                <c:pt idx="25">
                  <c:v>1.2000000000000003E-3</c:v>
                </c:pt>
                <c:pt idx="26">
                  <c:v>4.2000000000000006E-3</c:v>
                </c:pt>
                <c:pt idx="27">
                  <c:v>1.8000000000000002E-3</c:v>
                </c:pt>
                <c:pt idx="28">
                  <c:v>1.6799999999999999E-2</c:v>
                </c:pt>
                <c:pt idx="29">
                  <c:v>7.1999999999999998E-3</c:v>
                </c:pt>
                <c:pt idx="30">
                  <c:v>2.5199999999999997E-2</c:v>
                </c:pt>
                <c:pt idx="31">
                  <c:v>1.0799999999999999E-2</c:v>
                </c:pt>
                <c:pt idx="32">
                  <c:v>8.3999999999999995E-3</c:v>
                </c:pt>
                <c:pt idx="33">
                  <c:v>3.5999999999999999E-3</c:v>
                </c:pt>
                <c:pt idx="34">
                  <c:v>1.2599999999999998E-2</c:v>
                </c:pt>
                <c:pt idx="35">
                  <c:v>5.3999999999999994E-3</c:v>
                </c:pt>
              </c:numCache>
            </c:numRef>
          </c:xVal>
          <c:yVal>
            <c:numRef>
              <c:f>'Scénarios d''exploitation (2)'!$S$7:$S$42</c:f>
              <c:numCache>
                <c:formatCode>#\ ##0\ _€</c:formatCode>
                <c:ptCount val="36"/>
                <c:pt idx="0">
                  <c:v>486888.93929841294</c:v>
                </c:pt>
                <c:pt idx="1">
                  <c:v>135997.94519329164</c:v>
                </c:pt>
                <c:pt idx="2">
                  <c:v>124230.4006356579</c:v>
                </c:pt>
                <c:pt idx="3">
                  <c:v>19034.28049158449</c:v>
                </c:pt>
                <c:pt idx="4">
                  <c:v>13150.508212767643</c:v>
                </c:pt>
                <c:pt idx="5">
                  <c:v>526469.93179824657</c:v>
                </c:pt>
                <c:pt idx="6">
                  <c:v>495059.97729817516</c:v>
                </c:pt>
                <c:pt idx="7">
                  <c:v>214270.27379406197</c:v>
                </c:pt>
                <c:pt idx="8">
                  <c:v>198565.29654402623</c:v>
                </c:pt>
                <c:pt idx="9">
                  <c:v>314174.16435540112</c:v>
                </c:pt>
                <c:pt idx="10">
                  <c:v>293443.59438535396</c:v>
                </c:pt>
                <c:pt idx="11">
                  <c:v>108122.39007263923</c:v>
                </c:pt>
                <c:pt idx="12">
                  <c:v>97757.105087615681</c:v>
                </c:pt>
                <c:pt idx="13">
                  <c:v>151830.34219322505</c:v>
                </c:pt>
                <c:pt idx="14">
                  <c:v>149381.71742456482</c:v>
                </c:pt>
                <c:pt idx="15">
                  <c:v>457470.07790432865</c:v>
                </c:pt>
                <c:pt idx="16">
                  <c:v>194479.77754414506</c:v>
                </c:pt>
                <c:pt idx="17">
                  <c:v>179770.34684710304</c:v>
                </c:pt>
                <c:pt idx="18">
                  <c:v>288051.33122424741</c:v>
                </c:pt>
                <c:pt idx="19">
                  <c:v>206785.8555895082</c:v>
                </c:pt>
                <c:pt idx="20">
                  <c:v>95060.662547694097</c:v>
                </c:pt>
                <c:pt idx="21">
                  <c:v>85352.438287646291</c:v>
                </c:pt>
                <c:pt idx="22">
                  <c:v>26950.478991551223</c:v>
                </c:pt>
                <c:pt idx="23">
                  <c:v>20668.488091536929</c:v>
                </c:pt>
                <c:pt idx="24">
                  <c:v>566050.92429808038</c:v>
                </c:pt>
                <c:pt idx="25">
                  <c:v>532649.8766920215</c:v>
                </c:pt>
                <c:pt idx="26">
                  <c:v>234060.77004397888</c:v>
                </c:pt>
                <c:pt idx="27">
                  <c:v>217360.24624094943</c:v>
                </c:pt>
                <c:pt idx="28">
                  <c:v>340297.61940529128</c:v>
                </c:pt>
                <c:pt idx="29">
                  <c:v>318252.92798529239</c:v>
                </c:pt>
                <c:pt idx="30">
                  <c:v>121184.11759758434</c:v>
                </c:pt>
                <c:pt idx="31">
                  <c:v>110161.77188758495</c:v>
                </c:pt>
                <c:pt idx="32">
                  <c:v>167662.73919315857</c:v>
                </c:pt>
                <c:pt idx="33">
                  <c:v>154302.32015073509</c:v>
                </c:pt>
                <c:pt idx="34">
                  <c:v>34866.67749151797</c:v>
                </c:pt>
                <c:pt idx="35">
                  <c:v>28186.467970306228</c:v>
                </c:pt>
              </c:numCache>
            </c:numRef>
          </c:yVal>
          <c:smooth val="0"/>
        </c:ser>
        <c:dLbls>
          <c:showLegendKey val="0"/>
          <c:showVal val="0"/>
          <c:showCatName val="0"/>
          <c:showSerName val="0"/>
          <c:showPercent val="0"/>
          <c:showBubbleSize val="0"/>
        </c:dLbls>
        <c:axId val="316749432"/>
        <c:axId val="316750216"/>
      </c:scatterChart>
      <c:valAx>
        <c:axId val="316749432"/>
        <c:scaling>
          <c:orientation val="minMax"/>
        </c:scaling>
        <c:delete val="0"/>
        <c:axPos val="b"/>
        <c:numFmt formatCode="0.00%" sourceLinked="1"/>
        <c:majorTickMark val="out"/>
        <c:minorTickMark val="none"/>
        <c:tickLblPos val="nextTo"/>
        <c:crossAx val="316750216"/>
        <c:crosses val="autoZero"/>
        <c:crossBetween val="midCat"/>
      </c:valAx>
      <c:valAx>
        <c:axId val="316750216"/>
        <c:scaling>
          <c:orientation val="minMax"/>
        </c:scaling>
        <c:delete val="0"/>
        <c:axPos val="l"/>
        <c:majorGridlines/>
        <c:numFmt formatCode="#\ ##0\ _€" sourceLinked="1"/>
        <c:majorTickMark val="out"/>
        <c:minorTickMark val="none"/>
        <c:tickLblPos val="nextTo"/>
        <c:crossAx val="3167494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'Scénarios d''exploitation'!$P$7:$P$42</c:f>
              <c:numCache>
                <c:formatCode>0.00%</c:formatCode>
                <c:ptCount val="36"/>
                <c:pt idx="0">
                  <c:v>1.6799999999999999E-2</c:v>
                </c:pt>
                <c:pt idx="1">
                  <c:v>5.0399999999999993E-2</c:v>
                </c:pt>
                <c:pt idx="2">
                  <c:v>2.1599999999999998E-2</c:v>
                </c:pt>
                <c:pt idx="3">
                  <c:v>7.5600000000000001E-2</c:v>
                </c:pt>
                <c:pt idx="4">
                  <c:v>3.2399999999999998E-2</c:v>
                </c:pt>
                <c:pt idx="5">
                  <c:v>8.3999999999999995E-3</c:v>
                </c:pt>
                <c:pt idx="6">
                  <c:v>3.5999999999999999E-3</c:v>
                </c:pt>
                <c:pt idx="7">
                  <c:v>1.2599999999999998E-2</c:v>
                </c:pt>
                <c:pt idx="8">
                  <c:v>5.3999999999999994E-3</c:v>
                </c:pt>
                <c:pt idx="9">
                  <c:v>5.0399999999999993E-2</c:v>
                </c:pt>
                <c:pt idx="10">
                  <c:v>2.1599999999999998E-2</c:v>
                </c:pt>
                <c:pt idx="11">
                  <c:v>7.5600000000000001E-2</c:v>
                </c:pt>
                <c:pt idx="12">
                  <c:v>3.2399999999999998E-2</c:v>
                </c:pt>
                <c:pt idx="13">
                  <c:v>2.5199999999999997E-2</c:v>
                </c:pt>
                <c:pt idx="14">
                  <c:v>1.0799999999999999E-2</c:v>
                </c:pt>
                <c:pt idx="15">
                  <c:v>7.1999999999999998E-3</c:v>
                </c:pt>
                <c:pt idx="16">
                  <c:v>2.5199999999999997E-2</c:v>
                </c:pt>
                <c:pt idx="17">
                  <c:v>1.0799999999999999E-2</c:v>
                </c:pt>
                <c:pt idx="18">
                  <c:v>0.10079999999999999</c:v>
                </c:pt>
                <c:pt idx="19">
                  <c:v>4.3199999999999995E-2</c:v>
                </c:pt>
                <c:pt idx="20">
                  <c:v>0.1512</c:v>
                </c:pt>
                <c:pt idx="21">
                  <c:v>6.4799999999999996E-2</c:v>
                </c:pt>
                <c:pt idx="22">
                  <c:v>3.78E-2</c:v>
                </c:pt>
                <c:pt idx="23">
                  <c:v>1.6199999999999999E-2</c:v>
                </c:pt>
                <c:pt idx="24">
                  <c:v>2.8000000000000004E-3</c:v>
                </c:pt>
                <c:pt idx="25">
                  <c:v>1.2000000000000003E-3</c:v>
                </c:pt>
                <c:pt idx="26">
                  <c:v>4.2000000000000006E-3</c:v>
                </c:pt>
                <c:pt idx="27">
                  <c:v>1.8000000000000002E-3</c:v>
                </c:pt>
                <c:pt idx="28">
                  <c:v>1.6799999999999999E-2</c:v>
                </c:pt>
                <c:pt idx="29">
                  <c:v>7.1999999999999998E-3</c:v>
                </c:pt>
                <c:pt idx="30">
                  <c:v>2.5199999999999997E-2</c:v>
                </c:pt>
                <c:pt idx="31">
                  <c:v>1.0799999999999999E-2</c:v>
                </c:pt>
                <c:pt idx="32">
                  <c:v>8.3999999999999995E-3</c:v>
                </c:pt>
                <c:pt idx="33">
                  <c:v>3.5999999999999999E-3</c:v>
                </c:pt>
                <c:pt idx="34">
                  <c:v>1.2599999999999998E-2</c:v>
                </c:pt>
                <c:pt idx="35">
                  <c:v>5.3999999999999994E-3</c:v>
                </c:pt>
              </c:numCache>
            </c:numRef>
          </c:xVal>
          <c:yVal>
            <c:numRef>
              <c:f>'Scénarios d''exploitation'!$S$7:$S$42</c:f>
              <c:numCache>
                <c:formatCode>#\ ##0\ _€</c:formatCode>
                <c:ptCount val="36"/>
                <c:pt idx="0">
                  <c:v>486888.93929841294</c:v>
                </c:pt>
                <c:pt idx="1">
                  <c:v>135997.94519329164</c:v>
                </c:pt>
                <c:pt idx="2">
                  <c:v>124230.4006356579</c:v>
                </c:pt>
                <c:pt idx="3">
                  <c:v>19034.28049158449</c:v>
                </c:pt>
                <c:pt idx="4">
                  <c:v>13150.508212767643</c:v>
                </c:pt>
                <c:pt idx="5">
                  <c:v>526469.93179824657</c:v>
                </c:pt>
                <c:pt idx="6">
                  <c:v>495059.97729817516</c:v>
                </c:pt>
                <c:pt idx="7">
                  <c:v>214270.27379406197</c:v>
                </c:pt>
                <c:pt idx="8">
                  <c:v>198565.29654402623</c:v>
                </c:pt>
                <c:pt idx="9">
                  <c:v>314174.16435540112</c:v>
                </c:pt>
                <c:pt idx="10">
                  <c:v>293443.59438535396</c:v>
                </c:pt>
                <c:pt idx="11">
                  <c:v>108122.39007263923</c:v>
                </c:pt>
                <c:pt idx="12">
                  <c:v>97757.105087615681</c:v>
                </c:pt>
                <c:pt idx="13">
                  <c:v>151830.34219322505</c:v>
                </c:pt>
                <c:pt idx="14">
                  <c:v>149381.71742456482</c:v>
                </c:pt>
                <c:pt idx="15">
                  <c:v>457470.07790432865</c:v>
                </c:pt>
                <c:pt idx="16">
                  <c:v>194479.77754414506</c:v>
                </c:pt>
                <c:pt idx="17">
                  <c:v>179770.34684710304</c:v>
                </c:pt>
                <c:pt idx="18">
                  <c:v>288051.33122424741</c:v>
                </c:pt>
                <c:pt idx="19">
                  <c:v>206785.8555895082</c:v>
                </c:pt>
                <c:pt idx="20">
                  <c:v>95060.662547694097</c:v>
                </c:pt>
                <c:pt idx="21">
                  <c:v>85352.438287646291</c:v>
                </c:pt>
                <c:pt idx="22">
                  <c:v>26950.478991551223</c:v>
                </c:pt>
                <c:pt idx="23">
                  <c:v>20668.488091536929</c:v>
                </c:pt>
                <c:pt idx="24">
                  <c:v>566050.92429808038</c:v>
                </c:pt>
                <c:pt idx="25">
                  <c:v>532649.8766920215</c:v>
                </c:pt>
                <c:pt idx="26">
                  <c:v>234060.77004397888</c:v>
                </c:pt>
                <c:pt idx="27">
                  <c:v>217360.24624094943</c:v>
                </c:pt>
                <c:pt idx="28">
                  <c:v>340297.61940529128</c:v>
                </c:pt>
                <c:pt idx="29">
                  <c:v>318252.92798529239</c:v>
                </c:pt>
                <c:pt idx="30">
                  <c:v>121184.11759758434</c:v>
                </c:pt>
                <c:pt idx="31">
                  <c:v>110161.77188758495</c:v>
                </c:pt>
                <c:pt idx="32">
                  <c:v>167662.73919315857</c:v>
                </c:pt>
                <c:pt idx="33">
                  <c:v>154302.32015073509</c:v>
                </c:pt>
                <c:pt idx="34">
                  <c:v>34866.67749151797</c:v>
                </c:pt>
                <c:pt idx="35">
                  <c:v>28186.467970306228</c:v>
                </c:pt>
              </c:numCache>
            </c:numRef>
          </c:yVal>
          <c:smooth val="0"/>
        </c:ser>
        <c:dLbls>
          <c:showLegendKey val="0"/>
          <c:showVal val="0"/>
          <c:showCatName val="0"/>
          <c:showSerName val="0"/>
          <c:showPercent val="0"/>
          <c:showBubbleSize val="0"/>
        </c:dLbls>
        <c:axId val="316743944"/>
        <c:axId val="316747864"/>
      </c:scatterChart>
      <c:valAx>
        <c:axId val="316743944"/>
        <c:scaling>
          <c:orientation val="minMax"/>
        </c:scaling>
        <c:delete val="0"/>
        <c:axPos val="b"/>
        <c:numFmt formatCode="0.00%" sourceLinked="1"/>
        <c:majorTickMark val="out"/>
        <c:minorTickMark val="none"/>
        <c:tickLblPos val="nextTo"/>
        <c:crossAx val="316747864"/>
        <c:crosses val="autoZero"/>
        <c:crossBetween val="midCat"/>
      </c:valAx>
      <c:valAx>
        <c:axId val="316747864"/>
        <c:scaling>
          <c:orientation val="minMax"/>
        </c:scaling>
        <c:delete val="0"/>
        <c:axPos val="l"/>
        <c:majorGridlines/>
        <c:numFmt formatCode="#\ ##0\ _€" sourceLinked="1"/>
        <c:majorTickMark val="out"/>
        <c:minorTickMark val="none"/>
        <c:tickLblPos val="nextTo"/>
        <c:crossAx val="3167439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tx>
            <c:strRef>
              <c:f>'[3]TdB Exploitation'!$AC$23</c:f>
              <c:strCache>
                <c:ptCount val="1"/>
                <c:pt idx="0">
                  <c:v>Hormopharm</c:v>
                </c:pt>
              </c:strCache>
            </c:strRef>
          </c:tx>
          <c:cat>
            <c:numRef>
              <c:f>'[3]TdB Exploitation'!$AB$24:$AB$34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'[3]TdB Exploitation'!$AC$24:$AC$34</c:f>
              <c:numCache>
                <c:formatCode>General</c:formatCode>
                <c:ptCount val="11"/>
                <c:pt idx="0">
                  <c:v>20</c:v>
                </c:pt>
                <c:pt idx="1">
                  <c:v>25</c:v>
                </c:pt>
                <c:pt idx="2">
                  <c:v>27</c:v>
                </c:pt>
                <c:pt idx="3">
                  <c:v>29</c:v>
                </c:pt>
                <c:pt idx="4">
                  <c:v>30</c:v>
                </c:pt>
                <c:pt idx="5">
                  <c:v>32</c:v>
                </c:pt>
                <c:pt idx="6">
                  <c:v>32</c:v>
                </c:pt>
                <c:pt idx="7">
                  <c:v>34</c:v>
                </c:pt>
                <c:pt idx="8">
                  <c:v>35</c:v>
                </c:pt>
                <c:pt idx="9">
                  <c:v>33</c:v>
                </c:pt>
                <c:pt idx="10">
                  <c:v>37</c:v>
                </c:pt>
              </c:numCache>
            </c:numRef>
          </c:val>
          <c:smooth val="0"/>
        </c:ser>
        <c:ser>
          <c:idx val="1"/>
          <c:order val="1"/>
          <c:tx>
            <c:strRef>
              <c:f>'[3]TdB Exploitation'!$AD$23</c:f>
              <c:strCache>
                <c:ptCount val="1"/>
                <c:pt idx="0">
                  <c:v>Concurrent 1</c:v>
                </c:pt>
              </c:strCache>
            </c:strRef>
          </c:tx>
          <c:cat>
            <c:numRef>
              <c:f>'[3]TdB Exploitation'!$AB$24:$AB$34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'[3]TdB Exploitation'!$AD$24:$AD$34</c:f>
              <c:numCache>
                <c:formatCode>General</c:formatCode>
                <c:ptCount val="11"/>
                <c:pt idx="0">
                  <c:v>29</c:v>
                </c:pt>
                <c:pt idx="1">
                  <c:v>30</c:v>
                </c:pt>
                <c:pt idx="2">
                  <c:v>29</c:v>
                </c:pt>
                <c:pt idx="3">
                  <c:v>31</c:v>
                </c:pt>
                <c:pt idx="4">
                  <c:v>33</c:v>
                </c:pt>
                <c:pt idx="5">
                  <c:v>32</c:v>
                </c:pt>
                <c:pt idx="6">
                  <c:v>30</c:v>
                </c:pt>
                <c:pt idx="7">
                  <c:v>29</c:v>
                </c:pt>
                <c:pt idx="8">
                  <c:v>30</c:v>
                </c:pt>
                <c:pt idx="9">
                  <c:v>31</c:v>
                </c:pt>
                <c:pt idx="10">
                  <c:v>30</c:v>
                </c:pt>
              </c:numCache>
            </c:numRef>
          </c:val>
          <c:smooth val="0"/>
        </c:ser>
        <c:ser>
          <c:idx val="2"/>
          <c:order val="2"/>
          <c:tx>
            <c:strRef>
              <c:f>'[3]TdB Exploitation'!$AE$23</c:f>
              <c:strCache>
                <c:ptCount val="1"/>
                <c:pt idx="0">
                  <c:v>Concurrent 2</c:v>
                </c:pt>
              </c:strCache>
            </c:strRef>
          </c:tx>
          <c:cat>
            <c:numRef>
              <c:f>'[3]TdB Exploitation'!$AB$24:$AB$34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'[3]TdB Exploitation'!$AE$24:$AE$34</c:f>
              <c:numCache>
                <c:formatCode>General</c:formatCode>
                <c:ptCount val="11"/>
                <c:pt idx="0">
                  <c:v>23</c:v>
                </c:pt>
                <c:pt idx="1">
                  <c:v>21</c:v>
                </c:pt>
                <c:pt idx="2">
                  <c:v>20</c:v>
                </c:pt>
                <c:pt idx="3">
                  <c:v>22</c:v>
                </c:pt>
                <c:pt idx="4">
                  <c:v>20</c:v>
                </c:pt>
                <c:pt idx="5">
                  <c:v>26</c:v>
                </c:pt>
                <c:pt idx="6">
                  <c:v>19</c:v>
                </c:pt>
                <c:pt idx="7">
                  <c:v>17</c:v>
                </c:pt>
                <c:pt idx="8">
                  <c:v>20</c:v>
                </c:pt>
                <c:pt idx="9">
                  <c:v>18</c:v>
                </c:pt>
                <c:pt idx="10">
                  <c:v>16</c:v>
                </c:pt>
              </c:numCache>
            </c:numRef>
          </c:val>
          <c:smooth val="0"/>
        </c:ser>
        <c:ser>
          <c:idx val="3"/>
          <c:order val="3"/>
          <c:tx>
            <c:strRef>
              <c:f>'[3]TdB Exploitation'!$AF$23</c:f>
              <c:strCache>
                <c:ptCount val="1"/>
                <c:pt idx="0">
                  <c:v>Concurrent 3</c:v>
                </c:pt>
              </c:strCache>
            </c:strRef>
          </c:tx>
          <c:cat>
            <c:numRef>
              <c:f>'[3]TdB Exploitation'!$AB$24:$AB$34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'[3]TdB Exploitation'!$AF$24:$AF$34</c:f>
              <c:numCache>
                <c:formatCode>General</c:formatCode>
                <c:ptCount val="11"/>
                <c:pt idx="0">
                  <c:v>28</c:v>
                </c:pt>
                <c:pt idx="1">
                  <c:v>24</c:v>
                </c:pt>
                <c:pt idx="2">
                  <c:v>24</c:v>
                </c:pt>
                <c:pt idx="3">
                  <c:v>18</c:v>
                </c:pt>
                <c:pt idx="4">
                  <c:v>17</c:v>
                </c:pt>
                <c:pt idx="5">
                  <c:v>10</c:v>
                </c:pt>
                <c:pt idx="6">
                  <c:v>19</c:v>
                </c:pt>
                <c:pt idx="7">
                  <c:v>20</c:v>
                </c:pt>
                <c:pt idx="8">
                  <c:v>15</c:v>
                </c:pt>
                <c:pt idx="9">
                  <c:v>18</c:v>
                </c:pt>
                <c:pt idx="10">
                  <c:v>17</c:v>
                </c:pt>
              </c:numCache>
            </c:numRef>
          </c:val>
          <c:smooth val="0"/>
        </c:ser>
        <c:dLbls>
          <c:showLegendKey val="0"/>
          <c:showVal val="0"/>
          <c:showCatName val="0"/>
          <c:showSerName val="0"/>
          <c:showPercent val="0"/>
          <c:showBubbleSize val="0"/>
        </c:dLbls>
        <c:marker val="1"/>
        <c:smooth val="0"/>
        <c:axId val="376020952"/>
        <c:axId val="376018992"/>
      </c:lineChart>
      <c:catAx>
        <c:axId val="376020952"/>
        <c:scaling>
          <c:orientation val="minMax"/>
        </c:scaling>
        <c:delete val="0"/>
        <c:axPos val="b"/>
        <c:numFmt formatCode="General" sourceLinked="1"/>
        <c:majorTickMark val="out"/>
        <c:minorTickMark val="none"/>
        <c:tickLblPos val="nextTo"/>
        <c:crossAx val="376018992"/>
        <c:crosses val="autoZero"/>
        <c:auto val="1"/>
        <c:lblAlgn val="ctr"/>
        <c:lblOffset val="100"/>
        <c:noMultiLvlLbl val="0"/>
      </c:catAx>
      <c:valAx>
        <c:axId val="376018992"/>
        <c:scaling>
          <c:orientation val="minMax"/>
        </c:scaling>
        <c:delete val="0"/>
        <c:axPos val="l"/>
        <c:majorGridlines/>
        <c:numFmt formatCode="General" sourceLinked="1"/>
        <c:majorTickMark val="out"/>
        <c:minorTickMark val="none"/>
        <c:tickLblPos val="nextTo"/>
        <c:crossAx val="376020952"/>
        <c:crosses val="autoZero"/>
        <c:crossBetween val="between"/>
      </c:valAx>
    </c:plotArea>
    <c:legend>
      <c:legendPos val="r"/>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r-FR"/>
              <a:t>Natures des financements</a:t>
            </a:r>
          </a:p>
        </c:rich>
      </c:tx>
      <c:overlay val="0"/>
      <c:spPr>
        <a:noFill/>
        <a:ln w="25400">
          <a:noFill/>
        </a:ln>
      </c:spPr>
    </c:title>
    <c:autoTitleDeleted val="0"/>
    <c:plotArea>
      <c:layout/>
      <c:barChart>
        <c:barDir val="col"/>
        <c:grouping val="stacked"/>
        <c:varyColors val="0"/>
        <c:ser>
          <c:idx val="0"/>
          <c:order val="0"/>
          <c:tx>
            <c:strRef>
              <c:f>'[4]Politique de financement'!$B$16</c:f>
              <c:strCache>
                <c:ptCount val="1"/>
                <c:pt idx="0">
                  <c:v>Interne</c:v>
                </c:pt>
              </c:strCache>
            </c:strRef>
          </c:tx>
          <c:spPr>
            <a:solidFill>
              <a:srgbClr val="4F81BD"/>
            </a:solidFill>
            <a:ln w="25400">
              <a:noFill/>
            </a:ln>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'[4]Politique de financement'!$A$17:$A$39</c:f>
              <c:numCache>
                <c:formatCode>General</c:formatCode>
                <c:ptCount val="23"/>
                <c:pt idx="0">
                  <c:v>1954</c:v>
                </c:pt>
                <c:pt idx="1">
                  <c:v>1958</c:v>
                </c:pt>
                <c:pt idx="2">
                  <c:v>1960</c:v>
                </c:pt>
                <c:pt idx="3">
                  <c:v>1965</c:v>
                </c:pt>
                <c:pt idx="4">
                  <c:v>1970</c:v>
                </c:pt>
                <c:pt idx="5">
                  <c:v>1974</c:v>
                </c:pt>
                <c:pt idx="6">
                  <c:v>1975</c:v>
                </c:pt>
                <c:pt idx="7">
                  <c:v>1976</c:v>
                </c:pt>
                <c:pt idx="8">
                  <c:v>1977</c:v>
                </c:pt>
                <c:pt idx="9">
                  <c:v>1978</c:v>
                </c:pt>
                <c:pt idx="10">
                  <c:v>1980</c:v>
                </c:pt>
                <c:pt idx="11">
                  <c:v>1986</c:v>
                </c:pt>
                <c:pt idx="12">
                  <c:v>1990</c:v>
                </c:pt>
                <c:pt idx="13">
                  <c:v>1991</c:v>
                </c:pt>
                <c:pt idx="14">
                  <c:v>1993</c:v>
                </c:pt>
                <c:pt idx="15">
                  <c:v>1995</c:v>
                </c:pt>
                <c:pt idx="16">
                  <c:v>1997</c:v>
                </c:pt>
                <c:pt idx="17">
                  <c:v>1998</c:v>
                </c:pt>
                <c:pt idx="18">
                  <c:v>1999</c:v>
                </c:pt>
                <c:pt idx="19">
                  <c:v>2000</c:v>
                </c:pt>
                <c:pt idx="20">
                  <c:v>2001</c:v>
                </c:pt>
                <c:pt idx="21">
                  <c:v>2003</c:v>
                </c:pt>
                <c:pt idx="22">
                  <c:v>2005</c:v>
                </c:pt>
              </c:numCache>
            </c:numRef>
          </c:cat>
          <c:val>
            <c:numRef>
              <c:f>'[4]Politique de financement'!$C$17:$C$39</c:f>
              <c:numCache>
                <c:formatCode>General</c:formatCode>
                <c:ptCount val="23"/>
                <c:pt idx="0">
                  <c:v>1</c:v>
                </c:pt>
                <c:pt idx="1">
                  <c:v>1</c:v>
                </c:pt>
                <c:pt idx="2">
                  <c:v>1</c:v>
                </c:pt>
                <c:pt idx="3">
                  <c:v>1</c:v>
                </c:pt>
                <c:pt idx="4">
                  <c:v>1</c:v>
                </c:pt>
                <c:pt idx="5">
                  <c:v>1.7312448474855729E-2</c:v>
                </c:pt>
                <c:pt idx="6">
                  <c:v>1.2605042016806723E-2</c:v>
                </c:pt>
                <c:pt idx="7">
                  <c:v>3.5460992907801418E-3</c:v>
                </c:pt>
                <c:pt idx="8">
                  <c:v>4.1493775933609959E-3</c:v>
                </c:pt>
                <c:pt idx="9">
                  <c:v>9.4677046076162424E-3</c:v>
                </c:pt>
                <c:pt idx="10">
                  <c:v>7.7301475755446238E-3</c:v>
                </c:pt>
                <c:pt idx="11">
                  <c:v>6.2239144760928462E-3</c:v>
                </c:pt>
                <c:pt idx="12">
                  <c:v>0</c:v>
                </c:pt>
                <c:pt idx="13">
                  <c:v>9.0725332581206228E-3</c:v>
                </c:pt>
                <c:pt idx="14">
                  <c:v>1</c:v>
                </c:pt>
                <c:pt idx="15">
                  <c:v>1</c:v>
                </c:pt>
                <c:pt idx="16">
                  <c:v>5.3757088846880909E-3</c:v>
                </c:pt>
                <c:pt idx="17">
                  <c:v>1</c:v>
                </c:pt>
                <c:pt idx="18">
                  <c:v>0</c:v>
                </c:pt>
                <c:pt idx="19">
                  <c:v>0</c:v>
                </c:pt>
                <c:pt idx="20">
                  <c:v>1</c:v>
                </c:pt>
                <c:pt idx="21">
                  <c:v>0</c:v>
                </c:pt>
                <c:pt idx="22">
                  <c:v>0</c:v>
                </c:pt>
              </c:numCache>
            </c:numRef>
          </c:val>
        </c:ser>
        <c:ser>
          <c:idx val="1"/>
          <c:order val="1"/>
          <c:tx>
            <c:strRef>
              <c:f>'[4]Politique de financement'!$D$16</c:f>
              <c:strCache>
                <c:ptCount val="1"/>
                <c:pt idx="0">
                  <c:v>Privé</c:v>
                </c:pt>
              </c:strCache>
            </c:strRef>
          </c:tx>
          <c:spPr>
            <a:solidFill>
              <a:srgbClr val="C0504D"/>
            </a:solidFill>
            <a:ln w="25400">
              <a:noFill/>
            </a:ln>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'[4]Politique de financement'!$A$17:$A$39</c:f>
              <c:numCache>
                <c:formatCode>General</c:formatCode>
                <c:ptCount val="23"/>
                <c:pt idx="0">
                  <c:v>1954</c:v>
                </c:pt>
                <c:pt idx="1">
                  <c:v>1958</c:v>
                </c:pt>
                <c:pt idx="2">
                  <c:v>1960</c:v>
                </c:pt>
                <c:pt idx="3">
                  <c:v>1965</c:v>
                </c:pt>
                <c:pt idx="4">
                  <c:v>1970</c:v>
                </c:pt>
                <c:pt idx="5">
                  <c:v>1974</c:v>
                </c:pt>
                <c:pt idx="6">
                  <c:v>1975</c:v>
                </c:pt>
                <c:pt idx="7">
                  <c:v>1976</c:v>
                </c:pt>
                <c:pt idx="8">
                  <c:v>1977</c:v>
                </c:pt>
                <c:pt idx="9">
                  <c:v>1978</c:v>
                </c:pt>
                <c:pt idx="10">
                  <c:v>1980</c:v>
                </c:pt>
                <c:pt idx="11">
                  <c:v>1986</c:v>
                </c:pt>
                <c:pt idx="12">
                  <c:v>1990</c:v>
                </c:pt>
                <c:pt idx="13">
                  <c:v>1991</c:v>
                </c:pt>
                <c:pt idx="14">
                  <c:v>1993</c:v>
                </c:pt>
                <c:pt idx="15">
                  <c:v>1995</c:v>
                </c:pt>
                <c:pt idx="16">
                  <c:v>1997</c:v>
                </c:pt>
                <c:pt idx="17">
                  <c:v>1998</c:v>
                </c:pt>
                <c:pt idx="18">
                  <c:v>1999</c:v>
                </c:pt>
                <c:pt idx="19">
                  <c:v>2000</c:v>
                </c:pt>
                <c:pt idx="20">
                  <c:v>2001</c:v>
                </c:pt>
                <c:pt idx="21">
                  <c:v>2003</c:v>
                </c:pt>
                <c:pt idx="22">
                  <c:v>2005</c:v>
                </c:pt>
              </c:numCache>
            </c:numRef>
          </c:cat>
          <c:val>
            <c:numRef>
              <c:f>'[4]Politique de financement'!$E$17:$E$39</c:f>
              <c:numCache>
                <c:formatCode>General</c:formatCode>
                <c:ptCount val="23"/>
                <c:pt idx="0">
                  <c:v>0</c:v>
                </c:pt>
                <c:pt idx="1">
                  <c:v>0</c:v>
                </c:pt>
                <c:pt idx="2">
                  <c:v>0</c:v>
                </c:pt>
                <c:pt idx="3">
                  <c:v>0</c:v>
                </c:pt>
                <c:pt idx="4">
                  <c:v>0</c:v>
                </c:pt>
                <c:pt idx="5">
                  <c:v>0.98268755152514431</c:v>
                </c:pt>
                <c:pt idx="6">
                  <c:v>0.98739495798319332</c:v>
                </c:pt>
                <c:pt idx="7">
                  <c:v>0.99645390070921991</c:v>
                </c:pt>
                <c:pt idx="8">
                  <c:v>0.99585062240663902</c:v>
                </c:pt>
                <c:pt idx="9">
                  <c:v>0.99053229539238374</c:v>
                </c:pt>
                <c:pt idx="10">
                  <c:v>0.99226985242445542</c:v>
                </c:pt>
                <c:pt idx="11">
                  <c:v>0.99377608552390717</c:v>
                </c:pt>
                <c:pt idx="12">
                  <c:v>1</c:v>
                </c:pt>
                <c:pt idx="13">
                  <c:v>0.24381453799025368</c:v>
                </c:pt>
                <c:pt idx="14">
                  <c:v>0</c:v>
                </c:pt>
                <c:pt idx="15">
                  <c:v>0</c:v>
                </c:pt>
                <c:pt idx="16">
                  <c:v>0</c:v>
                </c:pt>
                <c:pt idx="17">
                  <c:v>0</c:v>
                </c:pt>
                <c:pt idx="18">
                  <c:v>0</c:v>
                </c:pt>
                <c:pt idx="19">
                  <c:v>0</c:v>
                </c:pt>
                <c:pt idx="20">
                  <c:v>0</c:v>
                </c:pt>
                <c:pt idx="21">
                  <c:v>0</c:v>
                </c:pt>
                <c:pt idx="22">
                  <c:v>0</c:v>
                </c:pt>
              </c:numCache>
            </c:numRef>
          </c:val>
        </c:ser>
        <c:ser>
          <c:idx val="2"/>
          <c:order val="2"/>
          <c:tx>
            <c:strRef>
              <c:f>'[4]Politique de financement'!$F$16</c:f>
              <c:strCache>
                <c:ptCount val="1"/>
                <c:pt idx="0">
                  <c:v>Public</c:v>
                </c:pt>
              </c:strCache>
            </c:strRef>
          </c:tx>
          <c:spPr>
            <a:solidFill>
              <a:srgbClr val="9BBB59"/>
            </a:solidFill>
            <a:ln w="25400">
              <a:noFill/>
            </a:ln>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'[4]Politique de financement'!$A$17:$A$39</c:f>
              <c:numCache>
                <c:formatCode>General</c:formatCode>
                <c:ptCount val="23"/>
                <c:pt idx="0">
                  <c:v>1954</c:v>
                </c:pt>
                <c:pt idx="1">
                  <c:v>1958</c:v>
                </c:pt>
                <c:pt idx="2">
                  <c:v>1960</c:v>
                </c:pt>
                <c:pt idx="3">
                  <c:v>1965</c:v>
                </c:pt>
                <c:pt idx="4">
                  <c:v>1970</c:v>
                </c:pt>
                <c:pt idx="5">
                  <c:v>1974</c:v>
                </c:pt>
                <c:pt idx="6">
                  <c:v>1975</c:v>
                </c:pt>
                <c:pt idx="7">
                  <c:v>1976</c:v>
                </c:pt>
                <c:pt idx="8">
                  <c:v>1977</c:v>
                </c:pt>
                <c:pt idx="9">
                  <c:v>1978</c:v>
                </c:pt>
                <c:pt idx="10">
                  <c:v>1980</c:v>
                </c:pt>
                <c:pt idx="11">
                  <c:v>1986</c:v>
                </c:pt>
                <c:pt idx="12">
                  <c:v>1990</c:v>
                </c:pt>
                <c:pt idx="13">
                  <c:v>1991</c:v>
                </c:pt>
                <c:pt idx="14">
                  <c:v>1993</c:v>
                </c:pt>
                <c:pt idx="15">
                  <c:v>1995</c:v>
                </c:pt>
                <c:pt idx="16">
                  <c:v>1997</c:v>
                </c:pt>
                <c:pt idx="17">
                  <c:v>1998</c:v>
                </c:pt>
                <c:pt idx="18">
                  <c:v>1999</c:v>
                </c:pt>
                <c:pt idx="19">
                  <c:v>2000</c:v>
                </c:pt>
                <c:pt idx="20">
                  <c:v>2001</c:v>
                </c:pt>
                <c:pt idx="21">
                  <c:v>2003</c:v>
                </c:pt>
                <c:pt idx="22">
                  <c:v>2005</c:v>
                </c:pt>
              </c:numCache>
            </c:numRef>
          </c:cat>
          <c:val>
            <c:numRef>
              <c:f>'[4]Politique de financement'!$G$17:$G$39</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0.74711292875162572</c:v>
                </c:pt>
                <c:pt idx="14">
                  <c:v>0</c:v>
                </c:pt>
                <c:pt idx="15">
                  <c:v>0</c:v>
                </c:pt>
                <c:pt idx="16">
                  <c:v>0.99462429111531192</c:v>
                </c:pt>
                <c:pt idx="17">
                  <c:v>0</c:v>
                </c:pt>
                <c:pt idx="18">
                  <c:v>1</c:v>
                </c:pt>
                <c:pt idx="19">
                  <c:v>1</c:v>
                </c:pt>
                <c:pt idx="20">
                  <c:v>0</c:v>
                </c:pt>
                <c:pt idx="21">
                  <c:v>1</c:v>
                </c:pt>
                <c:pt idx="22">
                  <c:v>1</c:v>
                </c:pt>
              </c:numCache>
            </c:numRef>
          </c:val>
        </c:ser>
        <c:dLbls>
          <c:showLegendKey val="0"/>
          <c:showVal val="0"/>
          <c:showCatName val="0"/>
          <c:showSerName val="0"/>
          <c:showPercent val="0"/>
          <c:showBubbleSize val="0"/>
        </c:dLbls>
        <c:gapWidth val="95"/>
        <c:overlap val="100"/>
        <c:axId val="376025264"/>
        <c:axId val="376022912"/>
      </c:barChart>
      <c:catAx>
        <c:axId val="376025264"/>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376022912"/>
        <c:crosses val="autoZero"/>
        <c:auto val="1"/>
        <c:lblAlgn val="ctr"/>
        <c:lblOffset val="100"/>
        <c:noMultiLvlLbl val="0"/>
      </c:catAx>
      <c:valAx>
        <c:axId val="376022912"/>
        <c:scaling>
          <c:orientation val="minMax"/>
        </c:scaling>
        <c:delete val="1"/>
        <c:axPos val="l"/>
        <c:numFmt formatCode="General" sourceLinked="1"/>
        <c:majorTickMark val="out"/>
        <c:minorTickMark val="none"/>
        <c:tickLblPos val="nextTo"/>
        <c:crossAx val="376025264"/>
        <c:crosses val="autoZero"/>
        <c:crossBetween val="between"/>
      </c:valAx>
      <c:spPr>
        <a:solidFill>
          <a:srgbClr val="FFFFFF"/>
        </a:solidFill>
        <a:ln w="25400">
          <a:noFill/>
        </a:ln>
      </c:spPr>
    </c:plotArea>
    <c:legend>
      <c:legendPos val="b"/>
      <c:layout>
        <c:manualLayout>
          <c:xMode val="edge"/>
          <c:yMode val="edge"/>
          <c:x val="0.41113300854349499"/>
          <c:y val="0.247600767754319"/>
          <c:w val="0.16796883009378"/>
          <c:h val="4.99040307101727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fr-FR"/>
              <a:t>Répartition actuelle </a:t>
            </a:r>
          </a:p>
        </c:rich>
      </c:tx>
      <c:overlay val="0"/>
    </c:title>
    <c:autoTitleDeleted val="0"/>
    <c:plotArea>
      <c:layout/>
      <c:pieChart>
        <c:varyColors val="1"/>
        <c:ser>
          <c:idx val="0"/>
          <c:order val="0"/>
          <c:explosion val="25"/>
          <c:dPt>
            <c:idx val="0"/>
            <c:bubble3D val="0"/>
          </c:dPt>
          <c:dPt>
            <c:idx val="1"/>
            <c:bubble3D val="0"/>
          </c:dPt>
          <c:dPt>
            <c:idx val="2"/>
            <c:bubble3D val="0"/>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'[4]Politique de financement'!$A$78:$A$80</c:f>
              <c:strCache>
                <c:ptCount val="3"/>
                <c:pt idx="0">
                  <c:v>Interne</c:v>
                </c:pt>
                <c:pt idx="1">
                  <c:v>Privé</c:v>
                </c:pt>
                <c:pt idx="2">
                  <c:v>Public</c:v>
                </c:pt>
              </c:strCache>
            </c:strRef>
          </c:cat>
          <c:val>
            <c:numRef>
              <c:f>'[4]Politique de financement'!$B$78:$B$80</c:f>
              <c:numCache>
                <c:formatCode>General</c:formatCode>
                <c:ptCount val="3"/>
                <c:pt idx="0">
                  <c:v>730000</c:v>
                </c:pt>
                <c:pt idx="1">
                  <c:v>6395000</c:v>
                </c:pt>
                <c:pt idx="2">
                  <c:v>8762450</c:v>
                </c:pt>
              </c:numCache>
            </c:numRef>
          </c:val>
        </c:ser>
        <c:ser>
          <c:idx val="1"/>
          <c:order val="1"/>
          <c:explosion val="25"/>
          <c:dPt>
            <c:idx val="0"/>
            <c:bubble3D val="0"/>
          </c:dPt>
          <c:dPt>
            <c:idx val="1"/>
            <c:bubble3D val="0"/>
          </c:dPt>
          <c:dPt>
            <c:idx val="2"/>
            <c:bubble3D val="0"/>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'[4]Politique de financement'!$A$78:$A$80</c:f>
              <c:strCache>
                <c:ptCount val="3"/>
                <c:pt idx="0">
                  <c:v>Interne</c:v>
                </c:pt>
                <c:pt idx="1">
                  <c:v>Privé</c:v>
                </c:pt>
                <c:pt idx="2">
                  <c:v>Public</c:v>
                </c:pt>
              </c:strCache>
            </c:strRef>
          </c:cat>
          <c:val>
            <c:numRef>
              <c:f>'[4]Politique de financement'!$C$78:$C$80</c:f>
              <c:numCache>
                <c:formatCode>General</c:formatCode>
                <c:ptCount val="3"/>
                <c:pt idx="0">
                  <c:v>4.5948216988881158E-2</c:v>
                </c:pt>
                <c:pt idx="1">
                  <c:v>0.40251896937519865</c:v>
                </c:pt>
                <c:pt idx="2">
                  <c:v>0.55153281363592022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alignWithMargins="0"/>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pPr>
            <a:r>
              <a:rPr lang="fr-FR"/>
              <a:t>Repartition Après Aug K</a:t>
            </a:r>
          </a:p>
        </c:rich>
      </c:tx>
      <c:overlay val="0"/>
    </c:title>
    <c:autoTitleDeleted val="0"/>
    <c:plotArea>
      <c:layout/>
      <c:pieChart>
        <c:varyColors val="1"/>
        <c:ser>
          <c:idx val="0"/>
          <c:order val="0"/>
          <c:explosion val="25"/>
          <c:dPt>
            <c:idx val="0"/>
            <c:bubble3D val="0"/>
          </c:dPt>
          <c:dPt>
            <c:idx val="1"/>
            <c:bubble3D val="0"/>
          </c:dPt>
          <c:dPt>
            <c:idx val="2"/>
            <c:bubble3D val="0"/>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'[4]Politique de financement'!$A$78:$A$80</c:f>
              <c:strCache>
                <c:ptCount val="3"/>
                <c:pt idx="0">
                  <c:v>Interne</c:v>
                </c:pt>
                <c:pt idx="1">
                  <c:v>Privé</c:v>
                </c:pt>
                <c:pt idx="2">
                  <c:v>Public</c:v>
                </c:pt>
              </c:strCache>
            </c:strRef>
          </c:cat>
          <c:val>
            <c:numRef>
              <c:f>'[4]Politique de financement'!$D$78:$D$80</c:f>
              <c:numCache>
                <c:formatCode>General</c:formatCode>
                <c:ptCount val="3"/>
                <c:pt idx="0">
                  <c:v>730000</c:v>
                </c:pt>
                <c:pt idx="1">
                  <c:v>6395000</c:v>
                </c:pt>
                <c:pt idx="2">
                  <c:v>13372515.309258547</c:v>
                </c:pt>
              </c:numCache>
            </c:numRef>
          </c:val>
        </c:ser>
        <c:ser>
          <c:idx val="1"/>
          <c:order val="1"/>
          <c:explosion val="25"/>
          <c:dPt>
            <c:idx val="0"/>
            <c:bubble3D val="0"/>
          </c:dPt>
          <c:dPt>
            <c:idx val="1"/>
            <c:bubble3D val="0"/>
          </c:dPt>
          <c:dPt>
            <c:idx val="2"/>
            <c:bubble3D val="0"/>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'[4]Politique de financement'!$A$78:$A$80</c:f>
              <c:strCache>
                <c:ptCount val="3"/>
                <c:pt idx="0">
                  <c:v>Interne</c:v>
                </c:pt>
                <c:pt idx="1">
                  <c:v>Privé</c:v>
                </c:pt>
                <c:pt idx="2">
                  <c:v>Public</c:v>
                </c:pt>
              </c:strCache>
            </c:strRef>
          </c:cat>
          <c:val>
            <c:numRef>
              <c:f>'[4]Politique de financement'!$E$78:$E$80</c:f>
              <c:numCache>
                <c:formatCode>General</c:formatCode>
                <c:ptCount val="3"/>
                <c:pt idx="0">
                  <c:v>3.5614072680812459E-2</c:v>
                </c:pt>
                <c:pt idx="1">
                  <c:v>0.31198903396410371</c:v>
                </c:pt>
                <c:pt idx="2">
                  <c:v>0.65239689335508388</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4419534636822096"/>
          <c:y val="0.47684630330299599"/>
          <c:w val="0.32209796731984303"/>
          <c:h val="0.103305785123967"/>
        </c:manualLayout>
      </c:layout>
      <c:overlay val="0"/>
    </c:legend>
    <c:plotVisOnly val="1"/>
    <c:dispBlanksAs val="gap"/>
    <c:showDLblsOverMax val="0"/>
  </c:chart>
  <c:printSettings>
    <c:headerFooter alignWithMargins="0"/>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'Politique de financement'!$A$200</c:f>
              <c:strCache>
                <c:ptCount val="1"/>
                <c:pt idx="0">
                  <c:v>Trésorerie</c:v>
                </c:pt>
              </c:strCache>
            </c:strRef>
          </c:tx>
          <c:cat>
            <c:numRef>
              <c:f>'Politique de financement'!$B$199:$Q$199</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'Politique de financement'!$B$200:$Q$200</c:f>
              <c:numCache>
                <c:formatCode>_(* #,##0.00_);_(* \(#,##0.00\);_(* "-"??_);_(@_)</c:formatCode>
                <c:ptCount val="16"/>
                <c:pt idx="0">
                  <c:v>603.27769230769229</c:v>
                </c:pt>
                <c:pt idx="1">
                  <c:v>519.02706153846157</c:v>
                </c:pt>
                <c:pt idx="2">
                  <c:v>460.62983448275861</c:v>
                </c:pt>
                <c:pt idx="3">
                  <c:v>400.75839310344827</c:v>
                </c:pt>
                <c:pt idx="4">
                  <c:v>431.76834590427586</c:v>
                </c:pt>
                <c:pt idx="5">
                  <c:v>566.57989084837914</c:v>
                </c:pt>
                <c:pt idx="6">
                  <c:v>694.28525021771031</c:v>
                </c:pt>
                <c:pt idx="7">
                  <c:v>958.74853583805032</c:v>
                </c:pt>
                <c:pt idx="8">
                  <c:v>1211.6884669506755</c:v>
                </c:pt>
                <c:pt idx="9">
                  <c:v>1457.5779479782045</c:v>
                </c:pt>
                <c:pt idx="10">
                  <c:v>1696.6144228358282</c:v>
                </c:pt>
                <c:pt idx="11">
                  <c:v>1935.952483882339</c:v>
                </c:pt>
                <c:pt idx="12">
                  <c:v>2173.0084541316146</c:v>
                </c:pt>
                <c:pt idx="13">
                  <c:v>2410.5103805947374</c:v>
                </c:pt>
                <c:pt idx="14">
                  <c:v>2645.8794332413181</c:v>
                </c:pt>
                <c:pt idx="15">
                  <c:v>2910.8598579215982</c:v>
                </c:pt>
              </c:numCache>
            </c:numRef>
          </c:val>
          <c:smooth val="0"/>
        </c:ser>
        <c:ser>
          <c:idx val="1"/>
          <c:order val="1"/>
          <c:tx>
            <c:strRef>
              <c:f>'Politique de financement'!$A$201</c:f>
              <c:strCache>
                <c:ptCount val="1"/>
                <c:pt idx="0">
                  <c:v>Trésorerie sans Joint-Venture</c:v>
                </c:pt>
              </c:strCache>
            </c:strRef>
          </c:tx>
          <c:cat>
            <c:numRef>
              <c:f>'Politique de financement'!$B$199:$Q$199</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'Politique de financement'!$B$201:$Q$201</c:f>
              <c:numCache>
                <c:formatCode>_(* #,##0.00_);_(* \(#,##0.00\);_(* "-"??_);_(@_)</c:formatCode>
                <c:ptCount val="16"/>
                <c:pt idx="0">
                  <c:v>-63.722307692307709</c:v>
                </c:pt>
                <c:pt idx="1">
                  <c:v>-399.97293846153849</c:v>
                </c:pt>
                <c:pt idx="2">
                  <c:v>-651.57016551724132</c:v>
                </c:pt>
                <c:pt idx="3">
                  <c:v>-904.64160689655171</c:v>
                </c:pt>
                <c:pt idx="4">
                  <c:v>-906.38165409572412</c:v>
                </c:pt>
                <c:pt idx="5">
                  <c:v>-804.32010915162084</c:v>
                </c:pt>
                <c:pt idx="6">
                  <c:v>-549.36474978228966</c:v>
                </c:pt>
                <c:pt idx="7">
                  <c:v>-20.451464161949673</c:v>
                </c:pt>
                <c:pt idx="8">
                  <c:v>496.93846695067555</c:v>
                </c:pt>
                <c:pt idx="9">
                  <c:v>1007.2779479782045</c:v>
                </c:pt>
                <c:pt idx="10">
                  <c:v>1510.7644228358281</c:v>
                </c:pt>
                <c:pt idx="11">
                  <c:v>2014.5524838823387</c:v>
                </c:pt>
                <c:pt idx="12">
                  <c:v>2516.0584541316143</c:v>
                </c:pt>
                <c:pt idx="13">
                  <c:v>3018.0103805947374</c:v>
                </c:pt>
                <c:pt idx="14">
                  <c:v>3517.8294332413179</c:v>
                </c:pt>
                <c:pt idx="15">
                  <c:v>4047.2598579215978</c:v>
                </c:pt>
              </c:numCache>
            </c:numRef>
          </c:val>
          <c:smooth val="0"/>
        </c:ser>
        <c:dLbls>
          <c:showLegendKey val="0"/>
          <c:showVal val="0"/>
          <c:showCatName val="0"/>
          <c:showSerName val="0"/>
          <c:showPercent val="0"/>
          <c:showBubbleSize val="0"/>
        </c:dLbls>
        <c:marker val="1"/>
        <c:smooth val="0"/>
        <c:axId val="376024088"/>
        <c:axId val="376019776"/>
      </c:lineChart>
      <c:catAx>
        <c:axId val="376024088"/>
        <c:scaling>
          <c:orientation val="minMax"/>
        </c:scaling>
        <c:delete val="0"/>
        <c:axPos val="b"/>
        <c:numFmt formatCode="General" sourceLinked="1"/>
        <c:majorTickMark val="out"/>
        <c:minorTickMark val="none"/>
        <c:tickLblPos val="nextTo"/>
        <c:crossAx val="376019776"/>
        <c:crosses val="autoZero"/>
        <c:auto val="1"/>
        <c:lblAlgn val="ctr"/>
        <c:lblOffset val="100"/>
        <c:noMultiLvlLbl val="0"/>
      </c:catAx>
      <c:valAx>
        <c:axId val="376019776"/>
        <c:scaling>
          <c:orientation val="minMax"/>
        </c:scaling>
        <c:delete val="0"/>
        <c:axPos val="l"/>
        <c:majorGridlines/>
        <c:numFmt formatCode="_(* #,##0.00_);_(* \(#,##0.00\);_(* &quot;-&quot;??_);_(@_)" sourceLinked="1"/>
        <c:majorTickMark val="out"/>
        <c:minorTickMark val="none"/>
        <c:tickLblPos val="nextTo"/>
        <c:crossAx val="3760240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133350</xdr:colOff>
      <xdr:row>12</xdr:row>
      <xdr:rowOff>123825</xdr:rowOff>
    </xdr:from>
    <xdr:to>
      <xdr:col>6</xdr:col>
      <xdr:colOff>514350</xdr:colOff>
      <xdr:row>15</xdr:row>
      <xdr:rowOff>104778</xdr:rowOff>
    </xdr:to>
    <xdr:cxnSp macro="">
      <xdr:nvCxnSpPr>
        <xdr:cNvPr id="3" name="Straight Arrow Connector 2"/>
        <xdr:cNvCxnSpPr/>
      </xdr:nvCxnSpPr>
      <xdr:spPr>
        <a:xfrm flipV="1">
          <a:off x="2571750" y="1838325"/>
          <a:ext cx="990600" cy="55245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133350</xdr:colOff>
      <xdr:row>15</xdr:row>
      <xdr:rowOff>104776</xdr:rowOff>
    </xdr:from>
    <xdr:to>
      <xdr:col>6</xdr:col>
      <xdr:colOff>542925</xdr:colOff>
      <xdr:row>18</xdr:row>
      <xdr:rowOff>9525</xdr:rowOff>
    </xdr:to>
    <xdr:cxnSp macro="">
      <xdr:nvCxnSpPr>
        <xdr:cNvPr id="4" name="Straight Arrow Connector 3"/>
        <xdr:cNvCxnSpPr/>
      </xdr:nvCxnSpPr>
      <xdr:spPr>
        <a:xfrm>
          <a:off x="2571750" y="2390776"/>
          <a:ext cx="1019175" cy="47624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85725</xdr:colOff>
      <xdr:row>12</xdr:row>
      <xdr:rowOff>114303</xdr:rowOff>
    </xdr:from>
    <xdr:to>
      <xdr:col>9</xdr:col>
      <xdr:colOff>485775</xdr:colOff>
      <xdr:row>14</xdr:row>
      <xdr:rowOff>85725</xdr:rowOff>
    </xdr:to>
    <xdr:cxnSp macro="">
      <xdr:nvCxnSpPr>
        <xdr:cNvPr id="11" name="Straight Arrow Connector 10"/>
        <xdr:cNvCxnSpPr/>
      </xdr:nvCxnSpPr>
      <xdr:spPr>
        <a:xfrm>
          <a:off x="4648200" y="1838328"/>
          <a:ext cx="1009650" cy="3619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10</xdr:row>
      <xdr:rowOff>95250</xdr:rowOff>
    </xdr:from>
    <xdr:to>
      <xdr:col>9</xdr:col>
      <xdr:colOff>514350</xdr:colOff>
      <xdr:row>12</xdr:row>
      <xdr:rowOff>66678</xdr:rowOff>
    </xdr:to>
    <xdr:cxnSp macro="">
      <xdr:nvCxnSpPr>
        <xdr:cNvPr id="12" name="Straight Arrow Connector 11"/>
        <xdr:cNvCxnSpPr/>
      </xdr:nvCxnSpPr>
      <xdr:spPr>
        <a:xfrm flipV="1">
          <a:off x="4657725" y="1438275"/>
          <a:ext cx="1028700" cy="37147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85725</xdr:colOff>
      <xdr:row>18</xdr:row>
      <xdr:rowOff>114300</xdr:rowOff>
    </xdr:from>
    <xdr:to>
      <xdr:col>9</xdr:col>
      <xdr:colOff>523875</xdr:colOff>
      <xdr:row>18</xdr:row>
      <xdr:rowOff>114300</xdr:rowOff>
    </xdr:to>
    <xdr:cxnSp macro="">
      <xdr:nvCxnSpPr>
        <xdr:cNvPr id="22" name="Straight Arrow Connector 21"/>
        <xdr:cNvCxnSpPr/>
      </xdr:nvCxnSpPr>
      <xdr:spPr>
        <a:xfrm>
          <a:off x="4648200" y="3038475"/>
          <a:ext cx="1047750"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57150</xdr:colOff>
      <xdr:row>10</xdr:row>
      <xdr:rowOff>95250</xdr:rowOff>
    </xdr:from>
    <xdr:to>
      <xdr:col>13</xdr:col>
      <xdr:colOff>581025</xdr:colOff>
      <xdr:row>10</xdr:row>
      <xdr:rowOff>95250</xdr:rowOff>
    </xdr:to>
    <xdr:cxnSp macro="">
      <xdr:nvCxnSpPr>
        <xdr:cNvPr id="27" name="Straight Arrow Connector 26"/>
        <xdr:cNvCxnSpPr/>
      </xdr:nvCxnSpPr>
      <xdr:spPr>
        <a:xfrm>
          <a:off x="7905750" y="1466850"/>
          <a:ext cx="5238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47625</xdr:colOff>
      <xdr:row>18</xdr:row>
      <xdr:rowOff>95250</xdr:rowOff>
    </xdr:from>
    <xdr:to>
      <xdr:col>13</xdr:col>
      <xdr:colOff>571500</xdr:colOff>
      <xdr:row>18</xdr:row>
      <xdr:rowOff>95250</xdr:rowOff>
    </xdr:to>
    <xdr:cxnSp macro="">
      <xdr:nvCxnSpPr>
        <xdr:cNvPr id="28" name="Straight Arrow Connector 27"/>
        <xdr:cNvCxnSpPr/>
      </xdr:nvCxnSpPr>
      <xdr:spPr>
        <a:xfrm>
          <a:off x="7896225" y="3048000"/>
          <a:ext cx="5238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57150</xdr:colOff>
      <xdr:row>14</xdr:row>
      <xdr:rowOff>95250</xdr:rowOff>
    </xdr:from>
    <xdr:to>
      <xdr:col>13</xdr:col>
      <xdr:colOff>581025</xdr:colOff>
      <xdr:row>14</xdr:row>
      <xdr:rowOff>95250</xdr:rowOff>
    </xdr:to>
    <xdr:cxnSp macro="">
      <xdr:nvCxnSpPr>
        <xdr:cNvPr id="29" name="Straight Arrow Connector 28"/>
        <xdr:cNvCxnSpPr/>
      </xdr:nvCxnSpPr>
      <xdr:spPr>
        <a:xfrm>
          <a:off x="7905750" y="2266950"/>
          <a:ext cx="5238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142875</xdr:colOff>
      <xdr:row>31</xdr:row>
      <xdr:rowOff>85725</xdr:rowOff>
    </xdr:from>
    <xdr:to>
      <xdr:col>6</xdr:col>
      <xdr:colOff>523875</xdr:colOff>
      <xdr:row>34</xdr:row>
      <xdr:rowOff>95253</xdr:rowOff>
    </xdr:to>
    <xdr:cxnSp macro="">
      <xdr:nvCxnSpPr>
        <xdr:cNvPr id="30" name="Straight Arrow Connector 29"/>
        <xdr:cNvCxnSpPr/>
      </xdr:nvCxnSpPr>
      <xdr:spPr>
        <a:xfrm flipV="1">
          <a:off x="2581275" y="4391025"/>
          <a:ext cx="990600" cy="58102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123825</xdr:colOff>
      <xdr:row>34</xdr:row>
      <xdr:rowOff>180978</xdr:rowOff>
    </xdr:from>
    <xdr:to>
      <xdr:col>6</xdr:col>
      <xdr:colOff>561975</xdr:colOff>
      <xdr:row>36</xdr:row>
      <xdr:rowOff>104775</xdr:rowOff>
    </xdr:to>
    <xdr:cxnSp macro="">
      <xdr:nvCxnSpPr>
        <xdr:cNvPr id="31" name="Straight Arrow Connector 30"/>
        <xdr:cNvCxnSpPr/>
      </xdr:nvCxnSpPr>
      <xdr:spPr>
        <a:xfrm>
          <a:off x="2562225" y="5057778"/>
          <a:ext cx="1047750" cy="30479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28</xdr:row>
      <xdr:rowOff>95250</xdr:rowOff>
    </xdr:from>
    <xdr:to>
      <xdr:col>9</xdr:col>
      <xdr:colOff>523875</xdr:colOff>
      <xdr:row>31</xdr:row>
      <xdr:rowOff>95253</xdr:rowOff>
    </xdr:to>
    <xdr:cxnSp macro="">
      <xdr:nvCxnSpPr>
        <xdr:cNvPr id="32" name="Straight Arrow Connector 31"/>
        <xdr:cNvCxnSpPr/>
      </xdr:nvCxnSpPr>
      <xdr:spPr>
        <a:xfrm flipV="1">
          <a:off x="4705350" y="3819525"/>
          <a:ext cx="990600" cy="59055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31</xdr:row>
      <xdr:rowOff>152404</xdr:rowOff>
    </xdr:from>
    <xdr:to>
      <xdr:col>9</xdr:col>
      <xdr:colOff>542925</xdr:colOff>
      <xdr:row>33</xdr:row>
      <xdr:rowOff>85725</xdr:rowOff>
    </xdr:to>
    <xdr:cxnSp macro="">
      <xdr:nvCxnSpPr>
        <xdr:cNvPr id="33" name="Straight Arrow Connector 32"/>
        <xdr:cNvCxnSpPr/>
      </xdr:nvCxnSpPr>
      <xdr:spPr>
        <a:xfrm>
          <a:off x="4705350" y="4467229"/>
          <a:ext cx="1009650" cy="3238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36</xdr:row>
      <xdr:rowOff>104775</xdr:rowOff>
    </xdr:from>
    <xdr:to>
      <xdr:col>9</xdr:col>
      <xdr:colOff>561975</xdr:colOff>
      <xdr:row>36</xdr:row>
      <xdr:rowOff>104775</xdr:rowOff>
    </xdr:to>
    <xdr:cxnSp macro="">
      <xdr:nvCxnSpPr>
        <xdr:cNvPr id="37" name="Straight Arrow Connector 36"/>
        <xdr:cNvCxnSpPr/>
      </xdr:nvCxnSpPr>
      <xdr:spPr>
        <a:xfrm>
          <a:off x="4714875" y="5419725"/>
          <a:ext cx="1019175"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57150</xdr:colOff>
      <xdr:row>28</xdr:row>
      <xdr:rowOff>104775</xdr:rowOff>
    </xdr:from>
    <xdr:to>
      <xdr:col>13</xdr:col>
      <xdr:colOff>581025</xdr:colOff>
      <xdr:row>28</xdr:row>
      <xdr:rowOff>104775</xdr:rowOff>
    </xdr:to>
    <xdr:cxnSp macro="">
      <xdr:nvCxnSpPr>
        <xdr:cNvPr id="40" name="Straight Arrow Connector 39"/>
        <xdr:cNvCxnSpPr/>
      </xdr:nvCxnSpPr>
      <xdr:spPr>
        <a:xfrm>
          <a:off x="8001000" y="3838575"/>
          <a:ext cx="5238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57150</xdr:colOff>
      <xdr:row>33</xdr:row>
      <xdr:rowOff>95250</xdr:rowOff>
    </xdr:from>
    <xdr:to>
      <xdr:col>13</xdr:col>
      <xdr:colOff>581025</xdr:colOff>
      <xdr:row>33</xdr:row>
      <xdr:rowOff>95250</xdr:rowOff>
    </xdr:to>
    <xdr:cxnSp macro="">
      <xdr:nvCxnSpPr>
        <xdr:cNvPr id="41" name="Straight Arrow Connector 40"/>
        <xdr:cNvCxnSpPr/>
      </xdr:nvCxnSpPr>
      <xdr:spPr>
        <a:xfrm>
          <a:off x="8001000" y="4819650"/>
          <a:ext cx="5238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38100</xdr:colOff>
      <xdr:row>36</xdr:row>
      <xdr:rowOff>104775</xdr:rowOff>
    </xdr:from>
    <xdr:to>
      <xdr:col>13</xdr:col>
      <xdr:colOff>561975</xdr:colOff>
      <xdr:row>36</xdr:row>
      <xdr:rowOff>104775</xdr:rowOff>
    </xdr:to>
    <xdr:cxnSp macro="">
      <xdr:nvCxnSpPr>
        <xdr:cNvPr id="42" name="Straight Arrow Connector 41"/>
        <xdr:cNvCxnSpPr/>
      </xdr:nvCxnSpPr>
      <xdr:spPr>
        <a:xfrm>
          <a:off x="7981950" y="5419725"/>
          <a:ext cx="5238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219075</xdr:colOff>
      <xdr:row>2</xdr:row>
      <xdr:rowOff>19050</xdr:rowOff>
    </xdr:from>
    <xdr:to>
      <xdr:col>17</xdr:col>
      <xdr:colOff>285750</xdr:colOff>
      <xdr:row>24</xdr:row>
      <xdr:rowOff>85725</xdr:rowOff>
    </xdr:to>
    <xdr:sp macro="" textlink="">
      <xdr:nvSpPr>
        <xdr:cNvPr id="3" name="Rounded Rectangle 2"/>
        <xdr:cNvSpPr/>
      </xdr:nvSpPr>
      <xdr:spPr>
        <a:xfrm>
          <a:off x="2047875" y="400050"/>
          <a:ext cx="8601075" cy="425767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fr-FR" sz="2800" b="1" i="1" u="sng">
              <a:solidFill>
                <a:schemeClr val="accent6"/>
              </a:solidFill>
              <a:latin typeface="Times New Roman" pitchFamily="18" charset="0"/>
              <a:cs typeface="Times New Roman" pitchFamily="18" charset="0"/>
            </a:rPr>
            <a:t>Recommandations:</a:t>
          </a:r>
        </a:p>
        <a:p>
          <a:pPr algn="l"/>
          <a:endParaRPr lang="fr-FR" sz="1100"/>
        </a:p>
        <a:p>
          <a:pPr algn="l"/>
          <a:endParaRPr lang="fr-FR" sz="1100"/>
        </a:p>
        <a:p>
          <a:pPr algn="l"/>
          <a:r>
            <a:rPr lang="fr-FR" sz="1100">
              <a:latin typeface="Times New Roman" pitchFamily="18" charset="0"/>
              <a:cs typeface="Times New Roman" pitchFamily="18" charset="0"/>
            </a:rPr>
            <a:t>Afin</a:t>
          </a:r>
          <a:r>
            <a:rPr lang="fr-FR" sz="1100" baseline="0">
              <a:latin typeface="Times New Roman" pitchFamily="18" charset="0"/>
              <a:cs typeface="Times New Roman" pitchFamily="18" charset="0"/>
            </a:rPr>
            <a:t> de choisir notre politique de sous-traitance, nous nous sommes basés sur deux critères de choix. Le premier critère est financier où nous allons nous fonder sur les VAN dégagées par les deux prestataires. Le deuxième critère est un critère probabibiliste où nous allons comparer entre les chances de réussites des deux sous-traitants durant les phases du projet, nous allons aussi nous baser sur les critères maximin et maximax ainsi que la matrice des regrets afin d'optimiser notre choix.</a:t>
          </a:r>
        </a:p>
        <a:p>
          <a:pPr algn="l"/>
          <a:endParaRPr lang="fr-FR" sz="1100" baseline="0">
            <a:latin typeface="Times New Roman" pitchFamily="18" charset="0"/>
            <a:cs typeface="Times New Roman" pitchFamily="18" charset="0"/>
          </a:endParaRPr>
        </a:p>
        <a:p>
          <a:pPr algn="l"/>
          <a:r>
            <a:rPr lang="fr-FR" sz="1100" baseline="0">
              <a:latin typeface="Times New Roman" pitchFamily="18" charset="0"/>
              <a:cs typeface="Times New Roman" pitchFamily="18" charset="0"/>
            </a:rPr>
            <a:t>En calculant les chances de réussites des deux prestataires en troixième phase, on constate que le 1er fournisseur a 41,58% de chances de réussite tandis que le 2ème fournisseur n'a que 38,19% de chances de réussite. En vue de ce critère, nous choisissons le fournisseur 1.</a:t>
          </a:r>
        </a:p>
        <a:p>
          <a:pPr algn="l"/>
          <a:endParaRPr lang="fr-FR" sz="1100" baseline="0">
            <a:latin typeface="Times New Roman" pitchFamily="18" charset="0"/>
            <a:cs typeface="Times New Roman" pitchFamily="18" charset="0"/>
          </a:endParaRPr>
        </a:p>
        <a:p>
          <a:pPr algn="l"/>
          <a:r>
            <a:rPr lang="fr-FR" sz="1100" baseline="0">
              <a:latin typeface="Times New Roman" pitchFamily="18" charset="0"/>
              <a:cs typeface="Times New Roman" pitchFamily="18" charset="0"/>
            </a:rPr>
            <a:t>L'analyse des VAN dégagées lors des trois scénarios ressort que le fournisseur 1 une VAN plus importante, Par ailleurs, nous constatons que l'espérance de la VAN est plus élevée chez le 1er fournisseur. Nous choisissons donc le fournisseur 1.</a:t>
          </a:r>
        </a:p>
        <a:p>
          <a:pPr algn="l"/>
          <a:endParaRPr lang="fr-FR" sz="1100" baseline="0">
            <a:latin typeface="Times New Roman" pitchFamily="18" charset="0"/>
            <a:cs typeface="Times New Roman" pitchFamily="18" charset="0"/>
          </a:endParaRPr>
        </a:p>
        <a:p>
          <a:pPr algn="l"/>
          <a:r>
            <a:rPr lang="fr-FR" sz="1100" baseline="0">
              <a:latin typeface="Times New Roman" pitchFamily="18" charset="0"/>
              <a:cs typeface="Times New Roman" pitchFamily="18" charset="0"/>
            </a:rPr>
            <a:t>Pour appuyer notre analyse, nous nous sommes référés aux critères maximin, maximax et la matrice des regrets: </a:t>
          </a:r>
        </a:p>
        <a:p>
          <a:pPr algn="l"/>
          <a:endParaRPr lang="fr-FR" sz="1100" baseline="0">
            <a:latin typeface="Times New Roman" pitchFamily="18" charset="0"/>
            <a:cs typeface="Times New Roman" pitchFamily="18" charset="0"/>
          </a:endParaRPr>
        </a:p>
        <a:p>
          <a:pPr algn="l"/>
          <a:r>
            <a:rPr lang="fr-FR" sz="1100" baseline="0">
              <a:latin typeface="Times New Roman" pitchFamily="18" charset="0"/>
              <a:cs typeface="Times New Roman" pitchFamily="18" charset="0"/>
            </a:rPr>
            <a:t>- Le </a:t>
          </a:r>
          <a:r>
            <a:rPr lang="fr-FR" sz="1100" i="1" baseline="0">
              <a:latin typeface="Times New Roman" pitchFamily="18" charset="0"/>
              <a:cs typeface="Times New Roman" pitchFamily="18" charset="0"/>
            </a:rPr>
            <a:t>critère maximin </a:t>
          </a:r>
          <a:r>
            <a:rPr lang="fr-FR" sz="1100" baseline="0">
              <a:latin typeface="Times New Roman" pitchFamily="18" charset="0"/>
              <a:cs typeface="Times New Roman" pitchFamily="18" charset="0"/>
            </a:rPr>
            <a:t>fait ressortir qu'au pire des cas, le fournisseur 1 dégage une VAN supérieure au fournisseur 2</a:t>
          </a:r>
        </a:p>
        <a:p>
          <a:pPr algn="l"/>
          <a:r>
            <a:rPr lang="fr-FR" sz="1100" baseline="0">
              <a:latin typeface="Times New Roman" pitchFamily="18" charset="0"/>
              <a:cs typeface="Times New Roman" pitchFamily="18" charset="0"/>
            </a:rPr>
            <a:t>- Le </a:t>
          </a:r>
          <a:r>
            <a:rPr lang="fr-FR" sz="1100" i="1" baseline="0">
              <a:latin typeface="Times New Roman" pitchFamily="18" charset="0"/>
              <a:cs typeface="Times New Roman" pitchFamily="18" charset="0"/>
            </a:rPr>
            <a:t>critère maximax </a:t>
          </a:r>
          <a:r>
            <a:rPr lang="fr-FR" sz="1100" baseline="0">
              <a:latin typeface="Times New Roman" pitchFamily="18" charset="0"/>
              <a:cs typeface="Times New Roman" pitchFamily="18" charset="0"/>
            </a:rPr>
            <a:t>stipule que le fournisseur 1 maximise le revenu au meilleur des cas</a:t>
          </a:r>
        </a:p>
        <a:p>
          <a:pPr algn="l"/>
          <a:r>
            <a:rPr lang="fr-FR" sz="1100" baseline="0">
              <a:latin typeface="Times New Roman" pitchFamily="18" charset="0"/>
              <a:cs typeface="Times New Roman" pitchFamily="18" charset="0"/>
            </a:rPr>
            <a:t>- La </a:t>
          </a:r>
          <a:r>
            <a:rPr lang="fr-FR" sz="1100" i="1" baseline="0">
              <a:latin typeface="Times New Roman" pitchFamily="18" charset="0"/>
              <a:cs typeface="Times New Roman" pitchFamily="18" charset="0"/>
            </a:rPr>
            <a:t>matrice des regrets </a:t>
          </a:r>
          <a:r>
            <a:rPr lang="fr-FR" sz="1100" baseline="0">
              <a:latin typeface="Times New Roman" pitchFamily="18" charset="0"/>
              <a:cs typeface="Times New Roman" pitchFamily="18" charset="0"/>
            </a:rPr>
            <a:t>consiste à choisir le projet qui minimise le regret, après analyse on constate que le fournisseur 1 minimise le regret à chaque scénario.</a:t>
          </a:r>
        </a:p>
        <a:p>
          <a:pPr algn="l"/>
          <a:endParaRPr lang="fr-FR" sz="1100" baseline="0">
            <a:latin typeface="Times New Roman" pitchFamily="18" charset="0"/>
            <a:cs typeface="Times New Roman" pitchFamily="18" charset="0"/>
          </a:endParaRPr>
        </a:p>
        <a:p>
          <a:pPr algn="l"/>
          <a:r>
            <a:rPr lang="fr-FR" sz="1100" baseline="0">
              <a:latin typeface="Times New Roman" pitchFamily="18" charset="0"/>
              <a:cs typeface="Times New Roman" pitchFamily="18" charset="0"/>
            </a:rPr>
            <a:t>=&gt; En vue de tout ces critère, nous préconisons de choisir le fournisseur 1.</a:t>
          </a:r>
          <a:endParaRPr lang="fr-FR" sz="12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3833812</xdr:colOff>
      <xdr:row>41</xdr:row>
      <xdr:rowOff>357188</xdr:rowOff>
    </xdr:from>
    <xdr:to>
      <xdr:col>31</xdr:col>
      <xdr:colOff>1190624</xdr:colOff>
      <xdr:row>53</xdr:row>
      <xdr:rowOff>23813</xdr:rowOff>
    </xdr:to>
    <xdr:sp macro="" textlink="">
      <xdr:nvSpPr>
        <xdr:cNvPr id="2" name="Flèche droite 1"/>
        <xdr:cNvSpPr/>
      </xdr:nvSpPr>
      <xdr:spPr>
        <a:xfrm rot="5400000">
          <a:off x="24524493" y="17995107"/>
          <a:ext cx="3105150" cy="1604962"/>
        </a:xfrm>
        <a:prstGeom prst="rightArrow">
          <a:avLst/>
        </a:prstGeom>
        <a:solidFill>
          <a:schemeClr val="accent6">
            <a:lumMod val="40000"/>
            <a:lumOff val="6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28</xdr:col>
      <xdr:colOff>738169</xdr:colOff>
      <xdr:row>55</xdr:row>
      <xdr:rowOff>47624</xdr:rowOff>
    </xdr:from>
    <xdr:to>
      <xdr:col>35</xdr:col>
      <xdr:colOff>61889</xdr:colOff>
      <xdr:row>85</xdr:row>
      <xdr:rowOff>71437</xdr:rowOff>
    </xdr:to>
    <xdr:sp macro="" textlink="">
      <xdr:nvSpPr>
        <xdr:cNvPr id="3" name="ZoneTexte 2"/>
        <xdr:cNvSpPr txBox="1"/>
      </xdr:nvSpPr>
      <xdr:spPr>
        <a:xfrm>
          <a:off x="20654944" y="20754974"/>
          <a:ext cx="10877545" cy="5738813"/>
        </a:xfrm>
        <a:prstGeom prst="rect">
          <a:avLst/>
        </a:prstGeom>
        <a:solidFill>
          <a:schemeClr val="accent1">
            <a:lumMod val="20000"/>
            <a:lumOff val="80000"/>
          </a:schemeClr>
        </a:solidFill>
        <a:ln w="952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050" b="1" u="none">
            <a:solidFill>
              <a:schemeClr val="accent1">
                <a:lumMod val="50000"/>
              </a:schemeClr>
            </a:solidFill>
          </a:endParaRPr>
        </a:p>
        <a:p>
          <a:r>
            <a:rPr lang="fr-FR" sz="2000" b="1" u="none">
              <a:solidFill>
                <a:schemeClr val="accent1">
                  <a:lumMod val="50000"/>
                </a:schemeClr>
              </a:solidFill>
              <a:latin typeface="Arial" pitchFamily="34" charset="0"/>
              <a:cs typeface="Arial" pitchFamily="34" charset="0"/>
            </a:rPr>
            <a:t>Commentaires :</a:t>
          </a:r>
        </a:p>
        <a:p>
          <a:endParaRPr lang="fr-FR" sz="2000" b="1" u="none">
            <a:solidFill>
              <a:schemeClr val="accent1">
                <a:lumMod val="50000"/>
              </a:schemeClr>
            </a:solidFill>
            <a:latin typeface="Arial" pitchFamily="34" charset="0"/>
            <a:cs typeface="Arial" pitchFamily="34" charset="0"/>
          </a:endParaRPr>
        </a:p>
        <a:p>
          <a:endParaRPr lang="fr-FR" sz="2000" b="1" u="none">
            <a:solidFill>
              <a:schemeClr val="accent1">
                <a:lumMod val="50000"/>
              </a:schemeClr>
            </a:solidFill>
            <a:latin typeface="Arial" pitchFamily="34" charset="0"/>
            <a:cs typeface="Arial" pitchFamily="34" charset="0"/>
          </a:endParaRPr>
        </a:p>
        <a:p>
          <a:r>
            <a:rPr lang="fr-FR" sz="2000" b="1" u="none">
              <a:solidFill>
                <a:schemeClr val="accent1">
                  <a:lumMod val="50000"/>
                </a:schemeClr>
              </a:solidFill>
              <a:latin typeface="Arial" pitchFamily="34" charset="0"/>
              <a:cs typeface="Arial" pitchFamily="34" charset="0"/>
            </a:rPr>
            <a:t>- L'espérance</a:t>
          </a:r>
          <a:r>
            <a:rPr lang="fr-FR" sz="2000" b="1" u="none" baseline="0">
              <a:solidFill>
                <a:schemeClr val="accent1">
                  <a:lumMod val="50000"/>
                </a:schemeClr>
              </a:solidFill>
              <a:latin typeface="Arial" pitchFamily="34" charset="0"/>
              <a:cs typeface="Arial" pitchFamily="34" charset="0"/>
            </a:rPr>
            <a:t> de VAN </a:t>
          </a:r>
          <a:r>
            <a:rPr lang="fr-FR" sz="2000" b="0" u="none" baseline="0">
              <a:solidFill>
                <a:schemeClr val="accent1">
                  <a:lumMod val="50000"/>
                </a:schemeClr>
              </a:solidFill>
              <a:latin typeface="Arial" pitchFamily="34" charset="0"/>
              <a:cs typeface="Arial" pitchFamily="34" charset="0"/>
            </a:rPr>
            <a:t>est largement positive.En prenant en compte les scénarios d'échec, le projet permettrait de dégager 44 M€ de cash.</a:t>
          </a:r>
          <a:r>
            <a:rPr lang="fr-FR" sz="2000" u="none">
              <a:solidFill>
                <a:schemeClr val="accent1">
                  <a:lumMod val="50000"/>
                </a:schemeClr>
              </a:solidFill>
              <a:latin typeface="Arial" pitchFamily="34" charset="0"/>
              <a:cs typeface="Arial" pitchFamily="34" charset="0"/>
            </a:rPr>
            <a:t/>
          </a:r>
          <a:br>
            <a:rPr lang="fr-FR" sz="2000" u="none">
              <a:solidFill>
                <a:schemeClr val="accent1">
                  <a:lumMod val="50000"/>
                </a:schemeClr>
              </a:solidFill>
              <a:latin typeface="Arial" pitchFamily="34" charset="0"/>
              <a:cs typeface="Arial" pitchFamily="34" charset="0"/>
            </a:rPr>
          </a:br>
          <a:endParaRPr lang="fr-FR" sz="2000" u="none">
            <a:solidFill>
              <a:schemeClr val="accent1">
                <a:lumMod val="50000"/>
              </a:schemeClr>
            </a:solidFill>
            <a:latin typeface="Arial" pitchFamily="34" charset="0"/>
            <a:cs typeface="Arial" pitchFamily="34" charset="0"/>
          </a:endParaRPr>
        </a:p>
        <a:p>
          <a:r>
            <a:rPr lang="fr-FR" sz="2000" b="1">
              <a:solidFill>
                <a:schemeClr val="accent1">
                  <a:lumMod val="50000"/>
                </a:schemeClr>
              </a:solidFill>
              <a:latin typeface="Arial" pitchFamily="34" charset="0"/>
              <a:cs typeface="Arial" pitchFamily="34" charset="0"/>
            </a:rPr>
            <a:t>- E (TRI) = 14 %</a:t>
          </a:r>
          <a:endParaRPr lang="fr-FR" sz="2000" b="1" baseline="0">
            <a:solidFill>
              <a:schemeClr val="accent1">
                <a:lumMod val="50000"/>
              </a:schemeClr>
            </a:solidFill>
            <a:latin typeface="Arial" pitchFamily="34" charset="0"/>
            <a:cs typeface="Arial" pitchFamily="34" charset="0"/>
          </a:endParaRPr>
        </a:p>
        <a:p>
          <a:endParaRPr lang="fr-FR" sz="1000" baseline="0">
            <a:solidFill>
              <a:schemeClr val="accent1">
                <a:lumMod val="50000"/>
              </a:schemeClr>
            </a:solidFill>
            <a:latin typeface="Arial" pitchFamily="34" charset="0"/>
            <a:cs typeface="Arial" pitchFamily="34" charset="0"/>
          </a:endParaRPr>
        </a:p>
        <a:p>
          <a:r>
            <a:rPr lang="fr-FR" sz="2000" baseline="0">
              <a:solidFill>
                <a:schemeClr val="accent1">
                  <a:lumMod val="50000"/>
                </a:schemeClr>
              </a:solidFill>
              <a:latin typeface="Arial" pitchFamily="34" charset="0"/>
              <a:cs typeface="Arial" pitchFamily="34" charset="0"/>
            </a:rPr>
            <a:t>L'espérance de TRI est supérieur au taux d'actualisation (11,25 %). On peut donc supposer que le projet est rentable.</a:t>
          </a:r>
        </a:p>
        <a:p>
          <a:endParaRPr lang="fr-FR" sz="2000" baseline="0">
            <a:solidFill>
              <a:schemeClr val="accent1">
                <a:lumMod val="50000"/>
              </a:schemeClr>
            </a:solidFill>
            <a:latin typeface="Arial" pitchFamily="34" charset="0"/>
            <a:cs typeface="Arial" pitchFamily="34" charset="0"/>
          </a:endParaRPr>
        </a:p>
        <a:p>
          <a:r>
            <a:rPr lang="fr-FR" sz="2000">
              <a:solidFill>
                <a:schemeClr val="accent1">
                  <a:lumMod val="50000"/>
                </a:schemeClr>
              </a:solidFill>
              <a:latin typeface="Arial" pitchFamily="34" charset="0"/>
              <a:cs typeface="Arial" pitchFamily="34" charset="0"/>
            </a:rPr>
            <a:t>- </a:t>
          </a:r>
          <a:r>
            <a:rPr lang="fr-FR" sz="2000" b="1">
              <a:solidFill>
                <a:schemeClr val="accent1">
                  <a:lumMod val="50000"/>
                </a:schemeClr>
              </a:solidFill>
              <a:latin typeface="Arial" pitchFamily="34" charset="0"/>
              <a:cs typeface="Arial" pitchFamily="34" charset="0"/>
            </a:rPr>
            <a:t>Le coefficient de dispersion </a:t>
          </a:r>
          <a:r>
            <a:rPr lang="fr-FR" sz="2000" b="0" baseline="0">
              <a:solidFill>
                <a:schemeClr val="accent1">
                  <a:lumMod val="50000"/>
                </a:schemeClr>
              </a:solidFill>
              <a:latin typeface="Arial" pitchFamily="34" charset="0"/>
              <a:cs typeface="Arial" pitchFamily="34" charset="0"/>
            </a:rPr>
            <a:t>et l'</a:t>
          </a:r>
          <a:r>
            <a:rPr lang="fr-FR" sz="2000" b="1" baseline="0">
              <a:solidFill>
                <a:schemeClr val="accent1">
                  <a:lumMod val="50000"/>
                </a:schemeClr>
              </a:solidFill>
              <a:latin typeface="Arial" pitchFamily="34" charset="0"/>
              <a:cs typeface="Arial" pitchFamily="34" charset="0"/>
            </a:rPr>
            <a:t>écart type </a:t>
          </a:r>
          <a:r>
            <a:rPr lang="fr-FR" sz="2000" b="0" baseline="0">
              <a:solidFill>
                <a:schemeClr val="accent1">
                  <a:lumMod val="50000"/>
                </a:schemeClr>
              </a:solidFill>
              <a:latin typeface="Arial" pitchFamily="34" charset="0"/>
              <a:cs typeface="Arial" pitchFamily="34" charset="0"/>
            </a:rPr>
            <a:t>sont élevés.Les VAN varient fortement en fonction des hypothèses de marché : elles flucutent entre 97 0183 et 331 039 en majorité.</a:t>
          </a:r>
        </a:p>
        <a:p>
          <a:endParaRPr lang="fr-FR" sz="2000" b="0" baseline="0">
            <a:solidFill>
              <a:schemeClr val="accent1">
                <a:lumMod val="50000"/>
              </a:schemeClr>
            </a:solidFill>
            <a:latin typeface="Arial" pitchFamily="34" charset="0"/>
            <a:cs typeface="Arial" pitchFamily="34" charset="0"/>
          </a:endParaRPr>
        </a:p>
        <a:p>
          <a:r>
            <a:rPr lang="fr-FR" sz="2000" b="0" baseline="0">
              <a:solidFill>
                <a:schemeClr val="accent1">
                  <a:lumMod val="50000"/>
                </a:schemeClr>
              </a:solidFill>
              <a:latin typeface="Arial" pitchFamily="34" charset="0"/>
              <a:cs typeface="Arial" pitchFamily="34" charset="0"/>
            </a:rPr>
            <a:t>- Le </a:t>
          </a:r>
          <a:r>
            <a:rPr lang="fr-FR" sz="2000" b="1" baseline="0">
              <a:solidFill>
                <a:schemeClr val="accent1">
                  <a:lumMod val="50000"/>
                </a:schemeClr>
              </a:solidFill>
              <a:latin typeface="Arial" pitchFamily="34" charset="0"/>
              <a:cs typeface="Arial" pitchFamily="34" charset="0"/>
            </a:rPr>
            <a:t>Payback</a:t>
          </a:r>
          <a:r>
            <a:rPr lang="fr-FR" sz="2000" b="0" baseline="0">
              <a:solidFill>
                <a:schemeClr val="accent1">
                  <a:lumMod val="50000"/>
                </a:schemeClr>
              </a:solidFill>
              <a:latin typeface="Arial" pitchFamily="34" charset="0"/>
              <a:cs typeface="Arial" pitchFamily="34" charset="0"/>
            </a:rPr>
            <a:t> moyen (à 5 ans) est de 288 jours et varie entre 193 et 433 jours. Dans tous les cas, il est inférieur à 3 ans d'exploitation. </a:t>
          </a:r>
        </a:p>
        <a:p>
          <a:endParaRPr lang="fr-FR" sz="2000" b="0" baseline="0">
            <a:solidFill>
              <a:schemeClr val="accent1">
                <a:lumMod val="50000"/>
              </a:schemeClr>
            </a:solidFill>
            <a:latin typeface="Arial" pitchFamily="34" charset="0"/>
            <a:cs typeface="Arial" pitchFamily="34" charset="0"/>
          </a:endParaRPr>
        </a:p>
        <a:p>
          <a:r>
            <a:rPr lang="fr-FR" sz="2000" b="1" i="0" baseline="0">
              <a:solidFill>
                <a:schemeClr val="accent1">
                  <a:lumMod val="50000"/>
                </a:schemeClr>
              </a:solidFill>
              <a:latin typeface="Arial" pitchFamily="34" charset="0"/>
              <a:ea typeface="+mn-ea"/>
              <a:cs typeface="Arial" pitchFamily="34" charset="0"/>
            </a:rPr>
            <a:t>- L'espérance de l'indice </a:t>
          </a:r>
          <a:r>
            <a:rPr lang="fr-FR" sz="2000" b="1" i="0">
              <a:solidFill>
                <a:schemeClr val="accent1">
                  <a:lumMod val="50000"/>
                </a:schemeClr>
              </a:solidFill>
              <a:latin typeface="Arial" pitchFamily="34" charset="0"/>
              <a:ea typeface="+mn-ea"/>
              <a:cs typeface="Arial" pitchFamily="34" charset="0"/>
            </a:rPr>
            <a:t>de profitabilité </a:t>
          </a:r>
          <a:r>
            <a:rPr lang="fr-FR" sz="2000" b="0" i="0">
              <a:solidFill>
                <a:schemeClr val="accent1">
                  <a:lumMod val="50000"/>
                </a:schemeClr>
              </a:solidFill>
              <a:latin typeface="Arial" pitchFamily="34" charset="0"/>
              <a:ea typeface="+mn-ea"/>
              <a:cs typeface="Arial" pitchFamily="34" charset="0"/>
            </a:rPr>
            <a:t>est égal à 2,45. Cela signifie que, pour chaque euro investi, on peut espérer dégager une valeur actuelle nette de 1,45</a:t>
          </a:r>
          <a:r>
            <a:rPr lang="fr-FR" sz="2000" b="0" i="0" baseline="0">
              <a:solidFill>
                <a:schemeClr val="accent1">
                  <a:lumMod val="50000"/>
                </a:schemeClr>
              </a:solidFill>
              <a:latin typeface="Arial" pitchFamily="34" charset="0"/>
              <a:ea typeface="+mn-ea"/>
              <a:cs typeface="Arial" pitchFamily="34" charset="0"/>
            </a:rPr>
            <a:t> €.</a:t>
          </a:r>
          <a:endParaRPr lang="fr-FR" sz="2000" b="0" baseline="0">
            <a:solidFill>
              <a:schemeClr val="accent1">
                <a:lumMod val="50000"/>
              </a:schemeClr>
            </a:solidFill>
            <a:latin typeface="Arial" pitchFamily="34" charset="0"/>
            <a:cs typeface="Arial" pitchFamily="34" charset="0"/>
          </a:endParaRPr>
        </a:p>
        <a:p>
          <a:endParaRPr lang="fr-FR" sz="2000" b="0" baseline="0">
            <a:solidFill>
              <a:schemeClr val="accent1">
                <a:lumMod val="50000"/>
              </a:schemeClr>
            </a:solidFill>
            <a:latin typeface="Arial" pitchFamily="34" charset="0"/>
            <a:cs typeface="Arial" pitchFamily="34" charset="0"/>
          </a:endParaRPr>
        </a:p>
        <a:p>
          <a:endParaRPr lang="fr-FR" sz="2000">
            <a:solidFill>
              <a:schemeClr val="accent1">
                <a:lumMod val="50000"/>
              </a:schemeClr>
            </a:solidFill>
            <a:latin typeface="Arial" pitchFamily="34" charset="0"/>
            <a:cs typeface="Arial" pitchFamily="34" charset="0"/>
          </a:endParaRPr>
        </a:p>
      </xdr:txBody>
    </xdr:sp>
    <xdr:clientData/>
  </xdr:twoCellAnchor>
  <xdr:twoCellAnchor>
    <xdr:from>
      <xdr:col>15</xdr:col>
      <xdr:colOff>690563</xdr:colOff>
      <xdr:row>51</xdr:row>
      <xdr:rowOff>95248</xdr:rowOff>
    </xdr:from>
    <xdr:to>
      <xdr:col>28</xdr:col>
      <xdr:colOff>285750</xdr:colOff>
      <xdr:row>111</xdr:row>
      <xdr:rowOff>166687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1381125</xdr:colOff>
      <xdr:row>95</xdr:row>
      <xdr:rowOff>71437</xdr:rowOff>
    </xdr:from>
    <xdr:to>
      <xdr:col>27</xdr:col>
      <xdr:colOff>381000</xdr:colOff>
      <xdr:row>95</xdr:row>
      <xdr:rowOff>95250</xdr:rowOff>
    </xdr:to>
    <xdr:cxnSp macro="">
      <xdr:nvCxnSpPr>
        <xdr:cNvPr id="5" name="Straight Connector 4"/>
        <xdr:cNvCxnSpPr/>
      </xdr:nvCxnSpPr>
      <xdr:spPr>
        <a:xfrm>
          <a:off x="4086225" y="28398787"/>
          <a:ext cx="15449550" cy="23813"/>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3833812</xdr:colOff>
      <xdr:row>41</xdr:row>
      <xdr:rowOff>357188</xdr:rowOff>
    </xdr:from>
    <xdr:to>
      <xdr:col>31</xdr:col>
      <xdr:colOff>1190624</xdr:colOff>
      <xdr:row>53</xdr:row>
      <xdr:rowOff>23813</xdr:rowOff>
    </xdr:to>
    <xdr:sp macro="" textlink="">
      <xdr:nvSpPr>
        <xdr:cNvPr id="2" name="Flèche droite 1"/>
        <xdr:cNvSpPr/>
      </xdr:nvSpPr>
      <xdr:spPr>
        <a:xfrm rot="5400000">
          <a:off x="25431749" y="16716376"/>
          <a:ext cx="1262063" cy="1595437"/>
        </a:xfrm>
        <a:prstGeom prst="rightArrow">
          <a:avLst/>
        </a:prstGeom>
        <a:solidFill>
          <a:schemeClr val="accent6">
            <a:lumMod val="40000"/>
            <a:lumOff val="6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28</xdr:col>
      <xdr:colOff>738169</xdr:colOff>
      <xdr:row>55</xdr:row>
      <xdr:rowOff>47624</xdr:rowOff>
    </xdr:from>
    <xdr:to>
      <xdr:col>35</xdr:col>
      <xdr:colOff>61889</xdr:colOff>
      <xdr:row>85</xdr:row>
      <xdr:rowOff>71437</xdr:rowOff>
    </xdr:to>
    <xdr:sp macro="" textlink="">
      <xdr:nvSpPr>
        <xdr:cNvPr id="3" name="ZoneTexte 2"/>
        <xdr:cNvSpPr txBox="1"/>
      </xdr:nvSpPr>
      <xdr:spPr>
        <a:xfrm>
          <a:off x="20645419" y="18549937"/>
          <a:ext cx="10896595" cy="5738813"/>
        </a:xfrm>
        <a:prstGeom prst="rect">
          <a:avLst/>
        </a:prstGeom>
        <a:solidFill>
          <a:schemeClr val="accent1">
            <a:lumMod val="20000"/>
            <a:lumOff val="80000"/>
          </a:schemeClr>
        </a:solidFill>
        <a:ln w="952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050" b="1" u="none">
            <a:solidFill>
              <a:schemeClr val="accent1">
                <a:lumMod val="50000"/>
              </a:schemeClr>
            </a:solidFill>
          </a:endParaRPr>
        </a:p>
        <a:p>
          <a:r>
            <a:rPr lang="fr-FR" sz="2000" b="1" u="none">
              <a:solidFill>
                <a:schemeClr val="accent1">
                  <a:lumMod val="50000"/>
                </a:schemeClr>
              </a:solidFill>
              <a:latin typeface="Arial" pitchFamily="34" charset="0"/>
              <a:cs typeface="Arial" pitchFamily="34" charset="0"/>
            </a:rPr>
            <a:t>Commentaires :</a:t>
          </a:r>
        </a:p>
        <a:p>
          <a:endParaRPr lang="fr-FR" sz="2000" b="1" u="none">
            <a:solidFill>
              <a:schemeClr val="accent1">
                <a:lumMod val="50000"/>
              </a:schemeClr>
            </a:solidFill>
            <a:latin typeface="Arial" pitchFamily="34" charset="0"/>
            <a:cs typeface="Arial" pitchFamily="34" charset="0"/>
          </a:endParaRPr>
        </a:p>
        <a:p>
          <a:endParaRPr lang="fr-FR" sz="2000" b="1" u="none">
            <a:solidFill>
              <a:schemeClr val="accent1">
                <a:lumMod val="50000"/>
              </a:schemeClr>
            </a:solidFill>
            <a:latin typeface="Arial" pitchFamily="34" charset="0"/>
            <a:cs typeface="Arial" pitchFamily="34" charset="0"/>
          </a:endParaRPr>
        </a:p>
        <a:p>
          <a:r>
            <a:rPr lang="fr-FR" sz="2000" b="1" u="none">
              <a:solidFill>
                <a:schemeClr val="accent1">
                  <a:lumMod val="50000"/>
                </a:schemeClr>
              </a:solidFill>
              <a:latin typeface="Arial" pitchFamily="34" charset="0"/>
              <a:cs typeface="Arial" pitchFamily="34" charset="0"/>
            </a:rPr>
            <a:t>- L'espérance</a:t>
          </a:r>
          <a:r>
            <a:rPr lang="fr-FR" sz="2000" b="1" u="none" baseline="0">
              <a:solidFill>
                <a:schemeClr val="accent1">
                  <a:lumMod val="50000"/>
                </a:schemeClr>
              </a:solidFill>
              <a:latin typeface="Arial" pitchFamily="34" charset="0"/>
              <a:cs typeface="Arial" pitchFamily="34" charset="0"/>
            </a:rPr>
            <a:t> de VAN </a:t>
          </a:r>
          <a:r>
            <a:rPr lang="fr-FR" sz="2000" b="0" u="none" baseline="0">
              <a:solidFill>
                <a:schemeClr val="accent1">
                  <a:lumMod val="50000"/>
                </a:schemeClr>
              </a:solidFill>
              <a:latin typeface="Arial" pitchFamily="34" charset="0"/>
              <a:cs typeface="Arial" pitchFamily="34" charset="0"/>
            </a:rPr>
            <a:t>est largement positive.En prenant en compte les scénarios d'échec, le projet permettrait de dégager 44 M€ de cash.</a:t>
          </a:r>
          <a:r>
            <a:rPr lang="fr-FR" sz="2000" u="none">
              <a:solidFill>
                <a:schemeClr val="accent1">
                  <a:lumMod val="50000"/>
                </a:schemeClr>
              </a:solidFill>
              <a:latin typeface="Arial" pitchFamily="34" charset="0"/>
              <a:cs typeface="Arial" pitchFamily="34" charset="0"/>
            </a:rPr>
            <a:t/>
          </a:r>
          <a:br>
            <a:rPr lang="fr-FR" sz="2000" u="none">
              <a:solidFill>
                <a:schemeClr val="accent1">
                  <a:lumMod val="50000"/>
                </a:schemeClr>
              </a:solidFill>
              <a:latin typeface="Arial" pitchFamily="34" charset="0"/>
              <a:cs typeface="Arial" pitchFamily="34" charset="0"/>
            </a:rPr>
          </a:br>
          <a:endParaRPr lang="fr-FR" sz="2000" u="none">
            <a:solidFill>
              <a:schemeClr val="accent1">
                <a:lumMod val="50000"/>
              </a:schemeClr>
            </a:solidFill>
            <a:latin typeface="Arial" pitchFamily="34" charset="0"/>
            <a:cs typeface="Arial" pitchFamily="34" charset="0"/>
          </a:endParaRPr>
        </a:p>
        <a:p>
          <a:r>
            <a:rPr lang="fr-FR" sz="2000" b="1">
              <a:solidFill>
                <a:schemeClr val="accent1">
                  <a:lumMod val="50000"/>
                </a:schemeClr>
              </a:solidFill>
              <a:latin typeface="Arial" pitchFamily="34" charset="0"/>
              <a:cs typeface="Arial" pitchFamily="34" charset="0"/>
            </a:rPr>
            <a:t>- E (TRI) = 14 %</a:t>
          </a:r>
          <a:endParaRPr lang="fr-FR" sz="2000" b="1" baseline="0">
            <a:solidFill>
              <a:schemeClr val="accent1">
                <a:lumMod val="50000"/>
              </a:schemeClr>
            </a:solidFill>
            <a:latin typeface="Arial" pitchFamily="34" charset="0"/>
            <a:cs typeface="Arial" pitchFamily="34" charset="0"/>
          </a:endParaRPr>
        </a:p>
        <a:p>
          <a:endParaRPr lang="fr-FR" sz="1000" baseline="0">
            <a:solidFill>
              <a:schemeClr val="accent1">
                <a:lumMod val="50000"/>
              </a:schemeClr>
            </a:solidFill>
            <a:latin typeface="Arial" pitchFamily="34" charset="0"/>
            <a:cs typeface="Arial" pitchFamily="34" charset="0"/>
          </a:endParaRPr>
        </a:p>
        <a:p>
          <a:r>
            <a:rPr lang="fr-FR" sz="2000" baseline="0">
              <a:solidFill>
                <a:schemeClr val="accent1">
                  <a:lumMod val="50000"/>
                </a:schemeClr>
              </a:solidFill>
              <a:latin typeface="Arial" pitchFamily="34" charset="0"/>
              <a:cs typeface="Arial" pitchFamily="34" charset="0"/>
            </a:rPr>
            <a:t>L'espérance de TRI est supérieur au taux d'actualisation (11,25 %). On peut donc supposer que le projet est rentable.</a:t>
          </a:r>
        </a:p>
        <a:p>
          <a:endParaRPr lang="fr-FR" sz="2000" baseline="0">
            <a:solidFill>
              <a:schemeClr val="accent1">
                <a:lumMod val="50000"/>
              </a:schemeClr>
            </a:solidFill>
            <a:latin typeface="Arial" pitchFamily="34" charset="0"/>
            <a:cs typeface="Arial" pitchFamily="34" charset="0"/>
          </a:endParaRPr>
        </a:p>
        <a:p>
          <a:r>
            <a:rPr lang="fr-FR" sz="2000">
              <a:solidFill>
                <a:schemeClr val="accent1">
                  <a:lumMod val="50000"/>
                </a:schemeClr>
              </a:solidFill>
              <a:latin typeface="Arial" pitchFamily="34" charset="0"/>
              <a:cs typeface="Arial" pitchFamily="34" charset="0"/>
            </a:rPr>
            <a:t>- </a:t>
          </a:r>
          <a:r>
            <a:rPr lang="fr-FR" sz="2000" b="1">
              <a:solidFill>
                <a:schemeClr val="accent1">
                  <a:lumMod val="50000"/>
                </a:schemeClr>
              </a:solidFill>
              <a:latin typeface="Arial" pitchFamily="34" charset="0"/>
              <a:cs typeface="Arial" pitchFamily="34" charset="0"/>
            </a:rPr>
            <a:t>Le coefficient de dispersion </a:t>
          </a:r>
          <a:r>
            <a:rPr lang="fr-FR" sz="2000" b="0" baseline="0">
              <a:solidFill>
                <a:schemeClr val="accent1">
                  <a:lumMod val="50000"/>
                </a:schemeClr>
              </a:solidFill>
              <a:latin typeface="Arial" pitchFamily="34" charset="0"/>
              <a:cs typeface="Arial" pitchFamily="34" charset="0"/>
            </a:rPr>
            <a:t>et l'</a:t>
          </a:r>
          <a:r>
            <a:rPr lang="fr-FR" sz="2000" b="1" baseline="0">
              <a:solidFill>
                <a:schemeClr val="accent1">
                  <a:lumMod val="50000"/>
                </a:schemeClr>
              </a:solidFill>
              <a:latin typeface="Arial" pitchFamily="34" charset="0"/>
              <a:cs typeface="Arial" pitchFamily="34" charset="0"/>
            </a:rPr>
            <a:t>écart type </a:t>
          </a:r>
          <a:r>
            <a:rPr lang="fr-FR" sz="2000" b="0" baseline="0">
              <a:solidFill>
                <a:schemeClr val="accent1">
                  <a:lumMod val="50000"/>
                </a:schemeClr>
              </a:solidFill>
              <a:latin typeface="Arial" pitchFamily="34" charset="0"/>
              <a:cs typeface="Arial" pitchFamily="34" charset="0"/>
            </a:rPr>
            <a:t>sont élevés.Les VAN varient fortement en fonction des hypothèses de marché : elles flucutent entre 97 0183 et 331 039 en majorité.</a:t>
          </a:r>
        </a:p>
        <a:p>
          <a:endParaRPr lang="fr-FR" sz="2000" b="0" baseline="0">
            <a:solidFill>
              <a:schemeClr val="accent1">
                <a:lumMod val="50000"/>
              </a:schemeClr>
            </a:solidFill>
            <a:latin typeface="Arial" pitchFamily="34" charset="0"/>
            <a:cs typeface="Arial" pitchFamily="34" charset="0"/>
          </a:endParaRPr>
        </a:p>
        <a:p>
          <a:r>
            <a:rPr lang="fr-FR" sz="2000" b="0" baseline="0">
              <a:solidFill>
                <a:schemeClr val="accent1">
                  <a:lumMod val="50000"/>
                </a:schemeClr>
              </a:solidFill>
              <a:latin typeface="Arial" pitchFamily="34" charset="0"/>
              <a:cs typeface="Arial" pitchFamily="34" charset="0"/>
            </a:rPr>
            <a:t>- Le </a:t>
          </a:r>
          <a:r>
            <a:rPr lang="fr-FR" sz="2000" b="1" baseline="0">
              <a:solidFill>
                <a:schemeClr val="accent1">
                  <a:lumMod val="50000"/>
                </a:schemeClr>
              </a:solidFill>
              <a:latin typeface="Arial" pitchFamily="34" charset="0"/>
              <a:cs typeface="Arial" pitchFamily="34" charset="0"/>
            </a:rPr>
            <a:t>Payback</a:t>
          </a:r>
          <a:r>
            <a:rPr lang="fr-FR" sz="2000" b="0" baseline="0">
              <a:solidFill>
                <a:schemeClr val="accent1">
                  <a:lumMod val="50000"/>
                </a:schemeClr>
              </a:solidFill>
              <a:latin typeface="Arial" pitchFamily="34" charset="0"/>
              <a:cs typeface="Arial" pitchFamily="34" charset="0"/>
            </a:rPr>
            <a:t> moyen (à 5 ans) est de 288 jours et varie entre 193 et 433 jours. Dans tous les cas, il est inférieur à 3 ans d'exploitation. </a:t>
          </a:r>
        </a:p>
        <a:p>
          <a:endParaRPr lang="fr-FR" sz="2000" b="0" baseline="0">
            <a:solidFill>
              <a:schemeClr val="accent1">
                <a:lumMod val="50000"/>
              </a:schemeClr>
            </a:solidFill>
            <a:latin typeface="Arial" pitchFamily="34" charset="0"/>
            <a:cs typeface="Arial" pitchFamily="34" charset="0"/>
          </a:endParaRPr>
        </a:p>
        <a:p>
          <a:r>
            <a:rPr lang="fr-FR" sz="2000" b="1" i="0" baseline="0">
              <a:solidFill>
                <a:schemeClr val="accent1">
                  <a:lumMod val="50000"/>
                </a:schemeClr>
              </a:solidFill>
              <a:latin typeface="Arial" pitchFamily="34" charset="0"/>
              <a:ea typeface="+mn-ea"/>
              <a:cs typeface="Arial" pitchFamily="34" charset="0"/>
            </a:rPr>
            <a:t>- L'espérance de l'indice </a:t>
          </a:r>
          <a:r>
            <a:rPr lang="fr-FR" sz="2000" b="1" i="0">
              <a:solidFill>
                <a:schemeClr val="accent1">
                  <a:lumMod val="50000"/>
                </a:schemeClr>
              </a:solidFill>
              <a:latin typeface="Arial" pitchFamily="34" charset="0"/>
              <a:ea typeface="+mn-ea"/>
              <a:cs typeface="Arial" pitchFamily="34" charset="0"/>
            </a:rPr>
            <a:t>de profitabilité </a:t>
          </a:r>
          <a:r>
            <a:rPr lang="fr-FR" sz="2000" b="0" i="0">
              <a:solidFill>
                <a:schemeClr val="accent1">
                  <a:lumMod val="50000"/>
                </a:schemeClr>
              </a:solidFill>
              <a:latin typeface="Arial" pitchFamily="34" charset="0"/>
              <a:ea typeface="+mn-ea"/>
              <a:cs typeface="Arial" pitchFamily="34" charset="0"/>
            </a:rPr>
            <a:t>est égal à 2,45. Cela signifie que, pour chaque euro investi, on peut espérer dégager une valeur actuelle nette de 1,45</a:t>
          </a:r>
          <a:r>
            <a:rPr lang="fr-FR" sz="2000" b="0" i="0" baseline="0">
              <a:solidFill>
                <a:schemeClr val="accent1">
                  <a:lumMod val="50000"/>
                </a:schemeClr>
              </a:solidFill>
              <a:latin typeface="Arial" pitchFamily="34" charset="0"/>
              <a:ea typeface="+mn-ea"/>
              <a:cs typeface="Arial" pitchFamily="34" charset="0"/>
            </a:rPr>
            <a:t> €.</a:t>
          </a:r>
          <a:endParaRPr lang="fr-FR" sz="2000" b="0" baseline="0">
            <a:solidFill>
              <a:schemeClr val="accent1">
                <a:lumMod val="50000"/>
              </a:schemeClr>
            </a:solidFill>
            <a:latin typeface="Arial" pitchFamily="34" charset="0"/>
            <a:cs typeface="Arial" pitchFamily="34" charset="0"/>
          </a:endParaRPr>
        </a:p>
        <a:p>
          <a:endParaRPr lang="fr-FR" sz="2000" b="0" baseline="0">
            <a:solidFill>
              <a:schemeClr val="accent1">
                <a:lumMod val="50000"/>
              </a:schemeClr>
            </a:solidFill>
            <a:latin typeface="Arial" pitchFamily="34" charset="0"/>
            <a:cs typeface="Arial" pitchFamily="34" charset="0"/>
          </a:endParaRPr>
        </a:p>
        <a:p>
          <a:endParaRPr lang="fr-FR" sz="2000">
            <a:solidFill>
              <a:schemeClr val="accent1">
                <a:lumMod val="50000"/>
              </a:schemeClr>
            </a:solidFill>
            <a:latin typeface="Arial" pitchFamily="34" charset="0"/>
            <a:cs typeface="Arial" pitchFamily="34" charset="0"/>
          </a:endParaRPr>
        </a:p>
      </xdr:txBody>
    </xdr:sp>
    <xdr:clientData/>
  </xdr:twoCellAnchor>
  <xdr:twoCellAnchor>
    <xdr:from>
      <xdr:col>15</xdr:col>
      <xdr:colOff>690563</xdr:colOff>
      <xdr:row>51</xdr:row>
      <xdr:rowOff>95248</xdr:rowOff>
    </xdr:from>
    <xdr:to>
      <xdr:col>28</xdr:col>
      <xdr:colOff>285750</xdr:colOff>
      <xdr:row>111</xdr:row>
      <xdr:rowOff>166687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1381125</xdr:colOff>
      <xdr:row>95</xdr:row>
      <xdr:rowOff>71437</xdr:rowOff>
    </xdr:from>
    <xdr:to>
      <xdr:col>27</xdr:col>
      <xdr:colOff>381000</xdr:colOff>
      <xdr:row>95</xdr:row>
      <xdr:rowOff>95250</xdr:rowOff>
    </xdr:to>
    <xdr:cxnSp macro="">
      <xdr:nvCxnSpPr>
        <xdr:cNvPr id="7" name="Straight Connector 6"/>
        <xdr:cNvCxnSpPr/>
      </xdr:nvCxnSpPr>
      <xdr:spPr>
        <a:xfrm>
          <a:off x="4095750" y="26193750"/>
          <a:ext cx="15430500" cy="23813"/>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650875</xdr:colOff>
      <xdr:row>25</xdr:row>
      <xdr:rowOff>142875</xdr:rowOff>
    </xdr:from>
    <xdr:to>
      <xdr:col>25</xdr:col>
      <xdr:colOff>650875</xdr:colOff>
      <xdr:row>50</xdr:row>
      <xdr:rowOff>101600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2506131</xdr:colOff>
      <xdr:row>59</xdr:row>
      <xdr:rowOff>135466</xdr:rowOff>
    </xdr:from>
    <xdr:to>
      <xdr:col>10</xdr:col>
      <xdr:colOff>87730</xdr:colOff>
      <xdr:row>74</xdr:row>
      <xdr:rowOff>37598</xdr:rowOff>
    </xdr:to>
    <xdr:sp macro="" textlink="" fLocksText="0">
      <xdr:nvSpPr>
        <xdr:cNvPr id="3" name="ZoneTexte 2"/>
        <xdr:cNvSpPr>
          <a:spLocks noChangeArrowheads="1"/>
        </xdr:cNvSpPr>
      </xdr:nvSpPr>
      <xdr:spPr bwMode="auto">
        <a:xfrm>
          <a:off x="3120243" y="14197374"/>
          <a:ext cx="7031401" cy="2910027"/>
        </a:xfrm>
        <a:prstGeom prst="rect">
          <a:avLst/>
        </a:prstGeom>
        <a:solidFill>
          <a:sysClr val="window" lastClr="FFFFFF"/>
        </a:solidFill>
        <a:ln w="25400" cap="flat" cmpd="sng" algn="ctr">
          <a:solidFill>
            <a:srgbClr val="4F81BD"/>
          </a:solidFill>
          <a:prstDash val="solid"/>
          <a:headEnd/>
          <a:tailEnd/>
        </a:ln>
        <a:effectLst/>
        <a:extLst/>
      </xdr:spPr>
      <xdr:txBody>
        <a:bodyPr vertOverflow="clip" wrap="square" lIns="90000" tIns="45000" rIns="90000" bIns="45000" anchor="t"/>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fr-FR" sz="1800" b="1"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fr-FR" sz="1800" b="1"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fr-FR" sz="1800" b="1" i="0" u="none" strike="noStrike" kern="0" cap="none" spc="0" normalizeH="0" baseline="0" noProof="0">
              <a:ln>
                <a:noFill/>
              </a:ln>
              <a:solidFill>
                <a:srgbClr val="2F2B20"/>
              </a:solidFill>
              <a:effectLst/>
              <a:uLnTx/>
              <a:uFillTx/>
              <a:latin typeface="Calibri"/>
              <a:ea typeface="Calibri"/>
              <a:cs typeface="Calibri"/>
            </a:rPr>
            <a:t>CALL= 9,46 Millions d'€   si on attend pour lancer thyrdine détournée</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fr-FR" sz="1800" b="1"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800" b="1" i="0" u="none" strike="noStrike" kern="0" cap="none" spc="0" normalizeH="0" baseline="0" noProof="0">
              <a:ln>
                <a:noFill/>
              </a:ln>
              <a:solidFill>
                <a:srgbClr val="2F2B20"/>
              </a:solidFill>
              <a:effectLst/>
              <a:uLnTx/>
              <a:uFillTx/>
              <a:latin typeface="Calibri"/>
              <a:ea typeface="Calibri"/>
              <a:cs typeface="Calibri"/>
            </a:rPr>
            <a:t>VAN= 6,24 Millions d'€   si on lance tout de suite thyrdine détournée</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800" b="1"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800" b="1"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fr-FR" sz="1800" b="1" i="0" u="none" strike="noStrike" kern="0" cap="none" spc="0" normalizeH="0" baseline="0" noProof="0">
              <a:ln>
                <a:noFill/>
              </a:ln>
              <a:solidFill>
                <a:srgbClr val="2F2B20"/>
              </a:solidFill>
              <a:effectLst/>
              <a:uLnTx/>
              <a:uFillTx/>
              <a:latin typeface="Calibri"/>
              <a:ea typeface="Calibri"/>
              <a:cs typeface="Calibri"/>
            </a:rPr>
            <a:t>CALL &gt; VAN</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fr-FR" sz="1800" b="1"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fr-FR" sz="1800" b="1"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800" b="0" i="0" u="none" strike="noStrike" kern="0" cap="none" spc="0" normalizeH="0" baseline="0" noProof="0">
              <a:ln>
                <a:noFill/>
              </a:ln>
              <a:solidFill>
                <a:srgbClr val="2F2B20"/>
              </a:solidFill>
              <a:effectLst/>
              <a:uLnTx/>
              <a:uFillTx/>
              <a:latin typeface="Calibri"/>
              <a:ea typeface="Calibri"/>
              <a:cs typeface="Calibri"/>
            </a:rPr>
            <a:t>Le projet  dégagerait une valeur  de </a:t>
          </a:r>
          <a:r>
            <a:rPr kumimoji="0" lang="fr-FR" sz="1800" b="1" i="0" u="none" strike="noStrike" kern="0" cap="none" spc="0" normalizeH="0" baseline="0" noProof="0">
              <a:ln>
                <a:noFill/>
              </a:ln>
              <a:solidFill>
                <a:srgbClr val="2F2B20"/>
              </a:solidFill>
              <a:effectLst/>
              <a:uLnTx/>
              <a:uFillTx/>
              <a:latin typeface="Calibri"/>
              <a:ea typeface="Calibri"/>
              <a:cs typeface="Calibri"/>
            </a:rPr>
            <a:t>9,46 M€  </a:t>
          </a:r>
          <a:r>
            <a:rPr kumimoji="0" lang="fr-FR" sz="1800" b="0" i="0" u="none" strike="noStrike" kern="0" cap="none" spc="0" normalizeH="0" baseline="0" noProof="0">
              <a:ln>
                <a:noFill/>
              </a:ln>
              <a:solidFill>
                <a:srgbClr val="2F2B20"/>
              </a:solidFill>
              <a:effectLst/>
              <a:uLnTx/>
              <a:uFillTx/>
              <a:latin typeface="Calibri"/>
              <a:ea typeface="Calibri"/>
              <a:cs typeface="Calibri"/>
            </a:rPr>
            <a:t>si on attend,</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800" b="0"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fr-FR" sz="1800" b="0" i="0" u="none" strike="noStrike" kern="0" cap="none" spc="0" normalizeH="0" baseline="0" noProof="0">
              <a:ln>
                <a:noFill/>
              </a:ln>
              <a:solidFill>
                <a:srgbClr val="2F2B20"/>
              </a:solidFill>
              <a:effectLst/>
              <a:uLnTx/>
              <a:uFillTx/>
              <a:latin typeface="Calibri"/>
              <a:ea typeface="Calibri"/>
              <a:cs typeface="Calibri"/>
            </a:rPr>
            <a:t>Nous conseillons donc  de reporter le projet, dans l'attente d'un </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fr-FR" sz="1800" b="0"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fr-FR" sz="1800" b="0" i="0" u="none" strike="noStrike" kern="0" cap="none" spc="0" normalizeH="0" baseline="0" noProof="0">
              <a:ln>
                <a:noFill/>
              </a:ln>
              <a:solidFill>
                <a:srgbClr val="2F2B20"/>
              </a:solidFill>
              <a:effectLst/>
              <a:uLnTx/>
              <a:uFillTx/>
              <a:latin typeface="Calibri"/>
              <a:ea typeface="Calibri"/>
              <a:cs typeface="Calibri"/>
            </a:rPr>
            <a:t>marché plus favorable, car actuellement le marché est très volatil.</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2F2B20"/>
            </a:solidFill>
            <a:effectLst/>
            <a:uLnTx/>
            <a:uFillTx/>
            <a:latin typeface="Calibri"/>
            <a:ea typeface="Calibri"/>
            <a:cs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2F2B20"/>
            </a:solidFill>
            <a:effectLst/>
            <a:uLnTx/>
            <a:uFillTx/>
            <a:latin typeface="Calibri"/>
            <a:ea typeface="Calibri"/>
            <a:cs typeface="Calibri"/>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0</xdr:rowOff>
    </xdr:from>
    <xdr:to>
      <xdr:col>2</xdr:col>
      <xdr:colOff>409575</xdr:colOff>
      <xdr:row>0</xdr:row>
      <xdr:rowOff>0</xdr:rowOff>
    </xdr:to>
    <xdr:sp macro="[4]!ACCEUIL" textlink="">
      <xdr:nvSpPr>
        <xdr:cNvPr id="2" name="Rectangle 2"/>
        <xdr:cNvSpPr>
          <a:spLocks noChangeArrowheads="1"/>
        </xdr:cNvSpPr>
      </xdr:nvSpPr>
      <xdr:spPr bwMode="auto">
        <a:xfrm>
          <a:off x="180975" y="238125"/>
          <a:ext cx="2495550" cy="361950"/>
        </a:xfrm>
        <a:prstGeom prst="rect">
          <a:avLst/>
        </a:prstGeom>
        <a:gradFill rotWithShape="1">
          <a:gsLst>
            <a:gs pos="0">
              <a:srgbClr val="FFFFFF"/>
            </a:gs>
            <a:gs pos="67999">
              <a:srgbClr val="A6A6A6"/>
            </a:gs>
            <a:gs pos="100000">
              <a:srgbClr val="A6A6A6"/>
            </a:gs>
          </a:gsLst>
          <a:lin ang="5400000"/>
        </a:gradFill>
        <a:ln>
          <a:noFill/>
        </a:ln>
        <a:effectLst>
          <a:outerShdw blurRad="50800" dist="38100" algn="l" rotWithShape="0">
            <a:srgbClr val="808080">
              <a:alpha val="39998"/>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27432" bIns="27432" anchor="ctr" upright="1"/>
        <a:lstStyle/>
        <a:p>
          <a:pPr algn="ctr" rtl="0">
            <a:defRPr sz="1000"/>
          </a:pPr>
          <a:r>
            <a:rPr lang="fr-FR" sz="1200" b="0" i="0" u="none" strike="noStrike" baseline="0">
              <a:solidFill>
                <a:srgbClr val="33CCCC"/>
              </a:solidFill>
              <a:latin typeface="Calibri"/>
            </a:rPr>
            <a:t>ACCEUIL</a:t>
          </a:r>
          <a:endParaRPr lang="fr-FR"/>
        </a:p>
      </xdr:txBody>
    </xdr:sp>
    <xdr:clientData/>
  </xdr:twoCellAnchor>
  <xdr:twoCellAnchor>
    <xdr:from>
      <xdr:col>0</xdr:col>
      <xdr:colOff>161925</xdr:colOff>
      <xdr:row>0</xdr:row>
      <xdr:rowOff>0</xdr:rowOff>
    </xdr:from>
    <xdr:to>
      <xdr:col>2</xdr:col>
      <xdr:colOff>390525</xdr:colOff>
      <xdr:row>0</xdr:row>
      <xdr:rowOff>0</xdr:rowOff>
    </xdr:to>
    <xdr:sp macro="[4]!OPTIONFINANCE" textlink="">
      <xdr:nvSpPr>
        <xdr:cNvPr id="3" name="Rectangle 3"/>
        <xdr:cNvSpPr>
          <a:spLocks noChangeArrowheads="1"/>
        </xdr:cNvSpPr>
      </xdr:nvSpPr>
      <xdr:spPr bwMode="auto">
        <a:xfrm>
          <a:off x="161925" y="752475"/>
          <a:ext cx="2495550" cy="352425"/>
        </a:xfrm>
        <a:prstGeom prst="rect">
          <a:avLst/>
        </a:prstGeom>
        <a:gradFill rotWithShape="1">
          <a:gsLst>
            <a:gs pos="0">
              <a:srgbClr val="FFFFFF"/>
            </a:gs>
            <a:gs pos="67999">
              <a:srgbClr val="A6A6A6"/>
            </a:gs>
            <a:gs pos="100000">
              <a:srgbClr val="A6A6A6"/>
            </a:gs>
          </a:gsLst>
          <a:lin ang="5400000"/>
        </a:gradFill>
        <a:ln>
          <a:noFill/>
        </a:ln>
        <a:effectLst>
          <a:outerShdw blurRad="50800" dist="38100" algn="l" rotWithShape="0">
            <a:srgbClr val="808080">
              <a:alpha val="39998"/>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27432" bIns="27432" anchor="ctr" upright="1"/>
        <a:lstStyle/>
        <a:p>
          <a:pPr algn="ctr" rtl="0">
            <a:defRPr sz="1000"/>
          </a:pPr>
          <a:r>
            <a:rPr lang="fr-FR" sz="1200" b="0" i="0" u="none" strike="noStrike" baseline="0">
              <a:solidFill>
                <a:srgbClr val="33CCCC"/>
              </a:solidFill>
              <a:latin typeface="Calibri"/>
            </a:rPr>
            <a:t>SOLUTION DE FINANCEMENT</a:t>
          </a:r>
          <a:endParaRPr lang="fr-F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104775</xdr:colOff>
      <xdr:row>9</xdr:row>
      <xdr:rowOff>38100</xdr:rowOff>
    </xdr:from>
    <xdr:to>
      <xdr:col>18</xdr:col>
      <xdr:colOff>257175</xdr:colOff>
      <xdr:row>34</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77</xdr:row>
      <xdr:rowOff>123825</xdr:rowOff>
    </xdr:from>
    <xdr:to>
      <xdr:col>3</xdr:col>
      <xdr:colOff>742950</xdr:colOff>
      <xdr:row>88</xdr:row>
      <xdr:rowOff>95250</xdr:rowOff>
    </xdr:to>
    <xdr:graphicFrame macro="">
      <xdr:nvGraphicFramePr>
        <xdr:cNvPr id="3"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838200</xdr:colOff>
      <xdr:row>77</xdr:row>
      <xdr:rowOff>76200</xdr:rowOff>
    </xdr:from>
    <xdr:to>
      <xdr:col>9</xdr:col>
      <xdr:colOff>0</xdr:colOff>
      <xdr:row>88</xdr:row>
      <xdr:rowOff>161925</xdr:rowOff>
    </xdr:to>
    <xdr:graphicFrame macro="">
      <xdr:nvGraphicFramePr>
        <xdr:cNvPr id="4"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257175</xdr:colOff>
      <xdr:row>172</xdr:row>
      <xdr:rowOff>0</xdr:rowOff>
    </xdr:from>
    <xdr:to>
      <xdr:col>3</xdr:col>
      <xdr:colOff>666750</xdr:colOff>
      <xdr:row>177</xdr:row>
      <xdr:rowOff>9525</xdr:rowOff>
    </xdr:to>
    <xdr:sp macro="" textlink="" fLocksText="0">
      <xdr:nvSpPr>
        <xdr:cNvPr id="5" name="ZoneTexte 1"/>
        <xdr:cNvSpPr>
          <a:spLocks noChangeArrowheads="1"/>
        </xdr:cNvSpPr>
      </xdr:nvSpPr>
      <xdr:spPr bwMode="auto">
        <a:xfrm>
          <a:off x="257175" y="35804475"/>
          <a:ext cx="5295900" cy="1104900"/>
        </a:xfrm>
        <a:prstGeom prst="rect">
          <a:avLst/>
        </a:prstGeom>
        <a:solidFill>
          <a:schemeClr val="tx2">
            <a:lumMod val="40000"/>
            <a:lumOff val="60000"/>
          </a:schemeClr>
        </a:solidFill>
        <a:ln w="9360" cap="flat">
          <a:solidFill>
            <a:srgbClr val="BCBCBC"/>
          </a:solidFill>
          <a:round/>
          <a:headEnd/>
          <a:tailEnd/>
        </a:ln>
        <a:effectLst/>
        <a:extLst/>
      </xdr:spPr>
      <xdr:txBody>
        <a:bodyPr vertOverflow="clip" wrap="square" lIns="90000" tIns="45000" rIns="90000" bIns="45000" anchor="t"/>
        <a:lstStyle/>
        <a:p>
          <a:pPr algn="l" rtl="0">
            <a:defRPr sz="1000"/>
          </a:pPr>
          <a:r>
            <a:rPr lang="fr-FR" sz="1100" b="0" i="0" u="none" strike="noStrike" baseline="0">
              <a:solidFill>
                <a:srgbClr val="2F2B20"/>
              </a:solidFill>
              <a:latin typeface="Calibri"/>
            </a:rPr>
            <a:t>On remarque que le médicament dont le TRI le moins élevé est le MED II (10%). </a:t>
          </a:r>
        </a:p>
        <a:p>
          <a:pPr algn="l" rtl="0">
            <a:defRPr sz="1000"/>
          </a:pPr>
          <a:r>
            <a:rPr lang="fr-FR" sz="1100" b="0" i="0" u="none" strike="noStrike" baseline="0">
              <a:solidFill>
                <a:srgbClr val="2F2B20"/>
              </a:solidFill>
              <a:latin typeface="Calibri"/>
            </a:rPr>
            <a:t>MED II dispose d'une VAN négative . C'est-à-dire  que nous ne dégagerions aucun bénéfice à son exploitation. C'est pourquoi il serait préférable de revendre les brevets afin d'être en mesure de rembourser notre investissement initial pour les recherches de ce médicament.</a:t>
          </a:r>
        </a:p>
        <a:p>
          <a:pPr algn="l" rtl="0">
            <a:defRPr sz="1000"/>
          </a:pPr>
          <a:endParaRPr lang="fr-FR"/>
        </a:p>
      </xdr:txBody>
    </xdr:sp>
    <xdr:clientData/>
  </xdr:twoCellAnchor>
  <xdr:twoCellAnchor>
    <xdr:from>
      <xdr:col>7</xdr:col>
      <xdr:colOff>476249</xdr:colOff>
      <xdr:row>202</xdr:row>
      <xdr:rowOff>66675</xdr:rowOff>
    </xdr:from>
    <xdr:to>
      <xdr:col>13</xdr:col>
      <xdr:colOff>9524</xdr:colOff>
      <xdr:row>217</xdr:row>
      <xdr:rowOff>95250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1</xdr:row>
      <xdr:rowOff>95250</xdr:rowOff>
    </xdr:from>
    <xdr:to>
      <xdr:col>20</xdr:col>
      <xdr:colOff>514349</xdr:colOff>
      <xdr:row>23</xdr:row>
      <xdr:rowOff>95250</xdr:rowOff>
    </xdr:to>
    <xdr:sp macro="" textlink="" fLocksText="0">
      <xdr:nvSpPr>
        <xdr:cNvPr id="2" name="ZoneTexte 1"/>
        <xdr:cNvSpPr>
          <a:spLocks noChangeArrowheads="1"/>
        </xdr:cNvSpPr>
      </xdr:nvSpPr>
      <xdr:spPr bwMode="auto">
        <a:xfrm>
          <a:off x="9524" y="285750"/>
          <a:ext cx="12696825" cy="4191000"/>
        </a:xfrm>
        <a:prstGeom prst="rect">
          <a:avLst/>
        </a:prstGeom>
        <a:solidFill>
          <a:srgbClr val="FFFFFF"/>
        </a:solidFill>
        <a:ln w="9360" cap="flat">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fr-FR" sz="1100" b="0" i="0" u="none" strike="noStrike" baseline="0">
              <a:solidFill>
                <a:srgbClr val="2F2B20"/>
              </a:solidFill>
              <a:latin typeface="Calibri"/>
            </a:rPr>
            <a:t> </a:t>
          </a:r>
        </a:p>
        <a:p>
          <a:pPr algn="l" rtl="0">
            <a:defRPr sz="1000"/>
          </a:pPr>
          <a:r>
            <a:rPr lang="fr-FR" sz="1400" b="1" i="1" u="none" strike="noStrike" baseline="0">
              <a:solidFill>
                <a:schemeClr val="tx2">
                  <a:lumMod val="60000"/>
                  <a:lumOff val="40000"/>
                </a:schemeClr>
              </a:solidFill>
              <a:latin typeface="Calibri"/>
            </a:rPr>
            <a:t>Emprunt bancaire</a:t>
          </a:r>
          <a:r>
            <a:rPr lang="fr-FR" sz="1400" b="0" i="1" u="none" strike="noStrike" baseline="0">
              <a:solidFill>
                <a:schemeClr val="tx2">
                  <a:lumMod val="60000"/>
                  <a:lumOff val="40000"/>
                </a:schemeClr>
              </a:solidFill>
              <a:latin typeface="Calibri"/>
            </a:rPr>
            <a:t> </a:t>
          </a:r>
        </a:p>
        <a:p>
          <a:pPr algn="l" rtl="0">
            <a:defRPr sz="1000"/>
          </a:pPr>
          <a:r>
            <a:rPr lang="fr-FR" sz="1100" b="1" i="0" u="none" strike="noStrike" baseline="0">
              <a:solidFill>
                <a:srgbClr val="2F2B20"/>
              </a:solidFill>
              <a:latin typeface="Calibri"/>
            </a:rPr>
            <a:t>Avantages : </a:t>
          </a:r>
          <a:r>
            <a:rPr lang="fr-FR" sz="1100" b="0" i="0" u="none" strike="noStrike" baseline="0">
              <a:solidFill>
                <a:srgbClr val="2F2B20"/>
              </a:solidFill>
              <a:latin typeface="Calibri"/>
            </a:rPr>
            <a:t>Pas de dilution du pouvoir des actionnaires, amélioration des ratios d’endettements qui permettent d’absorber les nouveaux emprunts et cela nous permettra de bénéficier des effets de levier </a:t>
          </a:r>
        </a:p>
        <a:p>
          <a:pPr algn="l" rtl="0">
            <a:defRPr sz="1000"/>
          </a:pPr>
          <a:r>
            <a:rPr lang="fr-FR" sz="1100" b="1" i="0" u="none" strike="noStrike" baseline="0">
              <a:solidFill>
                <a:srgbClr val="2F2B20"/>
              </a:solidFill>
              <a:latin typeface="Calibri"/>
            </a:rPr>
            <a:t>Inconvénients : </a:t>
          </a:r>
          <a:r>
            <a:rPr lang="fr-FR" sz="1100" b="0" i="0" u="none" strike="noStrike" baseline="0">
              <a:solidFill>
                <a:srgbClr val="2F2B20"/>
              </a:solidFill>
              <a:latin typeface="Calibri"/>
            </a:rPr>
            <a:t>L'emprunt ne pourra pas couvrir l'ensemble du décalage en trésorerie (120 M€ contre plus de 500M€)</a:t>
          </a:r>
        </a:p>
        <a:p>
          <a:pPr algn="l" rtl="0">
            <a:defRPr sz="1000"/>
          </a:pPr>
          <a:r>
            <a:rPr lang="fr-FR" sz="1100" b="0" i="0" u="none" strike="noStrike" baseline="0">
              <a:solidFill>
                <a:srgbClr val="2F2B20"/>
              </a:solidFill>
              <a:latin typeface="Calibri"/>
            </a:rPr>
            <a:t> </a:t>
          </a:r>
        </a:p>
        <a:p>
          <a:pPr algn="l" rtl="0">
            <a:defRPr sz="1000"/>
          </a:pPr>
          <a:r>
            <a:rPr lang="fr-FR" sz="1400" b="1" i="1" u="none" strike="noStrike" baseline="0">
              <a:solidFill>
                <a:schemeClr val="tx2">
                  <a:lumMod val="60000"/>
                  <a:lumOff val="40000"/>
                </a:schemeClr>
              </a:solidFill>
              <a:latin typeface="Calibri"/>
            </a:rPr>
            <a:t>Augmentation de capital</a:t>
          </a:r>
        </a:p>
        <a:p>
          <a:pPr algn="l" rtl="0">
            <a:defRPr sz="1000"/>
          </a:pPr>
          <a:r>
            <a:rPr lang="fr-FR" sz="1100" b="1" i="0" u="none" strike="noStrike" baseline="0">
              <a:solidFill>
                <a:srgbClr val="2F2B20"/>
              </a:solidFill>
              <a:latin typeface="Calibri"/>
            </a:rPr>
            <a:t>Avantages:</a:t>
          </a:r>
          <a:r>
            <a:rPr lang="fr-FR" sz="1100" b="0" i="0" u="none" strike="noStrike" baseline="0">
              <a:solidFill>
                <a:srgbClr val="2F2B20"/>
              </a:solidFill>
              <a:latin typeface="Calibri"/>
            </a:rPr>
            <a:t>  Accès plus facile au financement que l'emprunt bancaire.</a:t>
          </a:r>
        </a:p>
        <a:p>
          <a:pPr algn="l" rtl="0">
            <a:defRPr sz="1000"/>
          </a:pPr>
          <a:r>
            <a:rPr lang="fr-FR" sz="1100" b="1" i="0" u="none" strike="noStrike" baseline="0">
              <a:solidFill>
                <a:srgbClr val="2F2B20"/>
              </a:solidFill>
              <a:latin typeface="Calibri"/>
            </a:rPr>
            <a:t>Inconvénients: </a:t>
          </a:r>
          <a:r>
            <a:rPr lang="fr-FR" sz="1100" b="0" i="0" u="none" strike="noStrike" baseline="0">
              <a:solidFill>
                <a:srgbClr val="2F2B20"/>
              </a:solidFill>
              <a:latin typeface="Calibri"/>
            </a:rPr>
            <a:t>dilution du pouvoir des actionnaires, diminution du ratio de rentabilité financière</a:t>
          </a:r>
        </a:p>
        <a:p>
          <a:pPr algn="l" rtl="0">
            <a:defRPr sz="1000"/>
          </a:pPr>
          <a:endParaRPr lang="fr-FR" sz="1100" b="0" i="0" u="none" strike="noStrike" baseline="0">
            <a:solidFill>
              <a:srgbClr val="2F2B20"/>
            </a:solidFill>
            <a:latin typeface="Calibri"/>
          </a:endParaRPr>
        </a:p>
        <a:p>
          <a:pPr algn="l" rtl="0">
            <a:defRPr sz="1000"/>
          </a:pPr>
          <a:endParaRPr lang="fr-FR" sz="1100" b="0" i="0" u="none" strike="noStrike" baseline="0">
            <a:solidFill>
              <a:srgbClr val="2F2B20"/>
            </a:solidFill>
            <a:latin typeface="Calibri"/>
          </a:endParaRPr>
        </a:p>
        <a:p>
          <a:pPr algn="l" rtl="0">
            <a:defRPr sz="1000"/>
          </a:pPr>
          <a:r>
            <a:rPr lang="fr-FR" sz="1400" b="1" i="1" u="none" strike="noStrike" baseline="0">
              <a:solidFill>
                <a:schemeClr val="tx2">
                  <a:lumMod val="60000"/>
                  <a:lumOff val="40000"/>
                </a:schemeClr>
              </a:solidFill>
              <a:latin typeface="Calibri"/>
            </a:rPr>
            <a:t>Financement mixte </a:t>
          </a:r>
        </a:p>
        <a:p>
          <a:pPr algn="l" rtl="0">
            <a:defRPr sz="1000"/>
          </a:pPr>
          <a:r>
            <a:rPr lang="fr-FR" sz="1100" b="1" i="0" u="none" strike="noStrike" baseline="0">
              <a:solidFill>
                <a:srgbClr val="2F2B20"/>
              </a:solidFill>
              <a:latin typeface="Calibri"/>
            </a:rPr>
            <a:t>Avantages : </a:t>
          </a:r>
          <a:r>
            <a:rPr lang="fr-FR" sz="1100" b="0" i="0" u="none" strike="noStrike" baseline="0">
              <a:solidFill>
                <a:srgbClr val="2F2B20"/>
              </a:solidFill>
              <a:latin typeface="Calibri"/>
            </a:rPr>
            <a:t>Dilution moindre du pouvoir des actionnaires</a:t>
          </a:r>
        </a:p>
        <a:p>
          <a:pPr algn="l" rtl="0">
            <a:defRPr sz="1000"/>
          </a:pPr>
          <a:r>
            <a:rPr lang="fr-FR" sz="1100" b="1" i="0" u="none" strike="noStrike" baseline="0">
              <a:solidFill>
                <a:srgbClr val="2F2B20"/>
              </a:solidFill>
              <a:latin typeface="Calibri"/>
            </a:rPr>
            <a:t>Inconvénients : </a:t>
          </a:r>
          <a:r>
            <a:rPr lang="fr-FR" sz="1100" b="0" i="0" u="none" strike="noStrike" baseline="0">
              <a:solidFill>
                <a:srgbClr val="2F2B20"/>
              </a:solidFill>
              <a:latin typeface="Calibri"/>
            </a:rPr>
            <a:t>Dégradation du ratio de rentabilité financière car augmentation des capitaux propres.</a:t>
          </a:r>
        </a:p>
        <a:p>
          <a:pPr algn="l" rtl="0">
            <a:defRPr sz="1000"/>
          </a:pPr>
          <a:endParaRPr lang="fr-FR" sz="1100" b="0" i="0" u="none" strike="noStrike" baseline="0">
            <a:solidFill>
              <a:srgbClr val="2F2B20"/>
            </a:solidFill>
            <a:latin typeface="Calibri"/>
          </a:endParaRPr>
        </a:p>
        <a:p>
          <a:pPr algn="l" rtl="0">
            <a:defRPr sz="1000"/>
          </a:pPr>
          <a:endParaRPr lang="fr-FR" sz="1100" b="0" i="0" u="none" strike="noStrike" baseline="0">
            <a:solidFill>
              <a:srgbClr val="2F2B20"/>
            </a:solidFill>
            <a:latin typeface="Calibri"/>
          </a:endParaRPr>
        </a:p>
        <a:p>
          <a:pPr algn="l" rtl="0">
            <a:defRPr sz="1000"/>
          </a:pPr>
          <a:r>
            <a:rPr lang="fr-FR" sz="1400" b="1" i="1" u="none" strike="noStrike" baseline="0">
              <a:solidFill>
                <a:schemeClr val="tx2">
                  <a:lumMod val="60000"/>
                  <a:lumOff val="40000"/>
                </a:schemeClr>
              </a:solidFill>
              <a:latin typeface="Calibri"/>
            </a:rPr>
            <a:t>Revente d'un projet</a:t>
          </a:r>
        </a:p>
        <a:p>
          <a:pPr algn="l" rtl="0">
            <a:defRPr sz="1000"/>
          </a:pPr>
          <a:r>
            <a:rPr lang="fr-FR" sz="1100" b="0" i="0" u="none" strike="noStrike" baseline="0">
              <a:solidFill>
                <a:srgbClr val="2F2B20"/>
              </a:solidFill>
              <a:latin typeface="Calibri"/>
            </a:rPr>
            <a:t>On revend le projet dont la VAN est négative, en effet ce dernier ne dégagerait pas de bénéfices.</a:t>
          </a:r>
        </a:p>
        <a:p>
          <a:pPr algn="l" rtl="0">
            <a:defRPr sz="1000"/>
          </a:pPr>
          <a:endParaRPr lang="fr-FR" sz="1100" b="0" i="0" u="none" strike="noStrike" baseline="0">
            <a:solidFill>
              <a:srgbClr val="2F2B20"/>
            </a:solidFill>
            <a:latin typeface="Calibri"/>
          </a:endParaRPr>
        </a:p>
        <a:p>
          <a:pPr algn="l" rtl="0">
            <a:defRPr sz="1000"/>
          </a:pPr>
          <a:r>
            <a:rPr lang="fr-FR" sz="1100" b="0" i="0" u="none" strike="noStrike" baseline="0">
              <a:solidFill>
                <a:srgbClr val="2F2B20"/>
              </a:solidFill>
              <a:latin typeface="+mn-lt"/>
            </a:rPr>
            <a:t>- Pour limiter le besoin en trésorerie, nous pourrions mettre en place une/des Joint Venture avec le Groupe Pfizer qui dispose de cash suffisant pour financer une partie du projet.  </a:t>
          </a:r>
        </a:p>
        <a:p>
          <a:pPr algn="l" rtl="0">
            <a:defRPr sz="1000"/>
          </a:pPr>
          <a:r>
            <a:rPr lang="fr-FR" sz="1100" b="0" i="0" u="none" strike="noStrike" baseline="0">
              <a:solidFill>
                <a:srgbClr val="2F2B20"/>
              </a:solidFill>
              <a:latin typeface="+mn-lt"/>
              <a:ea typeface="+mn-ea"/>
              <a:cs typeface="+mn-cs"/>
            </a:rPr>
            <a:t>Ainsi nous proposons en premier lieu de financer Med 1 de cette manière, puisque c'est le projet qui est le plus cher à développer.</a:t>
          </a:r>
        </a:p>
        <a:p>
          <a:pPr algn="l" rtl="0">
            <a:defRPr sz="1000"/>
          </a:pPr>
          <a:endParaRPr lang="fr-FR" sz="1100" b="0" i="0" u="none" strike="noStrike" baseline="0">
            <a:solidFill>
              <a:srgbClr val="2F2B20"/>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ine%20Sd\Downloads\Hormopharm%20cours%20en%20bourse%2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ine%20Sd\Downloads\Cas%20Hormopharm%20PA%201%20b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lex\Downloads\Cas%20Hormopharm%20Td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ine%20Sd\Downloads\Hormopharm%20-%20FINAL%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rs en bourse"/>
      <sheetName val="Tx actualisation"/>
    </sheetNames>
    <sheetDataSet>
      <sheetData sheetId="0"/>
      <sheetData sheetId="1">
        <row r="2">
          <cell r="K2">
            <v>2.7040666666666668E-2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Chances de réussites"/>
      <sheetName val="Sheet3"/>
      <sheetName val="Cours en bourse"/>
      <sheetName val="Tx actualisation"/>
      <sheetName val="Scénario 1"/>
      <sheetName val="Scénario 2"/>
      <sheetName val="Scénario 3"/>
    </sheetNames>
    <sheetDataSet>
      <sheetData sheetId="0">
        <row r="5">
          <cell r="G5">
            <v>3</v>
          </cell>
          <cell r="H5">
            <v>0</v>
          </cell>
        </row>
        <row r="6">
          <cell r="G6">
            <v>12</v>
          </cell>
          <cell r="H6">
            <v>0</v>
          </cell>
        </row>
        <row r="7">
          <cell r="G7">
            <v>11</v>
          </cell>
          <cell r="H7">
            <v>8</v>
          </cell>
        </row>
        <row r="8">
          <cell r="G8">
            <v>0</v>
          </cell>
          <cell r="H8">
            <v>12</v>
          </cell>
        </row>
        <row r="9">
          <cell r="D9">
            <v>0.4</v>
          </cell>
          <cell r="G9">
            <v>0</v>
          </cell>
          <cell r="H9">
            <v>9</v>
          </cell>
        </row>
        <row r="10">
          <cell r="G10">
            <v>26</v>
          </cell>
          <cell r="H10">
            <v>29</v>
          </cell>
        </row>
        <row r="14">
          <cell r="F14">
            <v>67200</v>
          </cell>
          <cell r="G14">
            <v>112200</v>
          </cell>
        </row>
        <row r="15">
          <cell r="F15">
            <v>73000</v>
          </cell>
          <cell r="G15">
            <v>97400</v>
          </cell>
        </row>
        <row r="23">
          <cell r="E23">
            <v>6190.3448275862074</v>
          </cell>
        </row>
        <row r="31">
          <cell r="E31">
            <v>9285.5172413793098</v>
          </cell>
        </row>
        <row r="46">
          <cell r="B46">
            <v>4126.8965517241386</v>
          </cell>
        </row>
        <row r="53">
          <cell r="E53">
            <v>5373.7931034482763</v>
          </cell>
        </row>
        <row r="60">
          <cell r="E60">
            <v>8060.6896551724149</v>
          </cell>
        </row>
        <row r="76">
          <cell r="B76">
            <v>3582.5287356321842</v>
          </cell>
        </row>
      </sheetData>
      <sheetData sheetId="1"/>
      <sheetData sheetId="2"/>
      <sheetData sheetId="3">
        <row r="26">
          <cell r="J26">
            <v>0.11245834671835075</v>
          </cell>
        </row>
      </sheetData>
      <sheetData sheetId="4"/>
      <sheetData sheetId="5"/>
      <sheetData sheetId="6">
        <row r="2">
          <cell r="B2">
            <v>0</v>
          </cell>
          <cell r="C2">
            <v>1</v>
          </cell>
          <cell r="D2">
            <v>2</v>
          </cell>
          <cell r="E2">
            <v>3</v>
          </cell>
          <cell r="F2">
            <v>4</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Chances de réussites"/>
      <sheetName val="Cours en bourse"/>
      <sheetName val="Tx actualisation"/>
      <sheetName val="Scénario 1"/>
      <sheetName val="Scénario 2"/>
      <sheetName val="Scénario 3"/>
      <sheetName val="Choix de sous-traitant "/>
      <sheetName val="Recommandation"/>
      <sheetName val="VAN d'exploitation "/>
      <sheetName val="Scénarios d'exploitation (2)"/>
      <sheetName val="Scénarios d'exploitation"/>
      <sheetName val="OVAR"/>
      <sheetName val="TdB R&amp;D"/>
      <sheetName val="TdB Exploitation"/>
      <sheetName val="Dossier 4"/>
      <sheetName val="Dossier 5 "/>
      <sheetName val="Scénarios "/>
      <sheetName val="Trésorerie"/>
      <sheetName val="Valeur de l'action"/>
      <sheetName val="Politique de financement"/>
      <sheetName val="Offre Pfizer"/>
      <sheetName val="Recommend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3">
          <cell r="AC23" t="str">
            <v>Hormopharm</v>
          </cell>
          <cell r="AD23" t="str">
            <v>Concurrent 1</v>
          </cell>
          <cell r="AE23" t="str">
            <v>Concurrent 2</v>
          </cell>
          <cell r="AF23" t="str">
            <v>Concurrent 3</v>
          </cell>
        </row>
        <row r="24">
          <cell r="AB24">
            <v>2014</v>
          </cell>
          <cell r="AC24">
            <v>20</v>
          </cell>
          <cell r="AD24">
            <v>29</v>
          </cell>
          <cell r="AE24">
            <v>23</v>
          </cell>
          <cell r="AF24">
            <v>28</v>
          </cell>
        </row>
        <row r="25">
          <cell r="AB25">
            <v>2015</v>
          </cell>
          <cell r="AC25">
            <v>25</v>
          </cell>
          <cell r="AD25">
            <v>30</v>
          </cell>
          <cell r="AE25">
            <v>21</v>
          </cell>
          <cell r="AF25">
            <v>24</v>
          </cell>
        </row>
        <row r="26">
          <cell r="AB26">
            <v>2016</v>
          </cell>
          <cell r="AC26">
            <v>27</v>
          </cell>
          <cell r="AD26">
            <v>29</v>
          </cell>
          <cell r="AE26">
            <v>20</v>
          </cell>
          <cell r="AF26">
            <v>24</v>
          </cell>
        </row>
        <row r="27">
          <cell r="AB27">
            <v>2017</v>
          </cell>
          <cell r="AC27">
            <v>29</v>
          </cell>
          <cell r="AD27">
            <v>31</v>
          </cell>
          <cell r="AE27">
            <v>22</v>
          </cell>
          <cell r="AF27">
            <v>18</v>
          </cell>
        </row>
        <row r="28">
          <cell r="AB28">
            <v>2018</v>
          </cell>
          <cell r="AC28">
            <v>30</v>
          </cell>
          <cell r="AD28">
            <v>33</v>
          </cell>
          <cell r="AE28">
            <v>20</v>
          </cell>
          <cell r="AF28">
            <v>17</v>
          </cell>
        </row>
        <row r="29">
          <cell r="AB29">
            <v>2019</v>
          </cell>
          <cell r="AC29">
            <v>32</v>
          </cell>
          <cell r="AD29">
            <v>32</v>
          </cell>
          <cell r="AE29">
            <v>26</v>
          </cell>
          <cell r="AF29">
            <v>10</v>
          </cell>
        </row>
        <row r="30">
          <cell r="AB30">
            <v>2020</v>
          </cell>
          <cell r="AC30">
            <v>32</v>
          </cell>
          <cell r="AD30">
            <v>30</v>
          </cell>
          <cell r="AE30">
            <v>19</v>
          </cell>
          <cell r="AF30">
            <v>19</v>
          </cell>
        </row>
        <row r="31">
          <cell r="AB31">
            <v>2021</v>
          </cell>
          <cell r="AC31">
            <v>34</v>
          </cell>
          <cell r="AD31">
            <v>29</v>
          </cell>
          <cell r="AE31">
            <v>17</v>
          </cell>
          <cell r="AF31">
            <v>20</v>
          </cell>
        </row>
        <row r="32">
          <cell r="AB32">
            <v>2022</v>
          </cell>
          <cell r="AC32">
            <v>35</v>
          </cell>
          <cell r="AD32">
            <v>30</v>
          </cell>
          <cell r="AE32">
            <v>20</v>
          </cell>
          <cell r="AF32">
            <v>15</v>
          </cell>
        </row>
        <row r="33">
          <cell r="AB33">
            <v>2023</v>
          </cell>
          <cell r="AC33">
            <v>33</v>
          </cell>
          <cell r="AD33">
            <v>31</v>
          </cell>
          <cell r="AE33">
            <v>18</v>
          </cell>
          <cell r="AF33">
            <v>18</v>
          </cell>
        </row>
        <row r="34">
          <cell r="AB34">
            <v>2024</v>
          </cell>
          <cell r="AC34">
            <v>37</v>
          </cell>
          <cell r="AD34">
            <v>30</v>
          </cell>
          <cell r="AE34">
            <v>16</v>
          </cell>
          <cell r="AF34">
            <v>17</v>
          </cell>
        </row>
      </sheetData>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enarii"/>
      <sheetName val="Scénario 1"/>
      <sheetName val="Scénario 2 "/>
      <sheetName val="Scénario 3"/>
      <sheetName val="Historique OAT"/>
      <sheetName val="Taux d'actualisation"/>
      <sheetName val="Choix du Fournisseur"/>
      <sheetName val="Scénarios"/>
      <sheetName val="Cash flows"/>
      <sheetName val="Ovar"/>
      <sheetName val="TdB R&amp;D"/>
      <sheetName val="TdB Exploitation"/>
      <sheetName val="Dossier 4"/>
      <sheetName val="Option de financement"/>
      <sheetName val="Scénario dossier 5"/>
      <sheetName val="Tréso"/>
      <sheetName val="Valeur de l'action"/>
      <sheetName val="Politique de financement"/>
      <sheetName val="Offre Sanofi"/>
      <sheetName val="Analyse rentabilité des MED"/>
      <sheetName val="Hormopharm - FINAL 2.xls"/>
      <sheetName val="Hormopharm - FINAL 2"/>
    </sheetNames>
    <definedNames>
      <definedName name="ACCEUIL"/>
      <definedName name="OPTIONFINANC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4">
          <cell r="C24">
            <v>-4.6523076923076925</v>
          </cell>
          <cell r="D24">
            <v>-16.730245121871008</v>
          </cell>
          <cell r="E24">
            <v>-37.470183940449651</v>
          </cell>
          <cell r="F24">
            <v>-29.238147042758506</v>
          </cell>
          <cell r="G24">
            <v>-16.883669865676229</v>
          </cell>
          <cell r="H24">
            <v>5.2717190445193616</v>
          </cell>
          <cell r="I24">
            <v>4.7394302817864542</v>
          </cell>
          <cell r="J24">
            <v>3.4772756366300466</v>
          </cell>
          <cell r="K24">
            <v>1.1888263311787912</v>
          </cell>
        </row>
        <row r="25">
          <cell r="C25">
            <v>0</v>
          </cell>
          <cell r="D25">
            <v>0</v>
          </cell>
          <cell r="E25">
            <v>0</v>
          </cell>
          <cell r="F25">
            <v>0</v>
          </cell>
          <cell r="G25">
            <v>-13.369095209150121</v>
          </cell>
          <cell r="H25">
            <v>32.956816369460412</v>
          </cell>
          <cell r="I25">
            <v>30.277725799598755</v>
          </cell>
          <cell r="J25">
            <v>28.391687540845247</v>
          </cell>
          <cell r="K25">
            <v>26.101148770897222</v>
          </cell>
          <cell r="L25">
            <v>24.460546326753949</v>
          </cell>
          <cell r="M25">
            <v>22.501312267636575</v>
          </cell>
          <cell r="N25">
            <v>21.075103955907377</v>
          </cell>
          <cell r="O25">
            <v>19.39852016346715</v>
          </cell>
          <cell r="P25">
            <v>18.159403383341502</v>
          </cell>
          <cell r="Q25">
            <v>16.724090574031035</v>
          </cell>
          <cell r="R25">
            <v>22.445821416149265</v>
          </cell>
        </row>
        <row r="222">
          <cell r="C222">
            <v>-4.6523076923076925</v>
          </cell>
          <cell r="D222">
            <v>-16.730245121871008</v>
          </cell>
          <cell r="E222">
            <v>-37.470183940449651</v>
          </cell>
          <cell r="F222">
            <v>-29.238147042758506</v>
          </cell>
          <cell r="G222">
            <v>-16.883669865676229</v>
          </cell>
          <cell r="H222">
            <v>5.2717190445193616</v>
          </cell>
          <cell r="I222">
            <v>4.7394302817864542</v>
          </cell>
          <cell r="J222">
            <v>3.4772756366300466</v>
          </cell>
          <cell r="K222">
            <v>1.1888263311787912</v>
          </cell>
          <cell r="L222">
            <v>0</v>
          </cell>
          <cell r="M222">
            <v>0</v>
          </cell>
          <cell r="N222">
            <v>0</v>
          </cell>
          <cell r="O222">
            <v>0</v>
          </cell>
          <cell r="P222">
            <v>0</v>
          </cell>
          <cell r="Q222">
            <v>0</v>
          </cell>
          <cell r="R222">
            <v>0</v>
          </cell>
        </row>
        <row r="223">
          <cell r="C223">
            <v>0</v>
          </cell>
          <cell r="D223">
            <v>0</v>
          </cell>
          <cell r="E223">
            <v>0</v>
          </cell>
          <cell r="F223">
            <v>0</v>
          </cell>
          <cell r="G223">
            <v>-13.369095209150121</v>
          </cell>
          <cell r="H223">
            <v>32.956816369460412</v>
          </cell>
          <cell r="I223">
            <v>30.277725799598755</v>
          </cell>
          <cell r="J223">
            <v>28.391687540845247</v>
          </cell>
          <cell r="K223">
            <v>26.101148770897222</v>
          </cell>
          <cell r="L223">
            <v>24.460546326753949</v>
          </cell>
          <cell r="M223">
            <v>22.501312267636575</v>
          </cell>
          <cell r="N223">
            <v>21.075103955907377</v>
          </cell>
          <cell r="O223">
            <v>19.39852016346715</v>
          </cell>
          <cell r="P223">
            <v>18.159403383341502</v>
          </cell>
          <cell r="Q223">
            <v>16.724090574031035</v>
          </cell>
          <cell r="R223">
            <v>22.445821416149265</v>
          </cell>
        </row>
      </sheetData>
      <sheetData sheetId="16">
        <row r="13">
          <cell r="D13" t="str">
            <v>Hypothèse 2: Worst case plus élevée financement</v>
          </cell>
        </row>
      </sheetData>
      <sheetData sheetId="17"/>
      <sheetData sheetId="18">
        <row r="16">
          <cell r="B16" t="str">
            <v>Interne</v>
          </cell>
          <cell r="D16" t="str">
            <v>Privé</v>
          </cell>
          <cell r="F16" t="str">
            <v>Public</v>
          </cell>
        </row>
        <row r="17">
          <cell r="A17">
            <v>1954</v>
          </cell>
          <cell r="C17">
            <v>1</v>
          </cell>
          <cell r="E17">
            <v>0</v>
          </cell>
          <cell r="G17">
            <v>0</v>
          </cell>
        </row>
        <row r="18">
          <cell r="A18">
            <v>1958</v>
          </cell>
          <cell r="C18">
            <v>1</v>
          </cell>
          <cell r="E18">
            <v>0</v>
          </cell>
          <cell r="G18">
            <v>0</v>
          </cell>
        </row>
        <row r="19">
          <cell r="A19">
            <v>1960</v>
          </cell>
          <cell r="C19">
            <v>1</v>
          </cell>
          <cell r="E19">
            <v>0</v>
          </cell>
          <cell r="G19">
            <v>0</v>
          </cell>
        </row>
        <row r="20">
          <cell r="A20">
            <v>1965</v>
          </cell>
          <cell r="C20">
            <v>1</v>
          </cell>
          <cell r="E20">
            <v>0</v>
          </cell>
          <cell r="G20">
            <v>0</v>
          </cell>
        </row>
        <row r="21">
          <cell r="A21">
            <v>1970</v>
          </cell>
          <cell r="C21">
            <v>1</v>
          </cell>
          <cell r="E21">
            <v>0</v>
          </cell>
          <cell r="G21">
            <v>0</v>
          </cell>
        </row>
        <row r="22">
          <cell r="A22">
            <v>1974</v>
          </cell>
          <cell r="C22">
            <v>1.7312448474855729E-2</v>
          </cell>
          <cell r="E22">
            <v>0.98268755152514431</v>
          </cell>
          <cell r="G22">
            <v>0</v>
          </cell>
        </row>
        <row r="23">
          <cell r="A23">
            <v>1975</v>
          </cell>
          <cell r="C23">
            <v>1.2605042016806723E-2</v>
          </cell>
          <cell r="E23">
            <v>0.98739495798319332</v>
          </cell>
          <cell r="G23">
            <v>0</v>
          </cell>
        </row>
        <row r="24">
          <cell r="A24">
            <v>1976</v>
          </cell>
          <cell r="C24">
            <v>3.5460992907801418E-3</v>
          </cell>
          <cell r="E24">
            <v>0.99645390070921991</v>
          </cell>
          <cell r="G24">
            <v>0</v>
          </cell>
        </row>
        <row r="25">
          <cell r="A25">
            <v>1977</v>
          </cell>
          <cell r="C25">
            <v>4.1493775933609959E-3</v>
          </cell>
          <cell r="E25">
            <v>0.99585062240663902</v>
          </cell>
          <cell r="G25">
            <v>0</v>
          </cell>
        </row>
        <row r="26">
          <cell r="A26">
            <v>1978</v>
          </cell>
          <cell r="C26">
            <v>9.4677046076162424E-3</v>
          </cell>
          <cell r="E26">
            <v>0.99053229539238374</v>
          </cell>
          <cell r="G26">
            <v>0</v>
          </cell>
        </row>
        <row r="27">
          <cell r="A27">
            <v>1980</v>
          </cell>
          <cell r="C27">
            <v>7.7301475755446238E-3</v>
          </cell>
          <cell r="E27">
            <v>0.99226985242445542</v>
          </cell>
          <cell r="G27">
            <v>0</v>
          </cell>
        </row>
        <row r="28">
          <cell r="A28">
            <v>1986</v>
          </cell>
          <cell r="C28">
            <v>6.2239144760928462E-3</v>
          </cell>
          <cell r="E28">
            <v>0.99377608552390717</v>
          </cell>
          <cell r="G28">
            <v>0</v>
          </cell>
        </row>
        <row r="29">
          <cell r="A29">
            <v>1990</v>
          </cell>
          <cell r="C29">
            <v>0</v>
          </cell>
          <cell r="E29">
            <v>1</v>
          </cell>
          <cell r="G29">
            <v>0</v>
          </cell>
        </row>
        <row r="30">
          <cell r="A30">
            <v>1991</v>
          </cell>
          <cell r="C30">
            <v>9.0725332581206228E-3</v>
          </cell>
          <cell r="E30">
            <v>0.24381453799025368</v>
          </cell>
          <cell r="G30">
            <v>0.74711292875162572</v>
          </cell>
        </row>
        <row r="31">
          <cell r="A31">
            <v>1993</v>
          </cell>
          <cell r="C31">
            <v>1</v>
          </cell>
          <cell r="E31">
            <v>0</v>
          </cell>
          <cell r="G31">
            <v>0</v>
          </cell>
        </row>
        <row r="32">
          <cell r="A32">
            <v>1995</v>
          </cell>
          <cell r="C32">
            <v>1</v>
          </cell>
          <cell r="E32">
            <v>0</v>
          </cell>
          <cell r="G32">
            <v>0</v>
          </cell>
        </row>
        <row r="33">
          <cell r="A33">
            <v>1997</v>
          </cell>
          <cell r="C33">
            <v>5.3757088846880909E-3</v>
          </cell>
          <cell r="E33">
            <v>0</v>
          </cell>
          <cell r="G33">
            <v>0.99462429111531192</v>
          </cell>
        </row>
        <row r="34">
          <cell r="A34">
            <v>1998</v>
          </cell>
          <cell r="C34">
            <v>1</v>
          </cell>
          <cell r="E34">
            <v>0</v>
          </cell>
          <cell r="G34">
            <v>0</v>
          </cell>
        </row>
        <row r="35">
          <cell r="A35">
            <v>1999</v>
          </cell>
          <cell r="C35">
            <v>0</v>
          </cell>
          <cell r="E35">
            <v>0</v>
          </cell>
          <cell r="G35">
            <v>1</v>
          </cell>
        </row>
        <row r="36">
          <cell r="A36">
            <v>2000</v>
          </cell>
          <cell r="C36">
            <v>0</v>
          </cell>
          <cell r="E36">
            <v>0</v>
          </cell>
          <cell r="G36">
            <v>1</v>
          </cell>
        </row>
        <row r="37">
          <cell r="A37">
            <v>2001</v>
          </cell>
          <cell r="C37">
            <v>1</v>
          </cell>
          <cell r="E37">
            <v>0</v>
          </cell>
          <cell r="G37">
            <v>0</v>
          </cell>
        </row>
        <row r="38">
          <cell r="A38">
            <v>2003</v>
          </cell>
          <cell r="C38">
            <v>0</v>
          </cell>
          <cell r="E38">
            <v>0</v>
          </cell>
          <cell r="G38">
            <v>1</v>
          </cell>
        </row>
        <row r="39">
          <cell r="A39">
            <v>2005</v>
          </cell>
          <cell r="C39">
            <v>0</v>
          </cell>
          <cell r="E39">
            <v>0</v>
          </cell>
          <cell r="G39">
            <v>1</v>
          </cell>
        </row>
        <row r="78">
          <cell r="A78" t="str">
            <v>Interne</v>
          </cell>
          <cell r="B78">
            <v>730000</v>
          </cell>
          <cell r="C78">
            <v>4.5948216988881158E-2</v>
          </cell>
          <cell r="D78">
            <v>730000</v>
          </cell>
          <cell r="E78">
            <v>3.5614072680812459E-2</v>
          </cell>
        </row>
        <row r="79">
          <cell r="A79" t="str">
            <v>Privé</v>
          </cell>
          <cell r="B79">
            <v>6395000</v>
          </cell>
          <cell r="C79">
            <v>0.40251896937519865</v>
          </cell>
          <cell r="D79">
            <v>6395000</v>
          </cell>
          <cell r="E79">
            <v>0.31198903396410371</v>
          </cell>
        </row>
        <row r="80">
          <cell r="A80" t="str">
            <v>Public</v>
          </cell>
          <cell r="B80">
            <v>8762450</v>
          </cell>
          <cell r="C80">
            <v>0.55153281363592022</v>
          </cell>
          <cell r="D80">
            <v>13372515.309258547</v>
          </cell>
          <cell r="E80">
            <v>0.65239689335508388</v>
          </cell>
        </row>
      </sheetData>
      <sheetData sheetId="19"/>
      <sheetData sheetId="20"/>
      <sheetData sheetId="21" refreshError="1"/>
      <sheetData sheetId="22" refreshError="1"/>
    </sheetDataSet>
  </externalBook>
</externalLink>
</file>

<file path=xl/tables/table1.xml><?xml version="1.0" encoding="utf-8"?>
<table xmlns="http://schemas.openxmlformats.org/spreadsheetml/2006/main" id="7" name="Table7" displayName="Table7" ref="E4:G10" totalsRowShown="0" headerRowDxfId="130" dataDxfId="128" headerRowBorderDxfId="129" tableBorderDxfId="127">
  <autoFilter ref="E4:G10"/>
  <tableColumns count="3">
    <tableColumn id="1" name="Proratisation (en mois)" dataDxfId="126"/>
    <tableColumn id="2" name="Phase 2 " dataDxfId="125"/>
    <tableColumn id="3" name="Phase 3" dataDxfId="124"/>
  </tableColumns>
  <tableStyleInfo name="TableStyleMedium2" showFirstColumn="0" showLastColumn="0" showRowStripes="1" showColumnStripes="0"/>
</table>
</file>

<file path=xl/tables/table2.xml><?xml version="1.0" encoding="utf-8"?>
<table xmlns="http://schemas.openxmlformats.org/spreadsheetml/2006/main" id="8" name="Table8" displayName="Table8" ref="E12:G15" totalsRowShown="0" headerRowDxfId="123" dataDxfId="121" headerRowBorderDxfId="122" tableBorderDxfId="120">
  <tableColumns count="3">
    <tableColumn id="1" name="Montant des frais de R&amp;D (en K€)" dataDxfId="119"/>
    <tableColumn id="2" name="Column1" dataDxfId="118"/>
    <tableColumn id="3" name="Column2" dataDxfId="117"/>
  </tableColumns>
  <tableStyleInfo name="TableStyleMedium2" showFirstColumn="0" showLastColumn="0" showRowStripes="1" showColumnStripes="0"/>
</table>
</file>

<file path=xl/tables/table3.xml><?xml version="1.0" encoding="utf-8"?>
<table xmlns="http://schemas.openxmlformats.org/spreadsheetml/2006/main" id="9" name="Table9" displayName="Table9" ref="B12:C15" totalsRowShown="0" headerRowDxfId="116" dataDxfId="114" headerRowBorderDxfId="115" tableBorderDxfId="113">
  <autoFilter ref="B12:C15"/>
  <tableColumns count="2">
    <tableColumn id="1" name="Invest F1" dataDxfId="112"/>
    <tableColumn id="2" name="Invest F2" dataDxfId="111">
      <calculatedColumnFormula>+$G$15*G7/$G$10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6" name="Table6" displayName="Table6" ref="B3:C10" totalsRowShown="0" headerRowDxfId="110" dataDxfId="109">
  <tableColumns count="2">
    <tableColumn id="1" name="Données sur le marché" dataDxfId="108"/>
    <tableColumn id="3" name="Column2" dataDxfId="107"/>
  </tableColumns>
  <tableStyleInfo name="TableStyleMedium2" showFirstColumn="0" showLastColumn="0" showRowStripes="1" showColumnStripes="0"/>
</table>
</file>

<file path=xl/tables/table5.xml><?xml version="1.0" encoding="utf-8"?>
<table xmlns="http://schemas.openxmlformats.org/spreadsheetml/2006/main" id="10" name="Table10" displayName="Table10" ref="B21:F27" totalsRowShown="0" headerRowDxfId="106" dataDxfId="105" tableBorderDxfId="104">
  <tableColumns count="5">
    <tableColumn id="1" name="Investissement 2011" dataDxfId="103"/>
    <tableColumn id="2" name="Base amortissement" dataDxfId="102">
      <calculatedColumnFormula>+C21</calculatedColumnFormula>
    </tableColumn>
    <tableColumn id="3" name="Tx amortissement" dataDxfId="101"/>
    <tableColumn id="4" name="Amortissement" dataDxfId="100"/>
    <tableColumn id="5" name="Valeur fin de période" dataDxfId="99">
      <calculatedColumnFormula>+F21-E22</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11" name="Table11" displayName="Table11" ref="B36:F41" totalsRowShown="0" headerRowDxfId="98" dataDxfId="97">
  <tableColumns count="5">
    <tableColumn id="1" name="Investissement 2013" dataDxfId="96"/>
    <tableColumn id="2" name="Column1" dataDxfId="95">
      <calculatedColumnFormula>+$B$15</calculatedColumnFormula>
    </tableColumn>
    <tableColumn id="3" name="Column2" dataDxfId="94"/>
    <tableColumn id="4" name="Column3" dataDxfId="93">
      <calculatedColumnFormula>+D37*C37</calculatedColumnFormula>
    </tableColumn>
    <tableColumn id="5" name="Column4" dataDxfId="92">
      <calculatedColumnFormula>+F36-E37</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12" name="Table12" displayName="Table12" ref="B44:H46" totalsRowShown="0" headerRowDxfId="91" dataDxfId="90">
  <tableColumns count="7">
    <tableColumn id="1" name="Total amortissement F1" dataDxfId="89">
      <calculatedColumnFormula>+E21</calculatedColumnFormula>
    </tableColumn>
    <tableColumn id="2" name="Column1" dataDxfId="88">
      <calculatedColumnFormula>+E22+E29</calculatedColumnFormula>
    </tableColumn>
    <tableColumn id="3" name="Column2" dataDxfId="87">
      <calculatedColumnFormula>+E23+E30+E36</calculatedColumnFormula>
    </tableColumn>
    <tableColumn id="4" name="Column3" dataDxfId="86">
      <calculatedColumnFormula>+E24+E31+E37</calculatedColumnFormula>
    </tableColumn>
    <tableColumn id="5" name="Column4" dataDxfId="85">
      <calculatedColumnFormula>+E25+E32+E38</calculatedColumnFormula>
    </tableColumn>
    <tableColumn id="6" name="Column5" dataDxfId="84">
      <calculatedColumnFormula>+E26+E33+E39</calculatedColumnFormula>
    </tableColumn>
    <tableColumn id="7" name="Column6" dataDxfId="83">
      <calculatedColumnFormula>+E40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13" name="Table13" displayName="Table13" ref="B51:F57" totalsRowShown="0" headerRowDxfId="82" dataDxfId="81" tableBorderDxfId="80">
  <tableColumns count="5">
    <tableColumn id="1" name="Investissement 2011" dataDxfId="79"/>
    <tableColumn id="2" name="Base amortissement" dataDxfId="78">
      <calculatedColumnFormula>+C51</calculatedColumnFormula>
    </tableColumn>
    <tableColumn id="3" name="Tx amortissement" dataDxfId="77"/>
    <tableColumn id="4" name="Amortissement" dataDxfId="76"/>
    <tableColumn id="5" name="Valeur fin de période" dataDxfId="75">
      <calculatedColumnFormula>+F51-E52</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14" name="Table14" displayName="Table14" ref="B59:F64" totalsRowShown="0" headerRowDxfId="74" dataDxfId="73" tableBorderDxfId="72">
  <tableColumns count="5">
    <tableColumn id="1" name="Investissement 2012" dataDxfId="71"/>
    <tableColumn id="2" name="Base amortissement" dataDxfId="70">
      <calculatedColumnFormula>+$C$14</calculatedColumnFormula>
    </tableColumn>
    <tableColumn id="3" name="Tx amortissement" dataDxfId="69"/>
    <tableColumn id="4" name="Amortissement" dataDxfId="68">
      <calculatedColumnFormula>+D60*C60</calculatedColumnFormula>
    </tableColumn>
    <tableColumn id="5" name="Valeur fin de période" dataDxfId="67">
      <calculatedColumnFormula>+F59-E60</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id="15" name="Table15" displayName="Table15" ref="B66:F71" totalsRowShown="0" headerRowDxfId="66" dataDxfId="65" tableBorderDxfId="64">
  <tableColumns count="5">
    <tableColumn id="1" name="Investissement 2013" dataDxfId="63"/>
    <tableColumn id="2" name="Base amortissement" dataDxfId="62">
      <calculatedColumnFormula>+$C$15</calculatedColumnFormula>
    </tableColumn>
    <tableColumn id="3" name="Tx amortissement" dataDxfId="61"/>
    <tableColumn id="4" name="Amortissement" dataDxfId="60">
      <calculatedColumnFormula>+D67*C67</calculatedColumnFormula>
    </tableColumn>
    <tableColumn id="5" name="Valeur fin de période" dataDxfId="59">
      <calculatedColumnFormula>+F66-E67</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id="16" name="Table16" displayName="Table16" ref="B74:H76" totalsRowShown="0" headerRowDxfId="58" dataDxfId="57" tableBorderDxfId="56">
  <tableColumns count="7">
    <tableColumn id="1" name="Total amortissement F2" dataDxfId="55">
      <calculatedColumnFormula>+E51</calculatedColumnFormula>
    </tableColumn>
    <tableColumn id="2" name="Column1" dataDxfId="54">
      <calculatedColumnFormula>+E52+E59</calculatedColumnFormula>
    </tableColumn>
    <tableColumn id="3" name="Column2" dataDxfId="53">
      <calculatedColumnFormula>+E53+E60+E66</calculatedColumnFormula>
    </tableColumn>
    <tableColumn id="4" name="Column3" dataDxfId="52">
      <calculatedColumnFormula>+E54+E61+E67</calculatedColumnFormula>
    </tableColumn>
    <tableColumn id="5" name="Column4" dataDxfId="51">
      <calculatedColumnFormula>+E55+E62+E68</calculatedColumnFormula>
    </tableColumn>
    <tableColumn id="6" name="Column5" dataDxfId="50">
      <calculatedColumnFormula>+E56+E63+E69</calculatedColumnFormula>
    </tableColumn>
    <tableColumn id="7" name="Column6" dataDxfId="49">
      <calculatedColumnFormula>+E70</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id="17" name="Table17" displayName="Table17" ref="E19:F20" totalsRowShown="0" headerRowDxfId="48" dataDxfId="47">
  <tableColumns count="2">
    <tableColumn id="1" name="Prorata" dataDxfId="46"/>
    <tableColumn id="2" name="Mois total" dataDxfId="45"/>
  </tableColumns>
  <tableStyleInfo name="TableStyleMedium2" showFirstColumn="0" showLastColumn="0" showRowStripes="1" showColumnStripes="0"/>
</table>
</file>

<file path=xl/tables/table13.xml><?xml version="1.0" encoding="utf-8"?>
<table xmlns="http://schemas.openxmlformats.org/spreadsheetml/2006/main" id="1" name="Table1" displayName="Table1" ref="K5:M8" totalsRowShown="0" headerRowDxfId="44">
  <autoFilter ref="K5:M8"/>
  <tableColumns count="3">
    <tableColumn id="1" name="Crtitères"/>
    <tableColumn id="2" name="SBF 120" dataDxfId="43"/>
    <tableColumn id="3" name="Hormopharm" dataDxfId="42"/>
  </tableColumns>
  <tableStyleInfo name="TableStyleMedium2" showFirstColumn="0" showLastColumn="0" showRowStripes="1" showColumnStripes="0"/>
</table>
</file>

<file path=xl/tables/table14.xml><?xml version="1.0" encoding="utf-8"?>
<table xmlns="http://schemas.openxmlformats.org/spreadsheetml/2006/main" id="2" name="Table2" displayName="Table2" ref="A1:H208" totalsRowShown="0" headerRowDxfId="41" dataDxfId="40">
  <tableColumns count="8">
    <tableColumn id="1" name="Date" dataDxfId="39"/>
    <tableColumn id="2" name="SBF 120 Cours ajusté*" dataDxfId="38"/>
    <tableColumn id="3" name="Hormopharm Cours ajusté" dataDxfId="37"/>
    <tableColumn id="8" name="Rentabilité  SBF 120" dataDxfId="36">
      <calculatedColumnFormula>(Table2[[#This Row],[SBF 120 Cours ajusté*]]-$B$2)/$B$2</calculatedColumnFormula>
    </tableColumn>
    <tableColumn id="4" name="Rentabilité Hormopharm" dataDxfId="35">
      <calculatedColumnFormula>(Table2[[#This Row],[Hormopharm Cours ajusté]]-$C$2)/$C$2</calculatedColumnFormula>
    </tableColumn>
    <tableColumn id="7" name=" " dataDxfId="34"/>
    <tableColumn id="5" name="Variation SBF 120" dataDxfId="33">
      <calculatedColumnFormula>(B2-B1)/B1</calculatedColumnFormula>
    </tableColumn>
    <tableColumn id="6" name="Variation Cours Hormo" dataDxfId="32">
      <calculatedColumnFormula>(C2-C1)/C1</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id="3" name="Table3" displayName="Table3" ref="K11:L12" totalsRowShown="0" headerRowDxfId="31" dataDxfId="30">
  <autoFilter ref="K11:L12"/>
  <tableColumns count="2">
    <tableColumn id="1" name="Rendement hebdo SBF 120" dataDxfId="29"/>
    <tableColumn id="2" name="Rendement annuel SBF 120" dataDxfId="28"/>
  </tableColumns>
  <tableStyleInfo name="TableStyleMedium2" showFirstColumn="0" showLastColumn="0" showRowStripes="1" showColumnStripes="0"/>
</table>
</file>

<file path=xl/tables/table16.xml><?xml version="1.0" encoding="utf-8"?>
<table xmlns="http://schemas.openxmlformats.org/spreadsheetml/2006/main" id="4" name="Table4" displayName="Table4" ref="A2:B68" totalsRowShown="0">
  <autoFilter ref="A2:B68"/>
  <tableColumns count="2">
    <tableColumn id="1" name="Période ↓" dataDxfId="27"/>
    <tableColumn id="2" name="valeur" dataDxfId="26"/>
  </tableColumns>
  <tableStyleInfo name="TableStyleMedium2" showFirstColumn="0" showLastColumn="0" showRowStripes="1" showColumnStripes="0"/>
</table>
</file>

<file path=xl/tables/table17.xml><?xml version="1.0" encoding="utf-8"?>
<table xmlns="http://schemas.openxmlformats.org/spreadsheetml/2006/main" id="5" name="Table5" displayName="Table5" ref="E58:E59" totalsRowShown="0" headerRowDxfId="25" dataDxfId="24" dataCellStyle="Milliers 2">
  <tableColumns count="1">
    <tableColumn id="1" name="Taux de référence des OAT à 5 ans" dataDxfId="23" dataCellStyle="Milliers 2">
      <calculatedColumnFormula>AVERAGE(B57:B68)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vmlDrawing" Target="../drawings/vmlDrawing1.vml"/><Relationship Id="rId5" Type="http://schemas.openxmlformats.org/officeDocument/2006/relationships/comments" Target="../comments1.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hyperlink" Target="http://webstat.banque-france.fr/fr/quickview.do?SERIES_KEY=255.FM.M.FR.EUR.FR2.BB.FRMOYTEC5.HSTA" TargetMode="External"/><Relationship Id="rId1" Type="http://schemas.openxmlformats.org/officeDocument/2006/relationships/hyperlink" Target="http://webstat.banque-france.fr/fr/quickview.do?SERIES_KEY=255.FM.M.FR.EUR.FR2.BB.FRMOYTEC5.HSTA&amp;periodSortOrder=ASC" TargetMode="External"/><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AEP76"/>
  <sheetViews>
    <sheetView showGridLines="0" tabSelected="1" zoomScale="70" zoomScaleNormal="70" zoomScalePageLayoutView="70" workbookViewId="0">
      <selection activeCell="I87" sqref="I87"/>
    </sheetView>
  </sheetViews>
  <sheetFormatPr baseColWidth="10" defaultColWidth="10.7265625" defaultRowHeight="14"/>
  <cols>
    <col min="1" max="1" width="3.453125" style="151" customWidth="1"/>
    <col min="2" max="2" width="28.1796875" style="153" bestFit="1" customWidth="1"/>
    <col min="3" max="3" width="24.81640625" style="153" bestFit="1" customWidth="1"/>
    <col min="4" max="4" width="21.7265625" style="153" bestFit="1" customWidth="1"/>
    <col min="5" max="5" width="33.453125" style="153" bestFit="1" customWidth="1"/>
    <col min="6" max="6" width="25.453125" style="153" bestFit="1" customWidth="1"/>
    <col min="7" max="7" width="23.81640625" style="153" bestFit="1" customWidth="1"/>
    <col min="8" max="9" width="14" style="153" customWidth="1"/>
    <col min="10" max="10" width="27.453125" style="153" bestFit="1" customWidth="1"/>
    <col min="11" max="11" width="24.81640625" style="153" customWidth="1"/>
    <col min="12" max="12" width="13.453125" style="153" bestFit="1" customWidth="1"/>
    <col min="13" max="14" width="13.453125" style="153" customWidth="1"/>
    <col min="15" max="16" width="13.7265625" style="151" customWidth="1"/>
    <col min="17" max="17" width="13.453125" style="151" customWidth="1"/>
    <col min="18" max="18" width="13.7265625" style="151" customWidth="1"/>
    <col min="19" max="19" width="13.453125" style="151" customWidth="1"/>
    <col min="20" max="20" width="13.7265625" style="151" customWidth="1"/>
    <col min="21" max="23" width="13.453125" style="151" customWidth="1"/>
    <col min="24" max="25" width="11.453125" style="151" bestFit="1" customWidth="1"/>
    <col min="26" max="27" width="11.1796875" style="151" bestFit="1" customWidth="1"/>
    <col min="28" max="29" width="11.453125" style="151" bestFit="1" customWidth="1"/>
    <col min="30" max="31" width="11.1796875" style="151" bestFit="1" customWidth="1"/>
    <col min="32" max="32" width="11.453125" style="151" bestFit="1" customWidth="1"/>
    <col min="33" max="257" width="10.7265625" style="151"/>
    <col min="258" max="258" width="28.453125" style="151" customWidth="1"/>
    <col min="259" max="259" width="20.1796875" style="151" customWidth="1"/>
    <col min="260" max="260" width="17.7265625" style="151" customWidth="1"/>
    <col min="261" max="261" width="16.453125" style="151" customWidth="1"/>
    <col min="262" max="262" width="20.1796875" style="151" customWidth="1"/>
    <col min="263" max="269" width="14" style="151" customWidth="1"/>
    <col min="270" max="513" width="10.7265625" style="151"/>
    <col min="514" max="514" width="28.453125" style="151" customWidth="1"/>
    <col min="515" max="515" width="20.1796875" style="151" customWidth="1"/>
    <col min="516" max="516" width="17.7265625" style="151" customWidth="1"/>
    <col min="517" max="517" width="16.453125" style="151" customWidth="1"/>
    <col min="518" max="518" width="20.1796875" style="151" customWidth="1"/>
    <col min="519" max="525" width="14" style="151" customWidth="1"/>
    <col min="526" max="769" width="10.7265625" style="151"/>
    <col min="770" max="770" width="28.453125" style="151" customWidth="1"/>
    <col min="771" max="771" width="20.1796875" style="151" customWidth="1"/>
    <col min="772" max="772" width="17.7265625" style="151" customWidth="1"/>
    <col min="773" max="773" width="16.453125" style="151" customWidth="1"/>
    <col min="774" max="774" width="20.1796875" style="151" customWidth="1"/>
    <col min="775" max="781" width="14" style="151" customWidth="1"/>
    <col min="782" max="822" width="10.7265625" style="151"/>
    <col min="823" max="1025" width="10.7265625" style="153"/>
    <col min="1026" max="1026" width="28.453125" style="153" customWidth="1"/>
    <col min="1027" max="1027" width="20.1796875" style="153" customWidth="1"/>
    <col min="1028" max="1028" width="17.7265625" style="153" customWidth="1"/>
    <col min="1029" max="1029" width="16.453125" style="153" customWidth="1"/>
    <col min="1030" max="1030" width="20.1796875" style="153" customWidth="1"/>
    <col min="1031" max="1037" width="14" style="153" customWidth="1"/>
    <col min="1038" max="1281" width="10.7265625" style="153"/>
    <col min="1282" max="1282" width="28.453125" style="153" customWidth="1"/>
    <col min="1283" max="1283" width="20.1796875" style="153" customWidth="1"/>
    <col min="1284" max="1284" width="17.7265625" style="153" customWidth="1"/>
    <col min="1285" max="1285" width="16.453125" style="153" customWidth="1"/>
    <col min="1286" max="1286" width="20.1796875" style="153" customWidth="1"/>
    <col min="1287" max="1293" width="14" style="153" customWidth="1"/>
    <col min="1294" max="1537" width="10.7265625" style="153"/>
    <col min="1538" max="1538" width="28.453125" style="153" customWidth="1"/>
    <col min="1539" max="1539" width="20.1796875" style="153" customWidth="1"/>
    <col min="1540" max="1540" width="17.7265625" style="153" customWidth="1"/>
    <col min="1541" max="1541" width="16.453125" style="153" customWidth="1"/>
    <col min="1542" max="1542" width="20.1796875" style="153" customWidth="1"/>
    <col min="1543" max="1549" width="14" style="153" customWidth="1"/>
    <col min="1550" max="1793" width="10.7265625" style="153"/>
    <col min="1794" max="1794" width="28.453125" style="153" customWidth="1"/>
    <col min="1795" max="1795" width="20.1796875" style="153" customWidth="1"/>
    <col min="1796" max="1796" width="17.7265625" style="153" customWidth="1"/>
    <col min="1797" max="1797" width="16.453125" style="153" customWidth="1"/>
    <col min="1798" max="1798" width="20.1796875" style="153" customWidth="1"/>
    <col min="1799" max="1805" width="14" style="153" customWidth="1"/>
    <col min="1806" max="2049" width="10.7265625" style="153"/>
    <col min="2050" max="2050" width="28.453125" style="153" customWidth="1"/>
    <col min="2051" max="2051" width="20.1796875" style="153" customWidth="1"/>
    <col min="2052" max="2052" width="17.7265625" style="153" customWidth="1"/>
    <col min="2053" max="2053" width="16.453125" style="153" customWidth="1"/>
    <col min="2054" max="2054" width="20.1796875" style="153" customWidth="1"/>
    <col min="2055" max="2061" width="14" style="153" customWidth="1"/>
    <col min="2062" max="2305" width="10.7265625" style="153"/>
    <col min="2306" max="2306" width="28.453125" style="153" customWidth="1"/>
    <col min="2307" max="2307" width="20.1796875" style="153" customWidth="1"/>
    <col min="2308" max="2308" width="17.7265625" style="153" customWidth="1"/>
    <col min="2309" max="2309" width="16.453125" style="153" customWidth="1"/>
    <col min="2310" max="2310" width="20.1796875" style="153" customWidth="1"/>
    <col min="2311" max="2317" width="14" style="153" customWidth="1"/>
    <col min="2318" max="2561" width="10.7265625" style="153"/>
    <col min="2562" max="2562" width="28.453125" style="153" customWidth="1"/>
    <col min="2563" max="2563" width="20.1796875" style="153" customWidth="1"/>
    <col min="2564" max="2564" width="17.7265625" style="153" customWidth="1"/>
    <col min="2565" max="2565" width="16.453125" style="153" customWidth="1"/>
    <col min="2566" max="2566" width="20.1796875" style="153" customWidth="1"/>
    <col min="2567" max="2573" width="14" style="153" customWidth="1"/>
    <col min="2574" max="2817" width="10.7265625" style="153"/>
    <col min="2818" max="2818" width="28.453125" style="153" customWidth="1"/>
    <col min="2819" max="2819" width="20.1796875" style="153" customWidth="1"/>
    <col min="2820" max="2820" width="17.7265625" style="153" customWidth="1"/>
    <col min="2821" max="2821" width="16.453125" style="153" customWidth="1"/>
    <col min="2822" max="2822" width="20.1796875" style="153" customWidth="1"/>
    <col min="2823" max="2829" width="14" style="153" customWidth="1"/>
    <col min="2830" max="3073" width="10.7265625" style="153"/>
    <col min="3074" max="3074" width="28.453125" style="153" customWidth="1"/>
    <col min="3075" max="3075" width="20.1796875" style="153" customWidth="1"/>
    <col min="3076" max="3076" width="17.7265625" style="153" customWidth="1"/>
    <col min="3077" max="3077" width="16.453125" style="153" customWidth="1"/>
    <col min="3078" max="3078" width="20.1796875" style="153" customWidth="1"/>
    <col min="3079" max="3085" width="14" style="153" customWidth="1"/>
    <col min="3086" max="3329" width="10.7265625" style="153"/>
    <col min="3330" max="3330" width="28.453125" style="153" customWidth="1"/>
    <col min="3331" max="3331" width="20.1796875" style="153" customWidth="1"/>
    <col min="3332" max="3332" width="17.7265625" style="153" customWidth="1"/>
    <col min="3333" max="3333" width="16.453125" style="153" customWidth="1"/>
    <col min="3334" max="3334" width="20.1796875" style="153" customWidth="1"/>
    <col min="3335" max="3341" width="14" style="153" customWidth="1"/>
    <col min="3342" max="3585" width="10.7265625" style="153"/>
    <col min="3586" max="3586" width="28.453125" style="153" customWidth="1"/>
    <col min="3587" max="3587" width="20.1796875" style="153" customWidth="1"/>
    <col min="3588" max="3588" width="17.7265625" style="153" customWidth="1"/>
    <col min="3589" max="3589" width="16.453125" style="153" customWidth="1"/>
    <col min="3590" max="3590" width="20.1796875" style="153" customWidth="1"/>
    <col min="3591" max="3597" width="14" style="153" customWidth="1"/>
    <col min="3598" max="3841" width="10.7265625" style="153"/>
    <col min="3842" max="3842" width="28.453125" style="153" customWidth="1"/>
    <col min="3843" max="3843" width="20.1796875" style="153" customWidth="1"/>
    <col min="3844" max="3844" width="17.7265625" style="153" customWidth="1"/>
    <col min="3845" max="3845" width="16.453125" style="153" customWidth="1"/>
    <col min="3846" max="3846" width="20.1796875" style="153" customWidth="1"/>
    <col min="3847" max="3853" width="14" style="153" customWidth="1"/>
    <col min="3854" max="4097" width="10.7265625" style="153"/>
    <col min="4098" max="4098" width="28.453125" style="153" customWidth="1"/>
    <col min="4099" max="4099" width="20.1796875" style="153" customWidth="1"/>
    <col min="4100" max="4100" width="17.7265625" style="153" customWidth="1"/>
    <col min="4101" max="4101" width="16.453125" style="153" customWidth="1"/>
    <col min="4102" max="4102" width="20.1796875" style="153" customWidth="1"/>
    <col min="4103" max="4109" width="14" style="153" customWidth="1"/>
    <col min="4110" max="4353" width="10.7265625" style="153"/>
    <col min="4354" max="4354" width="28.453125" style="153" customWidth="1"/>
    <col min="4355" max="4355" width="20.1796875" style="153" customWidth="1"/>
    <col min="4356" max="4356" width="17.7265625" style="153" customWidth="1"/>
    <col min="4357" max="4357" width="16.453125" style="153" customWidth="1"/>
    <col min="4358" max="4358" width="20.1796875" style="153" customWidth="1"/>
    <col min="4359" max="4365" width="14" style="153" customWidth="1"/>
    <col min="4366" max="4609" width="10.7265625" style="153"/>
    <col min="4610" max="4610" width="28.453125" style="153" customWidth="1"/>
    <col min="4611" max="4611" width="20.1796875" style="153" customWidth="1"/>
    <col min="4612" max="4612" width="17.7265625" style="153" customWidth="1"/>
    <col min="4613" max="4613" width="16.453125" style="153" customWidth="1"/>
    <col min="4614" max="4614" width="20.1796875" style="153" customWidth="1"/>
    <col min="4615" max="4621" width="14" style="153" customWidth="1"/>
    <col min="4622" max="4865" width="10.7265625" style="153"/>
    <col min="4866" max="4866" width="28.453125" style="153" customWidth="1"/>
    <col min="4867" max="4867" width="20.1796875" style="153" customWidth="1"/>
    <col min="4868" max="4868" width="17.7265625" style="153" customWidth="1"/>
    <col min="4869" max="4869" width="16.453125" style="153" customWidth="1"/>
    <col min="4870" max="4870" width="20.1796875" style="153" customWidth="1"/>
    <col min="4871" max="4877" width="14" style="153" customWidth="1"/>
    <col min="4878" max="5121" width="10.7265625" style="153"/>
    <col min="5122" max="5122" width="28.453125" style="153" customWidth="1"/>
    <col min="5123" max="5123" width="20.1796875" style="153" customWidth="1"/>
    <col min="5124" max="5124" width="17.7265625" style="153" customWidth="1"/>
    <col min="5125" max="5125" width="16.453125" style="153" customWidth="1"/>
    <col min="5126" max="5126" width="20.1796875" style="153" customWidth="1"/>
    <col min="5127" max="5133" width="14" style="153" customWidth="1"/>
    <col min="5134" max="5377" width="10.7265625" style="153"/>
    <col min="5378" max="5378" width="28.453125" style="153" customWidth="1"/>
    <col min="5379" max="5379" width="20.1796875" style="153" customWidth="1"/>
    <col min="5380" max="5380" width="17.7265625" style="153" customWidth="1"/>
    <col min="5381" max="5381" width="16.453125" style="153" customWidth="1"/>
    <col min="5382" max="5382" width="20.1796875" style="153" customWidth="1"/>
    <col min="5383" max="5389" width="14" style="153" customWidth="1"/>
    <col min="5390" max="5633" width="10.7265625" style="153"/>
    <col min="5634" max="5634" width="28.453125" style="153" customWidth="1"/>
    <col min="5635" max="5635" width="20.1796875" style="153" customWidth="1"/>
    <col min="5636" max="5636" width="17.7265625" style="153" customWidth="1"/>
    <col min="5637" max="5637" width="16.453125" style="153" customWidth="1"/>
    <col min="5638" max="5638" width="20.1796875" style="153" customWidth="1"/>
    <col min="5639" max="5645" width="14" style="153" customWidth="1"/>
    <col min="5646" max="5889" width="10.7265625" style="153"/>
    <col min="5890" max="5890" width="28.453125" style="153" customWidth="1"/>
    <col min="5891" max="5891" width="20.1796875" style="153" customWidth="1"/>
    <col min="5892" max="5892" width="17.7265625" style="153" customWidth="1"/>
    <col min="5893" max="5893" width="16.453125" style="153" customWidth="1"/>
    <col min="5894" max="5894" width="20.1796875" style="153" customWidth="1"/>
    <col min="5895" max="5901" width="14" style="153" customWidth="1"/>
    <col min="5902" max="6145" width="10.7265625" style="153"/>
    <col min="6146" max="6146" width="28.453125" style="153" customWidth="1"/>
    <col min="6147" max="6147" width="20.1796875" style="153" customWidth="1"/>
    <col min="6148" max="6148" width="17.7265625" style="153" customWidth="1"/>
    <col min="6149" max="6149" width="16.453125" style="153" customWidth="1"/>
    <col min="6150" max="6150" width="20.1796875" style="153" customWidth="1"/>
    <col min="6151" max="6157" width="14" style="153" customWidth="1"/>
    <col min="6158" max="6401" width="10.7265625" style="153"/>
    <col min="6402" max="6402" width="28.453125" style="153" customWidth="1"/>
    <col min="6403" max="6403" width="20.1796875" style="153" customWidth="1"/>
    <col min="6404" max="6404" width="17.7265625" style="153" customWidth="1"/>
    <col min="6405" max="6405" width="16.453125" style="153" customWidth="1"/>
    <col min="6406" max="6406" width="20.1796875" style="153" customWidth="1"/>
    <col min="6407" max="6413" width="14" style="153" customWidth="1"/>
    <col min="6414" max="6657" width="10.7265625" style="153"/>
    <col min="6658" max="6658" width="28.453125" style="153" customWidth="1"/>
    <col min="6659" max="6659" width="20.1796875" style="153" customWidth="1"/>
    <col min="6660" max="6660" width="17.7265625" style="153" customWidth="1"/>
    <col min="6661" max="6661" width="16.453125" style="153" customWidth="1"/>
    <col min="6662" max="6662" width="20.1796875" style="153" customWidth="1"/>
    <col min="6663" max="6669" width="14" style="153" customWidth="1"/>
    <col min="6670" max="6913" width="10.7265625" style="153"/>
    <col min="6914" max="6914" width="28.453125" style="153" customWidth="1"/>
    <col min="6915" max="6915" width="20.1796875" style="153" customWidth="1"/>
    <col min="6916" max="6916" width="17.7265625" style="153" customWidth="1"/>
    <col min="6917" max="6917" width="16.453125" style="153" customWidth="1"/>
    <col min="6918" max="6918" width="20.1796875" style="153" customWidth="1"/>
    <col min="6919" max="6925" width="14" style="153" customWidth="1"/>
    <col min="6926" max="7169" width="10.7265625" style="153"/>
    <col min="7170" max="7170" width="28.453125" style="153" customWidth="1"/>
    <col min="7171" max="7171" width="20.1796875" style="153" customWidth="1"/>
    <col min="7172" max="7172" width="17.7265625" style="153" customWidth="1"/>
    <col min="7173" max="7173" width="16.453125" style="153" customWidth="1"/>
    <col min="7174" max="7174" width="20.1796875" style="153" customWidth="1"/>
    <col min="7175" max="7181" width="14" style="153" customWidth="1"/>
    <col min="7182" max="7425" width="10.7265625" style="153"/>
    <col min="7426" max="7426" width="28.453125" style="153" customWidth="1"/>
    <col min="7427" max="7427" width="20.1796875" style="153" customWidth="1"/>
    <col min="7428" max="7428" width="17.7265625" style="153" customWidth="1"/>
    <col min="7429" max="7429" width="16.453125" style="153" customWidth="1"/>
    <col min="7430" max="7430" width="20.1796875" style="153" customWidth="1"/>
    <col min="7431" max="7437" width="14" style="153" customWidth="1"/>
    <col min="7438" max="7681" width="10.7265625" style="153"/>
    <col min="7682" max="7682" width="28.453125" style="153" customWidth="1"/>
    <col min="7683" max="7683" width="20.1796875" style="153" customWidth="1"/>
    <col min="7684" max="7684" width="17.7265625" style="153" customWidth="1"/>
    <col min="7685" max="7685" width="16.453125" style="153" customWidth="1"/>
    <col min="7686" max="7686" width="20.1796875" style="153" customWidth="1"/>
    <col min="7687" max="7693" width="14" style="153" customWidth="1"/>
    <col min="7694" max="7937" width="10.7265625" style="153"/>
    <col min="7938" max="7938" width="28.453125" style="153" customWidth="1"/>
    <col min="7939" max="7939" width="20.1796875" style="153" customWidth="1"/>
    <col min="7940" max="7940" width="17.7265625" style="153" customWidth="1"/>
    <col min="7941" max="7941" width="16.453125" style="153" customWidth="1"/>
    <col min="7942" max="7942" width="20.1796875" style="153" customWidth="1"/>
    <col min="7943" max="7949" width="14" style="153" customWidth="1"/>
    <col min="7950" max="8193" width="10.7265625" style="153"/>
    <col min="8194" max="8194" width="28.453125" style="153" customWidth="1"/>
    <col min="8195" max="8195" width="20.1796875" style="153" customWidth="1"/>
    <col min="8196" max="8196" width="17.7265625" style="153" customWidth="1"/>
    <col min="8197" max="8197" width="16.453125" style="153" customWidth="1"/>
    <col min="8198" max="8198" width="20.1796875" style="153" customWidth="1"/>
    <col min="8199" max="8205" width="14" style="153" customWidth="1"/>
    <col min="8206" max="8449" width="10.7265625" style="153"/>
    <col min="8450" max="8450" width="28.453125" style="153" customWidth="1"/>
    <col min="8451" max="8451" width="20.1796875" style="153" customWidth="1"/>
    <col min="8452" max="8452" width="17.7265625" style="153" customWidth="1"/>
    <col min="8453" max="8453" width="16.453125" style="153" customWidth="1"/>
    <col min="8454" max="8454" width="20.1796875" style="153" customWidth="1"/>
    <col min="8455" max="8461" width="14" style="153" customWidth="1"/>
    <col min="8462" max="8705" width="10.7265625" style="153"/>
    <col min="8706" max="8706" width="28.453125" style="153" customWidth="1"/>
    <col min="8707" max="8707" width="20.1796875" style="153" customWidth="1"/>
    <col min="8708" max="8708" width="17.7265625" style="153" customWidth="1"/>
    <col min="8709" max="8709" width="16.453125" style="153" customWidth="1"/>
    <col min="8710" max="8710" width="20.1796875" style="153" customWidth="1"/>
    <col min="8711" max="8717" width="14" style="153" customWidth="1"/>
    <col min="8718" max="8961" width="10.7265625" style="153"/>
    <col min="8962" max="8962" width="28.453125" style="153" customWidth="1"/>
    <col min="8963" max="8963" width="20.1796875" style="153" customWidth="1"/>
    <col min="8964" max="8964" width="17.7265625" style="153" customWidth="1"/>
    <col min="8965" max="8965" width="16.453125" style="153" customWidth="1"/>
    <col min="8966" max="8966" width="20.1796875" style="153" customWidth="1"/>
    <col min="8967" max="8973" width="14" style="153" customWidth="1"/>
    <col min="8974" max="9217" width="10.7265625" style="153"/>
    <col min="9218" max="9218" width="28.453125" style="153" customWidth="1"/>
    <col min="9219" max="9219" width="20.1796875" style="153" customWidth="1"/>
    <col min="9220" max="9220" width="17.7265625" style="153" customWidth="1"/>
    <col min="9221" max="9221" width="16.453125" style="153" customWidth="1"/>
    <col min="9222" max="9222" width="20.1796875" style="153" customWidth="1"/>
    <col min="9223" max="9229" width="14" style="153" customWidth="1"/>
    <col min="9230" max="9473" width="10.7265625" style="153"/>
    <col min="9474" max="9474" width="28.453125" style="153" customWidth="1"/>
    <col min="9475" max="9475" width="20.1796875" style="153" customWidth="1"/>
    <col min="9476" max="9476" width="17.7265625" style="153" customWidth="1"/>
    <col min="9477" max="9477" width="16.453125" style="153" customWidth="1"/>
    <col min="9478" max="9478" width="20.1796875" style="153" customWidth="1"/>
    <col min="9479" max="9485" width="14" style="153" customWidth="1"/>
    <col min="9486" max="9729" width="10.7265625" style="153"/>
    <col min="9730" max="9730" width="28.453125" style="153" customWidth="1"/>
    <col min="9731" max="9731" width="20.1796875" style="153" customWidth="1"/>
    <col min="9732" max="9732" width="17.7265625" style="153" customWidth="1"/>
    <col min="9733" max="9733" width="16.453125" style="153" customWidth="1"/>
    <col min="9734" max="9734" width="20.1796875" style="153" customWidth="1"/>
    <col min="9735" max="9741" width="14" style="153" customWidth="1"/>
    <col min="9742" max="9985" width="10.7265625" style="153"/>
    <col min="9986" max="9986" width="28.453125" style="153" customWidth="1"/>
    <col min="9987" max="9987" width="20.1796875" style="153" customWidth="1"/>
    <col min="9988" max="9988" width="17.7265625" style="153" customWidth="1"/>
    <col min="9989" max="9989" width="16.453125" style="153" customWidth="1"/>
    <col min="9990" max="9990" width="20.1796875" style="153" customWidth="1"/>
    <col min="9991" max="9997" width="14" style="153" customWidth="1"/>
    <col min="9998" max="10241" width="10.7265625" style="153"/>
    <col min="10242" max="10242" width="28.453125" style="153" customWidth="1"/>
    <col min="10243" max="10243" width="20.1796875" style="153" customWidth="1"/>
    <col min="10244" max="10244" width="17.7265625" style="153" customWidth="1"/>
    <col min="10245" max="10245" width="16.453125" style="153" customWidth="1"/>
    <col min="10246" max="10246" width="20.1796875" style="153" customWidth="1"/>
    <col min="10247" max="10253" width="14" style="153" customWidth="1"/>
    <col min="10254" max="10497" width="10.7265625" style="153"/>
    <col min="10498" max="10498" width="28.453125" style="153" customWidth="1"/>
    <col min="10499" max="10499" width="20.1796875" style="153" customWidth="1"/>
    <col min="10500" max="10500" width="17.7265625" style="153" customWidth="1"/>
    <col min="10501" max="10501" width="16.453125" style="153" customWidth="1"/>
    <col min="10502" max="10502" width="20.1796875" style="153" customWidth="1"/>
    <col min="10503" max="10509" width="14" style="153" customWidth="1"/>
    <col min="10510" max="10753" width="10.7265625" style="153"/>
    <col min="10754" max="10754" width="28.453125" style="153" customWidth="1"/>
    <col min="10755" max="10755" width="20.1796875" style="153" customWidth="1"/>
    <col min="10756" max="10756" width="17.7265625" style="153" customWidth="1"/>
    <col min="10757" max="10757" width="16.453125" style="153" customWidth="1"/>
    <col min="10758" max="10758" width="20.1796875" style="153" customWidth="1"/>
    <col min="10759" max="10765" width="14" style="153" customWidth="1"/>
    <col min="10766" max="11009" width="10.7265625" style="153"/>
    <col min="11010" max="11010" width="28.453125" style="153" customWidth="1"/>
    <col min="11011" max="11011" width="20.1796875" style="153" customWidth="1"/>
    <col min="11012" max="11012" width="17.7265625" style="153" customWidth="1"/>
    <col min="11013" max="11013" width="16.453125" style="153" customWidth="1"/>
    <col min="11014" max="11014" width="20.1796875" style="153" customWidth="1"/>
    <col min="11015" max="11021" width="14" style="153" customWidth="1"/>
    <col min="11022" max="11265" width="10.7265625" style="153"/>
    <col min="11266" max="11266" width="28.453125" style="153" customWidth="1"/>
    <col min="11267" max="11267" width="20.1796875" style="153" customWidth="1"/>
    <col min="11268" max="11268" width="17.7265625" style="153" customWidth="1"/>
    <col min="11269" max="11269" width="16.453125" style="153" customWidth="1"/>
    <col min="11270" max="11270" width="20.1796875" style="153" customWidth="1"/>
    <col min="11271" max="11277" width="14" style="153" customWidth="1"/>
    <col min="11278" max="11521" width="10.7265625" style="153"/>
    <col min="11522" max="11522" width="28.453125" style="153" customWidth="1"/>
    <col min="11523" max="11523" width="20.1796875" style="153" customWidth="1"/>
    <col min="11524" max="11524" width="17.7265625" style="153" customWidth="1"/>
    <col min="11525" max="11525" width="16.453125" style="153" customWidth="1"/>
    <col min="11526" max="11526" width="20.1796875" style="153" customWidth="1"/>
    <col min="11527" max="11533" width="14" style="153" customWidth="1"/>
    <col min="11534" max="11777" width="10.7265625" style="153"/>
    <col min="11778" max="11778" width="28.453125" style="153" customWidth="1"/>
    <col min="11779" max="11779" width="20.1796875" style="153" customWidth="1"/>
    <col min="11780" max="11780" width="17.7265625" style="153" customWidth="1"/>
    <col min="11781" max="11781" width="16.453125" style="153" customWidth="1"/>
    <col min="11782" max="11782" width="20.1796875" style="153" customWidth="1"/>
    <col min="11783" max="11789" width="14" style="153" customWidth="1"/>
    <col min="11790" max="12033" width="10.7265625" style="153"/>
    <col min="12034" max="12034" width="28.453125" style="153" customWidth="1"/>
    <col min="12035" max="12035" width="20.1796875" style="153" customWidth="1"/>
    <col min="12036" max="12036" width="17.7265625" style="153" customWidth="1"/>
    <col min="12037" max="12037" width="16.453125" style="153" customWidth="1"/>
    <col min="12038" max="12038" width="20.1796875" style="153" customWidth="1"/>
    <col min="12039" max="12045" width="14" style="153" customWidth="1"/>
    <col min="12046" max="12289" width="10.7265625" style="153"/>
    <col min="12290" max="12290" width="28.453125" style="153" customWidth="1"/>
    <col min="12291" max="12291" width="20.1796875" style="153" customWidth="1"/>
    <col min="12292" max="12292" width="17.7265625" style="153" customWidth="1"/>
    <col min="12293" max="12293" width="16.453125" style="153" customWidth="1"/>
    <col min="12294" max="12294" width="20.1796875" style="153" customWidth="1"/>
    <col min="12295" max="12301" width="14" style="153" customWidth="1"/>
    <col min="12302" max="12545" width="10.7265625" style="153"/>
    <col min="12546" max="12546" width="28.453125" style="153" customWidth="1"/>
    <col min="12547" max="12547" width="20.1796875" style="153" customWidth="1"/>
    <col min="12548" max="12548" width="17.7265625" style="153" customWidth="1"/>
    <col min="12549" max="12549" width="16.453125" style="153" customWidth="1"/>
    <col min="12550" max="12550" width="20.1796875" style="153" customWidth="1"/>
    <col min="12551" max="12557" width="14" style="153" customWidth="1"/>
    <col min="12558" max="12801" width="10.7265625" style="153"/>
    <col min="12802" max="12802" width="28.453125" style="153" customWidth="1"/>
    <col min="12803" max="12803" width="20.1796875" style="153" customWidth="1"/>
    <col min="12804" max="12804" width="17.7265625" style="153" customWidth="1"/>
    <col min="12805" max="12805" width="16.453125" style="153" customWidth="1"/>
    <col min="12806" max="12806" width="20.1796875" style="153" customWidth="1"/>
    <col min="12807" max="12813" width="14" style="153" customWidth="1"/>
    <col min="12814" max="13057" width="10.7265625" style="153"/>
    <col min="13058" max="13058" width="28.453125" style="153" customWidth="1"/>
    <col min="13059" max="13059" width="20.1796875" style="153" customWidth="1"/>
    <col min="13060" max="13060" width="17.7265625" style="153" customWidth="1"/>
    <col min="13061" max="13061" width="16.453125" style="153" customWidth="1"/>
    <col min="13062" max="13062" width="20.1796875" style="153" customWidth="1"/>
    <col min="13063" max="13069" width="14" style="153" customWidth="1"/>
    <col min="13070" max="13313" width="10.7265625" style="153"/>
    <col min="13314" max="13314" width="28.453125" style="153" customWidth="1"/>
    <col min="13315" max="13315" width="20.1796875" style="153" customWidth="1"/>
    <col min="13316" max="13316" width="17.7265625" style="153" customWidth="1"/>
    <col min="13317" max="13317" width="16.453125" style="153" customWidth="1"/>
    <col min="13318" max="13318" width="20.1796875" style="153" customWidth="1"/>
    <col min="13319" max="13325" width="14" style="153" customWidth="1"/>
    <col min="13326" max="13569" width="10.7265625" style="153"/>
    <col min="13570" max="13570" width="28.453125" style="153" customWidth="1"/>
    <col min="13571" max="13571" width="20.1796875" style="153" customWidth="1"/>
    <col min="13572" max="13572" width="17.7265625" style="153" customWidth="1"/>
    <col min="13573" max="13573" width="16.453125" style="153" customWidth="1"/>
    <col min="13574" max="13574" width="20.1796875" style="153" customWidth="1"/>
    <col min="13575" max="13581" width="14" style="153" customWidth="1"/>
    <col min="13582" max="13825" width="10.7265625" style="153"/>
    <col min="13826" max="13826" width="28.453125" style="153" customWidth="1"/>
    <col min="13827" max="13827" width="20.1796875" style="153" customWidth="1"/>
    <col min="13828" max="13828" width="17.7265625" style="153" customWidth="1"/>
    <col min="13829" max="13829" width="16.453125" style="153" customWidth="1"/>
    <col min="13830" max="13830" width="20.1796875" style="153" customWidth="1"/>
    <col min="13831" max="13837" width="14" style="153" customWidth="1"/>
    <col min="13838" max="14081" width="10.7265625" style="153"/>
    <col min="14082" max="14082" width="28.453125" style="153" customWidth="1"/>
    <col min="14083" max="14083" width="20.1796875" style="153" customWidth="1"/>
    <col min="14084" max="14084" width="17.7265625" style="153" customWidth="1"/>
    <col min="14085" max="14085" width="16.453125" style="153" customWidth="1"/>
    <col min="14086" max="14086" width="20.1796875" style="153" customWidth="1"/>
    <col min="14087" max="14093" width="14" style="153" customWidth="1"/>
    <col min="14094" max="14337" width="10.7265625" style="153"/>
    <col min="14338" max="14338" width="28.453125" style="153" customWidth="1"/>
    <col min="14339" max="14339" width="20.1796875" style="153" customWidth="1"/>
    <col min="14340" max="14340" width="17.7265625" style="153" customWidth="1"/>
    <col min="14341" max="14341" width="16.453125" style="153" customWidth="1"/>
    <col min="14342" max="14342" width="20.1796875" style="153" customWidth="1"/>
    <col min="14343" max="14349" width="14" style="153" customWidth="1"/>
    <col min="14350" max="14593" width="10.7265625" style="153"/>
    <col min="14594" max="14594" width="28.453125" style="153" customWidth="1"/>
    <col min="14595" max="14595" width="20.1796875" style="153" customWidth="1"/>
    <col min="14596" max="14596" width="17.7265625" style="153" customWidth="1"/>
    <col min="14597" max="14597" width="16.453125" style="153" customWidth="1"/>
    <col min="14598" max="14598" width="20.1796875" style="153" customWidth="1"/>
    <col min="14599" max="14605" width="14" style="153" customWidth="1"/>
    <col min="14606" max="14849" width="10.7265625" style="153"/>
    <col min="14850" max="14850" width="28.453125" style="153" customWidth="1"/>
    <col min="14851" max="14851" width="20.1796875" style="153" customWidth="1"/>
    <col min="14852" max="14852" width="17.7265625" style="153" customWidth="1"/>
    <col min="14853" max="14853" width="16.453125" style="153" customWidth="1"/>
    <col min="14854" max="14854" width="20.1796875" style="153" customWidth="1"/>
    <col min="14855" max="14861" width="14" style="153" customWidth="1"/>
    <col min="14862" max="15105" width="10.7265625" style="153"/>
    <col min="15106" max="15106" width="28.453125" style="153" customWidth="1"/>
    <col min="15107" max="15107" width="20.1796875" style="153" customWidth="1"/>
    <col min="15108" max="15108" width="17.7265625" style="153" customWidth="1"/>
    <col min="15109" max="15109" width="16.453125" style="153" customWidth="1"/>
    <col min="15110" max="15110" width="20.1796875" style="153" customWidth="1"/>
    <col min="15111" max="15117" width="14" style="153" customWidth="1"/>
    <col min="15118" max="15361" width="10.7265625" style="153"/>
    <col min="15362" max="15362" width="28.453125" style="153" customWidth="1"/>
    <col min="15363" max="15363" width="20.1796875" style="153" customWidth="1"/>
    <col min="15364" max="15364" width="17.7265625" style="153" customWidth="1"/>
    <col min="15365" max="15365" width="16.453125" style="153" customWidth="1"/>
    <col min="15366" max="15366" width="20.1796875" style="153" customWidth="1"/>
    <col min="15367" max="15373" width="14" style="153" customWidth="1"/>
    <col min="15374" max="15617" width="10.7265625" style="153"/>
    <col min="15618" max="15618" width="28.453125" style="153" customWidth="1"/>
    <col min="15619" max="15619" width="20.1796875" style="153" customWidth="1"/>
    <col min="15620" max="15620" width="17.7265625" style="153" customWidth="1"/>
    <col min="15621" max="15621" width="16.453125" style="153" customWidth="1"/>
    <col min="15622" max="15622" width="20.1796875" style="153" customWidth="1"/>
    <col min="15623" max="15629" width="14" style="153" customWidth="1"/>
    <col min="15630" max="15873" width="10.7265625" style="153"/>
    <col min="15874" max="15874" width="28.453125" style="153" customWidth="1"/>
    <col min="15875" max="15875" width="20.1796875" style="153" customWidth="1"/>
    <col min="15876" max="15876" width="17.7265625" style="153" customWidth="1"/>
    <col min="15877" max="15877" width="16.453125" style="153" customWidth="1"/>
    <col min="15878" max="15878" width="20.1796875" style="153" customWidth="1"/>
    <col min="15879" max="15885" width="14" style="153" customWidth="1"/>
    <col min="15886" max="16129" width="10.7265625" style="153"/>
    <col min="16130" max="16130" width="28.453125" style="153" customWidth="1"/>
    <col min="16131" max="16131" width="20.1796875" style="153" customWidth="1"/>
    <col min="16132" max="16132" width="17.7265625" style="153" customWidth="1"/>
    <col min="16133" max="16133" width="16.453125" style="153" customWidth="1"/>
    <col min="16134" max="16134" width="20.1796875" style="153" customWidth="1"/>
    <col min="16135" max="16141" width="14" style="153" customWidth="1"/>
    <col min="16142" max="16384" width="10.7265625" style="153"/>
  </cols>
  <sheetData>
    <row r="3" spans="2:822">
      <c r="B3" s="152" t="s">
        <v>47</v>
      </c>
      <c r="C3" s="152" t="s">
        <v>376</v>
      </c>
      <c r="F3" s="152"/>
      <c r="G3" s="152"/>
      <c r="N3" s="151"/>
      <c r="AEP3" s="153"/>
    </row>
    <row r="4" spans="2:822" ht="14.25" customHeight="1">
      <c r="B4" s="154"/>
      <c r="C4" s="152"/>
      <c r="E4" s="155" t="s">
        <v>24</v>
      </c>
      <c r="F4" s="155" t="s">
        <v>25</v>
      </c>
      <c r="G4" s="156" t="s">
        <v>6</v>
      </c>
      <c r="J4" s="907" t="s">
        <v>36</v>
      </c>
      <c r="K4" s="907"/>
      <c r="O4" s="153"/>
      <c r="P4" s="153"/>
      <c r="Q4" s="153"/>
      <c r="AEP4" s="153"/>
    </row>
    <row r="5" spans="2:822">
      <c r="B5" s="157" t="s">
        <v>29</v>
      </c>
      <c r="C5" s="158">
        <v>560000</v>
      </c>
      <c r="E5" s="159">
        <v>2009</v>
      </c>
      <c r="F5" s="160">
        <v>3</v>
      </c>
      <c r="G5" s="161"/>
      <c r="L5" s="223">
        <v>2011</v>
      </c>
      <c r="M5" s="224">
        <v>2012</v>
      </c>
      <c r="N5" s="223">
        <v>2013</v>
      </c>
      <c r="O5" s="224">
        <v>2014</v>
      </c>
      <c r="P5" s="223">
        <v>2015</v>
      </c>
      <c r="Q5" s="224">
        <v>2016</v>
      </c>
      <c r="R5" s="223">
        <v>2017</v>
      </c>
      <c r="AEP5" s="153"/>
    </row>
    <row r="6" spans="2:822">
      <c r="B6" s="157" t="s">
        <v>30</v>
      </c>
      <c r="C6" s="162">
        <v>0.7</v>
      </c>
      <c r="E6" s="163">
        <v>2010</v>
      </c>
      <c r="F6" s="164">
        <v>12</v>
      </c>
      <c r="G6" s="165"/>
      <c r="J6" s="905" t="s">
        <v>1</v>
      </c>
      <c r="K6" s="906"/>
      <c r="O6" s="153"/>
      <c r="P6" s="153"/>
      <c r="Q6" s="153"/>
      <c r="AEP6" s="153"/>
    </row>
    <row r="7" spans="2:822">
      <c r="B7" s="157" t="s">
        <v>31</v>
      </c>
      <c r="C7" s="166">
        <v>0.308</v>
      </c>
      <c r="E7" s="163">
        <v>2011</v>
      </c>
      <c r="F7" s="167">
        <v>11</v>
      </c>
      <c r="G7" s="168">
        <v>8</v>
      </c>
      <c r="J7" s="908" t="s">
        <v>37</v>
      </c>
      <c r="K7" s="909"/>
      <c r="L7" s="231">
        <f>+G7/G10</f>
        <v>0.27586206896551724</v>
      </c>
      <c r="M7" s="230">
        <f>+G8/G10</f>
        <v>0.41379310344827586</v>
      </c>
      <c r="N7" s="232">
        <f>+G9/G10</f>
        <v>0.31034482758620691</v>
      </c>
      <c r="O7" s="226"/>
      <c r="P7" s="225"/>
      <c r="Q7" s="220"/>
      <c r="R7" s="226"/>
      <c r="AEP7" s="153"/>
    </row>
    <row r="8" spans="2:822">
      <c r="B8" s="157" t="s">
        <v>32</v>
      </c>
      <c r="C8" s="169">
        <f>+C5*C6*C7</f>
        <v>120736</v>
      </c>
      <c r="E8" s="163">
        <v>2012</v>
      </c>
      <c r="F8" s="167"/>
      <c r="G8" s="168">
        <v>12</v>
      </c>
      <c r="J8" s="910" t="s">
        <v>38</v>
      </c>
      <c r="K8" s="911"/>
      <c r="L8" s="228">
        <f>+L7*$G$14</f>
        <v>30951.724137931033</v>
      </c>
      <c r="M8" s="235">
        <f>+M7*$G$14</f>
        <v>46427.586206896551</v>
      </c>
      <c r="N8" s="221">
        <f>+N7*$G$14</f>
        <v>34820.689655172413</v>
      </c>
      <c r="O8" s="228"/>
      <c r="P8" s="227"/>
      <c r="Q8" s="221"/>
      <c r="R8" s="228"/>
      <c r="AEP8" s="153"/>
    </row>
    <row r="9" spans="2:822">
      <c r="B9" s="157" t="s">
        <v>33</v>
      </c>
      <c r="C9" s="166">
        <v>1.7000000000000001E-2</v>
      </c>
      <c r="E9" s="163">
        <v>2013</v>
      </c>
      <c r="F9" s="170"/>
      <c r="G9" s="168">
        <v>9</v>
      </c>
      <c r="J9" s="912" t="s">
        <v>36</v>
      </c>
      <c r="K9" s="913"/>
      <c r="L9" s="229">
        <f>+L8/5</f>
        <v>6190.3448275862065</v>
      </c>
      <c r="M9" s="236">
        <f>+L9+M8/5</f>
        <v>15475.862068965516</v>
      </c>
      <c r="N9" s="222">
        <f>+M9+N8/5</f>
        <v>22440</v>
      </c>
      <c r="O9" s="229">
        <f>+N9</f>
        <v>22440</v>
      </c>
      <c r="P9" s="234">
        <f>+O9</f>
        <v>22440</v>
      </c>
      <c r="Q9" s="222">
        <f>+P9-L9</f>
        <v>16249.655172413793</v>
      </c>
      <c r="R9" s="229">
        <f>+N9-M9</f>
        <v>6964.1379310344837</v>
      </c>
      <c r="AEP9" s="153"/>
    </row>
    <row r="10" spans="2:822">
      <c r="B10" s="157" t="s">
        <v>28</v>
      </c>
      <c r="C10" s="171">
        <v>0.4</v>
      </c>
      <c r="D10" s="172"/>
      <c r="E10" s="163" t="s">
        <v>383</v>
      </c>
      <c r="F10" s="173">
        <f>SUM(F5:F9)</f>
        <v>26</v>
      </c>
      <c r="G10" s="174">
        <f>SUM(G5:G9)</f>
        <v>29</v>
      </c>
      <c r="L10" s="175"/>
      <c r="M10" s="175"/>
      <c r="N10" s="175"/>
      <c r="O10" s="175"/>
      <c r="P10" s="175"/>
      <c r="Q10" s="175"/>
      <c r="R10" s="176"/>
      <c r="AEP10" s="153"/>
    </row>
    <row r="11" spans="2:822">
      <c r="E11" s="172"/>
      <c r="J11" s="905" t="s">
        <v>13</v>
      </c>
      <c r="K11" s="906"/>
      <c r="O11" s="153"/>
      <c r="P11" s="153"/>
      <c r="Q11" s="153"/>
      <c r="S11" s="153"/>
    </row>
    <row r="12" spans="2:822">
      <c r="B12" s="177" t="s">
        <v>26</v>
      </c>
      <c r="C12" s="177" t="s">
        <v>27</v>
      </c>
      <c r="E12" s="178" t="s">
        <v>54</v>
      </c>
      <c r="F12" s="178" t="s">
        <v>374</v>
      </c>
      <c r="G12" s="178" t="s">
        <v>376</v>
      </c>
      <c r="J12" s="908" t="s">
        <v>37</v>
      </c>
      <c r="K12" s="909"/>
      <c r="L12" s="231">
        <f>+L7</f>
        <v>0.27586206896551724</v>
      </c>
      <c r="M12" s="230">
        <f>+M7</f>
        <v>0.41379310344827586</v>
      </c>
      <c r="N12" s="232">
        <f>+N7</f>
        <v>0.31034482758620691</v>
      </c>
      <c r="O12" s="226"/>
      <c r="P12" s="237"/>
      <c r="Q12" s="220"/>
      <c r="R12" s="226"/>
      <c r="S12" s="153"/>
    </row>
    <row r="13" spans="2:822">
      <c r="B13" s="179">
        <f>+G14*G7/G10</f>
        <v>30951.724137931036</v>
      </c>
      <c r="C13" s="179">
        <f>+$G$15*G7/$G$10</f>
        <v>26868.96551724138</v>
      </c>
      <c r="E13" s="180"/>
      <c r="F13" s="177" t="s">
        <v>0</v>
      </c>
      <c r="G13" s="181" t="s">
        <v>6</v>
      </c>
      <c r="J13" s="910" t="s">
        <v>38</v>
      </c>
      <c r="K13" s="911"/>
      <c r="L13" s="228">
        <f>+L12*$G$15</f>
        <v>26868.96551724138</v>
      </c>
      <c r="M13" s="235">
        <f>+M12*$G$15</f>
        <v>40303.448275862065</v>
      </c>
      <c r="N13" s="221">
        <f>+N12*$G$15</f>
        <v>30227.586206896554</v>
      </c>
      <c r="O13" s="228"/>
      <c r="P13" s="233"/>
      <c r="Q13" s="221"/>
      <c r="R13" s="228"/>
      <c r="S13" s="153"/>
    </row>
    <row r="14" spans="2:822">
      <c r="B14" s="182">
        <f>+G14*G8/G10</f>
        <v>46427.586206896551</v>
      </c>
      <c r="C14" s="182">
        <f>+$G$15*G8/$G$10</f>
        <v>40303.448275862072</v>
      </c>
      <c r="E14" s="183" t="s">
        <v>1</v>
      </c>
      <c r="F14" s="184">
        <v>67200</v>
      </c>
      <c r="G14" s="185">
        <v>112200</v>
      </c>
      <c r="J14" s="912" t="s">
        <v>36</v>
      </c>
      <c r="K14" s="913"/>
      <c r="L14" s="229">
        <f>+L13/5</f>
        <v>5373.7931034482763</v>
      </c>
      <c r="M14" s="236">
        <f>+L14+M13/5</f>
        <v>13434.482758620688</v>
      </c>
      <c r="N14" s="222">
        <f>+M14+N13/5</f>
        <v>19480</v>
      </c>
      <c r="O14" s="229">
        <f>+N14+O13/5</f>
        <v>19480</v>
      </c>
      <c r="P14" s="234">
        <f>+O14+P13/5</f>
        <v>19480</v>
      </c>
      <c r="Q14" s="222">
        <f>+P14-L14</f>
        <v>14106.206896551725</v>
      </c>
      <c r="R14" s="229">
        <f>+N14-M14</f>
        <v>6045.5172413793116</v>
      </c>
      <c r="S14" s="153"/>
    </row>
    <row r="15" spans="2:822">
      <c r="B15" s="182">
        <f>+G14*G9/G10</f>
        <v>34820.689655172413</v>
      </c>
      <c r="C15" s="182">
        <f>+$G$15*G9/$G$10</f>
        <v>30227.586206896551</v>
      </c>
      <c r="E15" s="186" t="s">
        <v>13</v>
      </c>
      <c r="F15" s="187">
        <v>73000</v>
      </c>
      <c r="G15" s="188">
        <v>97400</v>
      </c>
    </row>
    <row r="19" spans="1:822" ht="14.5" thickBot="1">
      <c r="B19" s="119" t="s">
        <v>40</v>
      </c>
      <c r="E19" s="154" t="s">
        <v>37</v>
      </c>
      <c r="F19" s="154" t="s">
        <v>39</v>
      </c>
      <c r="K19" s="189"/>
      <c r="L19" s="189"/>
      <c r="M19" s="223">
        <v>2013</v>
      </c>
      <c r="N19" s="224">
        <v>2014</v>
      </c>
      <c r="O19" s="223">
        <v>2015</v>
      </c>
      <c r="P19" s="224">
        <v>2016</v>
      </c>
      <c r="Q19" s="223">
        <v>2017</v>
      </c>
      <c r="R19" s="224">
        <v>2018</v>
      </c>
      <c r="S19" s="223">
        <v>2019</v>
      </c>
      <c r="T19" s="223">
        <v>2020</v>
      </c>
      <c r="U19" s="224">
        <v>2021</v>
      </c>
      <c r="V19" s="223">
        <v>2022</v>
      </c>
      <c r="W19" s="224">
        <v>2023</v>
      </c>
    </row>
    <row r="20" spans="1:822">
      <c r="E20" s="154">
        <v>8</v>
      </c>
      <c r="F20" s="154">
        <v>12</v>
      </c>
      <c r="K20" s="190"/>
      <c r="L20" s="189"/>
      <c r="M20" s="191"/>
      <c r="N20" s="192"/>
      <c r="O20" s="192"/>
      <c r="P20" s="192"/>
      <c r="Q20" s="192"/>
      <c r="R20" s="192"/>
      <c r="S20" s="192"/>
      <c r="T20" s="192"/>
      <c r="U20" s="192"/>
      <c r="V20" s="192"/>
      <c r="W20" s="192"/>
    </row>
    <row r="21" spans="1:822">
      <c r="B21" s="193" t="s">
        <v>56</v>
      </c>
      <c r="C21" s="194" t="s">
        <v>41</v>
      </c>
      <c r="D21" s="194" t="s">
        <v>42</v>
      </c>
      <c r="E21" s="194" t="s">
        <v>43</v>
      </c>
      <c r="F21" s="194" t="s">
        <v>44</v>
      </c>
      <c r="J21" s="914" t="s">
        <v>48</v>
      </c>
      <c r="K21" s="915"/>
      <c r="L21" s="238"/>
      <c r="M21" s="239"/>
      <c r="N21" s="238">
        <f>+N23*$K$25</f>
        <v>122788.512</v>
      </c>
      <c r="O21" s="239">
        <f t="shared" ref="O21:W21" si="0">+O23*$K$25</f>
        <v>124875.916704</v>
      </c>
      <c r="P21" s="238">
        <f t="shared" si="0"/>
        <v>126998.807287968</v>
      </c>
      <c r="Q21" s="238">
        <f t="shared" si="0"/>
        <v>129157.78701186346</v>
      </c>
      <c r="R21" s="239">
        <f t="shared" si="0"/>
        <v>131353.46939106513</v>
      </c>
      <c r="S21" s="238">
        <f t="shared" si="0"/>
        <v>133586.47837071324</v>
      </c>
      <c r="T21" s="239">
        <f t="shared" si="0"/>
        <v>135857.44850301536</v>
      </c>
      <c r="U21" s="238">
        <f t="shared" si="0"/>
        <v>138167.02512756662</v>
      </c>
      <c r="V21" s="239">
        <f t="shared" si="0"/>
        <v>140515.86455473525</v>
      </c>
      <c r="W21" s="239">
        <f t="shared" si="0"/>
        <v>142904.63425216574</v>
      </c>
      <c r="AEP21" s="153"/>
    </row>
    <row r="22" spans="1:822">
      <c r="B22" s="154">
        <v>2011</v>
      </c>
      <c r="C22" s="195">
        <f>+B13</f>
        <v>30951.724137931036</v>
      </c>
      <c r="D22" s="196">
        <v>0.2</v>
      </c>
      <c r="E22" s="197">
        <f>+C22*D22*E20/F20</f>
        <v>4126.8965517241386</v>
      </c>
      <c r="F22" s="198">
        <f>+C22-E22</f>
        <v>26824.827586206899</v>
      </c>
      <c r="J22" s="199"/>
      <c r="K22" s="152"/>
      <c r="L22" s="200"/>
      <c r="M22" s="200"/>
      <c r="N22" s="200"/>
      <c r="O22" s="200"/>
      <c r="P22" s="200"/>
      <c r="Q22" s="200"/>
      <c r="R22" s="200"/>
      <c r="S22" s="200"/>
      <c r="T22" s="200"/>
      <c r="U22" s="200"/>
      <c r="V22" s="200"/>
      <c r="AEP22" s="153"/>
    </row>
    <row r="23" spans="1:822" ht="16.5" customHeight="1">
      <c r="B23" s="154">
        <v>2012</v>
      </c>
      <c r="C23" s="201">
        <f>+C22</f>
        <v>30951.724137931036</v>
      </c>
      <c r="D23" s="196">
        <v>0.2</v>
      </c>
      <c r="E23" s="198">
        <f>+C23*D23</f>
        <v>6190.3448275862074</v>
      </c>
      <c r="F23" s="198">
        <f>+F22-E23</f>
        <v>20634.482758620692</v>
      </c>
      <c r="J23" s="904" t="s">
        <v>53</v>
      </c>
      <c r="K23" s="904"/>
      <c r="L23" s="134"/>
      <c r="M23" s="250">
        <f>+C8</f>
        <v>120736</v>
      </c>
      <c r="N23" s="251">
        <f t="shared" ref="N23:W23" si="1">+M23+(M23*$C$9)</f>
        <v>122788.512</v>
      </c>
      <c r="O23" s="251">
        <f t="shared" si="1"/>
        <v>124875.916704</v>
      </c>
      <c r="P23" s="250">
        <f t="shared" si="1"/>
        <v>126998.807287968</v>
      </c>
      <c r="Q23" s="251">
        <f t="shared" si="1"/>
        <v>129157.78701186346</v>
      </c>
      <c r="R23" s="251">
        <f t="shared" si="1"/>
        <v>131353.46939106513</v>
      </c>
      <c r="S23" s="250">
        <f t="shared" si="1"/>
        <v>133586.47837071324</v>
      </c>
      <c r="T23" s="251">
        <f t="shared" si="1"/>
        <v>135857.44850301536</v>
      </c>
      <c r="U23" s="251">
        <f t="shared" si="1"/>
        <v>138167.02512756662</v>
      </c>
      <c r="V23" s="250">
        <f t="shared" si="1"/>
        <v>140515.86455473525</v>
      </c>
      <c r="W23" s="251">
        <f t="shared" si="1"/>
        <v>142904.63425216574</v>
      </c>
      <c r="AEP23" s="153"/>
    </row>
    <row r="24" spans="1:822">
      <c r="B24" s="154">
        <v>2013</v>
      </c>
      <c r="C24" s="201">
        <f>+C23</f>
        <v>30951.724137931036</v>
      </c>
      <c r="D24" s="196">
        <v>0.2</v>
      </c>
      <c r="E24" s="198">
        <f>+C24*D24</f>
        <v>6190.3448275862074</v>
      </c>
      <c r="F24" s="198">
        <f>+F23-E24</f>
        <v>14444.137931034486</v>
      </c>
      <c r="J24" s="152"/>
      <c r="K24" s="152"/>
      <c r="L24" s="200"/>
      <c r="M24" s="200"/>
      <c r="N24" s="200"/>
      <c r="O24" s="200"/>
      <c r="P24" s="200"/>
      <c r="Q24" s="200"/>
      <c r="R24" s="200"/>
      <c r="S24" s="200"/>
      <c r="T24" s="200"/>
      <c r="U24" s="200"/>
      <c r="V24" s="200"/>
      <c r="AEP24" s="153"/>
    </row>
    <row r="25" spans="1:822" s="203" customFormat="1" ht="14.5">
      <c r="A25" s="202"/>
      <c r="B25" s="154">
        <v>2014</v>
      </c>
      <c r="C25" s="201">
        <f>+C24</f>
        <v>30951.724137931036</v>
      </c>
      <c r="D25" s="196">
        <v>0.2</v>
      </c>
      <c r="E25" s="198">
        <f>+C25*D25</f>
        <v>6190.3448275862074</v>
      </c>
      <c r="F25" s="198">
        <f>+F24-E25</f>
        <v>8253.793103448279</v>
      </c>
      <c r="G25" s="153"/>
      <c r="H25" s="153"/>
      <c r="J25" s="247" t="s">
        <v>55</v>
      </c>
      <c r="K25" s="136">
        <v>1</v>
      </c>
      <c r="L25" s="136"/>
      <c r="M25" s="135"/>
      <c r="N25" s="136"/>
      <c r="O25" s="136"/>
      <c r="P25" s="135"/>
      <c r="Q25" s="136"/>
      <c r="R25" s="136"/>
      <c r="S25" s="135"/>
      <c r="T25" s="136"/>
      <c r="U25" s="136"/>
      <c r="V25" s="135"/>
      <c r="W25" s="136"/>
      <c r="X25" s="153"/>
      <c r="Y25" s="153"/>
      <c r="Z25" s="153"/>
      <c r="AA25" s="153"/>
      <c r="AB25" s="153"/>
      <c r="AC25" s="153"/>
      <c r="AD25" s="153"/>
      <c r="AE25" s="153"/>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c r="CZ25" s="202"/>
      <c r="DA25" s="202"/>
      <c r="DB25" s="202"/>
      <c r="DC25" s="202"/>
      <c r="DD25" s="202"/>
      <c r="DE25" s="202"/>
      <c r="DF25" s="202"/>
      <c r="DG25" s="202"/>
      <c r="DH25" s="202"/>
      <c r="DI25" s="202"/>
      <c r="DJ25" s="202"/>
      <c r="DK25" s="202"/>
      <c r="DL25" s="202"/>
      <c r="DM25" s="202"/>
      <c r="DN25" s="202"/>
      <c r="DO25" s="202"/>
      <c r="DP25" s="202"/>
      <c r="DQ25" s="202"/>
      <c r="DR25" s="202"/>
      <c r="DS25" s="202"/>
      <c r="DT25" s="202"/>
      <c r="DU25" s="202"/>
      <c r="DV25" s="202"/>
      <c r="DW25" s="202"/>
      <c r="DX25" s="202"/>
      <c r="DY25" s="202"/>
      <c r="DZ25" s="202"/>
      <c r="EA25" s="202"/>
      <c r="EB25" s="202"/>
      <c r="EC25" s="202"/>
      <c r="ED25" s="202"/>
      <c r="EE25" s="202"/>
      <c r="EF25" s="202"/>
      <c r="EG25" s="202"/>
      <c r="EH25" s="202"/>
      <c r="EI25" s="202"/>
      <c r="EJ25" s="202"/>
      <c r="EK25" s="202"/>
      <c r="EL25" s="202"/>
      <c r="EM25" s="202"/>
      <c r="EN25" s="202"/>
      <c r="EO25" s="202"/>
      <c r="EP25" s="202"/>
      <c r="EQ25" s="202"/>
      <c r="ER25" s="202"/>
      <c r="ES25" s="202"/>
      <c r="ET25" s="202"/>
      <c r="EU25" s="202"/>
      <c r="EV25" s="202"/>
      <c r="EW25" s="202"/>
      <c r="EX25" s="202"/>
      <c r="EY25" s="202"/>
      <c r="EZ25" s="202"/>
      <c r="FA25" s="202"/>
      <c r="FB25" s="202"/>
      <c r="FC25" s="202"/>
      <c r="FD25" s="202"/>
      <c r="FE25" s="202"/>
      <c r="FF25" s="202"/>
      <c r="FG25" s="202"/>
      <c r="FH25" s="202"/>
      <c r="FI25" s="202"/>
      <c r="FJ25" s="202"/>
      <c r="FK25" s="202"/>
      <c r="FL25" s="202"/>
      <c r="FM25" s="202"/>
      <c r="FN25" s="202"/>
      <c r="FO25" s="202"/>
      <c r="FP25" s="202"/>
      <c r="FQ25" s="202"/>
      <c r="FR25" s="202"/>
      <c r="FS25" s="202"/>
      <c r="FT25" s="202"/>
      <c r="FU25" s="202"/>
      <c r="FV25" s="202"/>
      <c r="FW25" s="202"/>
      <c r="FX25" s="202"/>
      <c r="FY25" s="202"/>
      <c r="FZ25" s="202"/>
      <c r="GA25" s="202"/>
      <c r="GB25" s="202"/>
      <c r="GC25" s="202"/>
      <c r="GD25" s="202"/>
      <c r="GE25" s="202"/>
      <c r="GF25" s="202"/>
      <c r="GG25" s="202"/>
      <c r="GH25" s="202"/>
      <c r="GI25" s="202"/>
      <c r="GJ25" s="202"/>
      <c r="GK25" s="202"/>
      <c r="GL25" s="202"/>
      <c r="GM25" s="202"/>
      <c r="GN25" s="202"/>
      <c r="GO25" s="202"/>
      <c r="GP25" s="202"/>
      <c r="GQ25" s="202"/>
      <c r="GR25" s="202"/>
      <c r="GS25" s="202"/>
      <c r="GT25" s="202"/>
      <c r="GU25" s="202"/>
      <c r="GV25" s="202"/>
      <c r="GW25" s="202"/>
      <c r="GX25" s="202"/>
      <c r="GY25" s="202"/>
      <c r="GZ25" s="202"/>
      <c r="HA25" s="202"/>
      <c r="HB25" s="202"/>
      <c r="HC25" s="202"/>
      <c r="HD25" s="202"/>
      <c r="HE25" s="202"/>
      <c r="HF25" s="202"/>
      <c r="HG25" s="202"/>
      <c r="HH25" s="202"/>
      <c r="HI25" s="202"/>
      <c r="HJ25" s="202"/>
      <c r="HK25" s="202"/>
      <c r="HL25" s="202"/>
      <c r="HM25" s="202"/>
      <c r="HN25" s="202"/>
      <c r="HO25" s="202"/>
      <c r="HP25" s="202"/>
      <c r="HQ25" s="202"/>
      <c r="HR25" s="202"/>
      <c r="HS25" s="202"/>
      <c r="HT25" s="202"/>
      <c r="HU25" s="202"/>
      <c r="HV25" s="202"/>
      <c r="HW25" s="202"/>
      <c r="HX25" s="202"/>
      <c r="HY25" s="202"/>
      <c r="HZ25" s="202"/>
      <c r="IA25" s="202"/>
      <c r="IB25" s="202"/>
      <c r="IC25" s="202"/>
      <c r="ID25" s="202"/>
      <c r="IE25" s="202"/>
      <c r="IF25" s="202"/>
      <c r="IG25" s="202"/>
      <c r="IH25" s="202"/>
      <c r="II25" s="202"/>
      <c r="IJ25" s="202"/>
      <c r="IK25" s="202"/>
      <c r="IL25" s="202"/>
      <c r="IM25" s="202"/>
      <c r="IN25" s="202"/>
      <c r="IO25" s="202"/>
      <c r="IP25" s="202"/>
      <c r="IQ25" s="202"/>
      <c r="IR25" s="202"/>
      <c r="IS25" s="202"/>
      <c r="IT25" s="202"/>
      <c r="IU25" s="202"/>
      <c r="IV25" s="202"/>
      <c r="IW25" s="202"/>
      <c r="IX25" s="202"/>
      <c r="IY25" s="202"/>
      <c r="IZ25" s="202"/>
      <c r="JA25" s="202"/>
      <c r="JB25" s="202"/>
      <c r="JC25" s="202"/>
      <c r="JD25" s="202"/>
      <c r="JE25" s="202"/>
      <c r="JF25" s="202"/>
      <c r="JG25" s="202"/>
      <c r="JH25" s="202"/>
      <c r="JI25" s="202"/>
      <c r="JJ25" s="202"/>
      <c r="JK25" s="202"/>
      <c r="JL25" s="202"/>
      <c r="JM25" s="202"/>
      <c r="JN25" s="202"/>
      <c r="JO25" s="202"/>
      <c r="JP25" s="202"/>
      <c r="JQ25" s="202"/>
      <c r="JR25" s="202"/>
      <c r="JS25" s="202"/>
      <c r="JT25" s="202"/>
      <c r="JU25" s="202"/>
      <c r="JV25" s="202"/>
      <c r="JW25" s="202"/>
      <c r="JX25" s="202"/>
      <c r="JY25" s="202"/>
      <c r="JZ25" s="202"/>
      <c r="KA25" s="202"/>
      <c r="KB25" s="202"/>
      <c r="KC25" s="202"/>
      <c r="KD25" s="202"/>
      <c r="KE25" s="202"/>
      <c r="KF25" s="202"/>
      <c r="KG25" s="202"/>
      <c r="KH25" s="202"/>
      <c r="KI25" s="202"/>
      <c r="KJ25" s="202"/>
      <c r="KK25" s="202"/>
      <c r="KL25" s="202"/>
      <c r="KM25" s="202"/>
      <c r="KN25" s="202"/>
      <c r="KO25" s="202"/>
      <c r="KP25" s="202"/>
      <c r="KQ25" s="202"/>
      <c r="KR25" s="202"/>
      <c r="KS25" s="202"/>
      <c r="KT25" s="202"/>
      <c r="KU25" s="202"/>
      <c r="KV25" s="202"/>
      <c r="KW25" s="202"/>
      <c r="KX25" s="202"/>
      <c r="KY25" s="202"/>
      <c r="KZ25" s="202"/>
      <c r="LA25" s="202"/>
      <c r="LB25" s="202"/>
      <c r="LC25" s="202"/>
      <c r="LD25" s="202"/>
      <c r="LE25" s="202"/>
      <c r="LF25" s="202"/>
      <c r="LG25" s="202"/>
      <c r="LH25" s="202"/>
      <c r="LI25" s="202"/>
      <c r="LJ25" s="202"/>
      <c r="LK25" s="202"/>
      <c r="LL25" s="202"/>
      <c r="LM25" s="202"/>
      <c r="LN25" s="202"/>
      <c r="LO25" s="202"/>
      <c r="LP25" s="202"/>
      <c r="LQ25" s="202"/>
      <c r="LR25" s="202"/>
      <c r="LS25" s="202"/>
      <c r="LT25" s="202"/>
      <c r="LU25" s="202"/>
      <c r="LV25" s="202"/>
      <c r="LW25" s="202"/>
      <c r="LX25" s="202"/>
      <c r="LY25" s="202"/>
      <c r="LZ25" s="202"/>
      <c r="MA25" s="202"/>
      <c r="MB25" s="202"/>
      <c r="MC25" s="202"/>
      <c r="MD25" s="202"/>
      <c r="ME25" s="202"/>
      <c r="MF25" s="202"/>
      <c r="MG25" s="202"/>
      <c r="MH25" s="202"/>
      <c r="MI25" s="202"/>
      <c r="MJ25" s="202"/>
      <c r="MK25" s="202"/>
      <c r="ML25" s="202"/>
      <c r="MM25" s="202"/>
      <c r="MN25" s="202"/>
      <c r="MO25" s="202"/>
      <c r="MP25" s="202"/>
      <c r="MQ25" s="202"/>
      <c r="MR25" s="202"/>
      <c r="MS25" s="202"/>
      <c r="MT25" s="202"/>
      <c r="MU25" s="202"/>
      <c r="MV25" s="202"/>
      <c r="MW25" s="202"/>
      <c r="MX25" s="202"/>
      <c r="MY25" s="202"/>
      <c r="MZ25" s="202"/>
      <c r="NA25" s="202"/>
      <c r="NB25" s="202"/>
      <c r="NC25" s="202"/>
      <c r="ND25" s="202"/>
      <c r="NE25" s="202"/>
      <c r="NF25" s="202"/>
      <c r="NG25" s="202"/>
      <c r="NH25" s="202"/>
      <c r="NI25" s="202"/>
      <c r="NJ25" s="202"/>
      <c r="NK25" s="202"/>
      <c r="NL25" s="202"/>
      <c r="NM25" s="202"/>
      <c r="NN25" s="202"/>
      <c r="NO25" s="202"/>
      <c r="NP25" s="202"/>
      <c r="NQ25" s="202"/>
      <c r="NR25" s="202"/>
      <c r="NS25" s="202"/>
      <c r="NT25" s="202"/>
      <c r="NU25" s="202"/>
      <c r="NV25" s="202"/>
      <c r="NW25" s="202"/>
      <c r="NX25" s="202"/>
      <c r="NY25" s="202"/>
      <c r="NZ25" s="202"/>
      <c r="OA25" s="202"/>
      <c r="OB25" s="202"/>
      <c r="OC25" s="202"/>
      <c r="OD25" s="202"/>
      <c r="OE25" s="202"/>
      <c r="OF25" s="202"/>
      <c r="OG25" s="202"/>
      <c r="OH25" s="202"/>
      <c r="OI25" s="202"/>
      <c r="OJ25" s="202"/>
      <c r="OK25" s="202"/>
      <c r="OL25" s="202"/>
      <c r="OM25" s="202"/>
      <c r="ON25" s="202"/>
      <c r="OO25" s="202"/>
      <c r="OP25" s="202"/>
      <c r="OQ25" s="202"/>
      <c r="OR25" s="202"/>
      <c r="OS25" s="202"/>
      <c r="OT25" s="202"/>
      <c r="OU25" s="202"/>
      <c r="OV25" s="202"/>
      <c r="OW25" s="202"/>
      <c r="OX25" s="202"/>
      <c r="OY25" s="202"/>
      <c r="OZ25" s="202"/>
      <c r="PA25" s="202"/>
      <c r="PB25" s="202"/>
      <c r="PC25" s="202"/>
      <c r="PD25" s="202"/>
      <c r="PE25" s="202"/>
      <c r="PF25" s="202"/>
      <c r="PG25" s="202"/>
      <c r="PH25" s="202"/>
      <c r="PI25" s="202"/>
      <c r="PJ25" s="202"/>
      <c r="PK25" s="202"/>
      <c r="PL25" s="202"/>
      <c r="PM25" s="202"/>
      <c r="PN25" s="202"/>
      <c r="PO25" s="202"/>
      <c r="PP25" s="202"/>
      <c r="PQ25" s="202"/>
      <c r="PR25" s="202"/>
      <c r="PS25" s="202"/>
      <c r="PT25" s="202"/>
      <c r="PU25" s="202"/>
      <c r="PV25" s="202"/>
      <c r="PW25" s="202"/>
      <c r="PX25" s="202"/>
      <c r="PY25" s="202"/>
      <c r="PZ25" s="202"/>
      <c r="QA25" s="202"/>
      <c r="QB25" s="202"/>
      <c r="QC25" s="202"/>
      <c r="QD25" s="202"/>
      <c r="QE25" s="202"/>
      <c r="QF25" s="202"/>
      <c r="QG25" s="202"/>
      <c r="QH25" s="202"/>
      <c r="QI25" s="202"/>
      <c r="QJ25" s="202"/>
      <c r="QK25" s="202"/>
      <c r="QL25" s="202"/>
      <c r="QM25" s="202"/>
      <c r="QN25" s="202"/>
      <c r="QO25" s="202"/>
      <c r="QP25" s="202"/>
      <c r="QQ25" s="202"/>
      <c r="QR25" s="202"/>
      <c r="QS25" s="202"/>
      <c r="QT25" s="202"/>
      <c r="QU25" s="202"/>
      <c r="QV25" s="202"/>
      <c r="QW25" s="202"/>
      <c r="QX25" s="202"/>
      <c r="QY25" s="202"/>
      <c r="QZ25" s="202"/>
      <c r="RA25" s="202"/>
      <c r="RB25" s="202"/>
      <c r="RC25" s="202"/>
      <c r="RD25" s="202"/>
      <c r="RE25" s="202"/>
      <c r="RF25" s="202"/>
      <c r="RG25" s="202"/>
      <c r="RH25" s="202"/>
      <c r="RI25" s="202"/>
      <c r="RJ25" s="202"/>
      <c r="RK25" s="202"/>
      <c r="RL25" s="202"/>
      <c r="RM25" s="202"/>
      <c r="RN25" s="202"/>
      <c r="RO25" s="202"/>
      <c r="RP25" s="202"/>
      <c r="RQ25" s="202"/>
      <c r="RR25" s="202"/>
      <c r="RS25" s="202"/>
      <c r="RT25" s="202"/>
      <c r="RU25" s="202"/>
      <c r="RV25" s="202"/>
      <c r="RW25" s="202"/>
      <c r="RX25" s="202"/>
      <c r="RY25" s="202"/>
      <c r="RZ25" s="202"/>
      <c r="SA25" s="202"/>
      <c r="SB25" s="202"/>
      <c r="SC25" s="202"/>
      <c r="SD25" s="202"/>
      <c r="SE25" s="202"/>
      <c r="SF25" s="202"/>
      <c r="SG25" s="202"/>
      <c r="SH25" s="202"/>
      <c r="SI25" s="202"/>
      <c r="SJ25" s="202"/>
      <c r="SK25" s="202"/>
      <c r="SL25" s="202"/>
      <c r="SM25" s="202"/>
      <c r="SN25" s="202"/>
      <c r="SO25" s="202"/>
      <c r="SP25" s="202"/>
      <c r="SQ25" s="202"/>
      <c r="SR25" s="202"/>
      <c r="SS25" s="202"/>
      <c r="ST25" s="202"/>
      <c r="SU25" s="202"/>
      <c r="SV25" s="202"/>
      <c r="SW25" s="202"/>
      <c r="SX25" s="202"/>
      <c r="SY25" s="202"/>
      <c r="SZ25" s="202"/>
      <c r="TA25" s="202"/>
      <c r="TB25" s="202"/>
      <c r="TC25" s="202"/>
      <c r="TD25" s="202"/>
      <c r="TE25" s="202"/>
      <c r="TF25" s="202"/>
      <c r="TG25" s="202"/>
      <c r="TH25" s="202"/>
      <c r="TI25" s="202"/>
      <c r="TJ25" s="202"/>
      <c r="TK25" s="202"/>
      <c r="TL25" s="202"/>
      <c r="TM25" s="202"/>
      <c r="TN25" s="202"/>
      <c r="TO25" s="202"/>
      <c r="TP25" s="202"/>
      <c r="TQ25" s="202"/>
      <c r="TR25" s="202"/>
      <c r="TS25" s="202"/>
      <c r="TT25" s="202"/>
      <c r="TU25" s="202"/>
      <c r="TV25" s="202"/>
      <c r="TW25" s="202"/>
      <c r="TX25" s="202"/>
      <c r="TY25" s="202"/>
      <c r="TZ25" s="202"/>
      <c r="UA25" s="202"/>
      <c r="UB25" s="202"/>
      <c r="UC25" s="202"/>
      <c r="UD25" s="202"/>
      <c r="UE25" s="202"/>
      <c r="UF25" s="202"/>
      <c r="UG25" s="202"/>
      <c r="UH25" s="202"/>
      <c r="UI25" s="202"/>
      <c r="UJ25" s="202"/>
      <c r="UK25" s="202"/>
      <c r="UL25" s="202"/>
      <c r="UM25" s="202"/>
      <c r="UN25" s="202"/>
      <c r="UO25" s="202"/>
      <c r="UP25" s="202"/>
      <c r="UQ25" s="202"/>
      <c r="UR25" s="202"/>
      <c r="US25" s="202"/>
      <c r="UT25" s="202"/>
      <c r="UU25" s="202"/>
      <c r="UV25" s="202"/>
      <c r="UW25" s="202"/>
      <c r="UX25" s="202"/>
      <c r="UY25" s="202"/>
      <c r="UZ25" s="202"/>
      <c r="VA25" s="202"/>
      <c r="VB25" s="202"/>
      <c r="VC25" s="202"/>
      <c r="VD25" s="202"/>
      <c r="VE25" s="202"/>
      <c r="VF25" s="202"/>
      <c r="VG25" s="202"/>
      <c r="VH25" s="202"/>
      <c r="VI25" s="202"/>
      <c r="VJ25" s="202"/>
      <c r="VK25" s="202"/>
      <c r="VL25" s="202"/>
      <c r="VM25" s="202"/>
      <c r="VN25" s="202"/>
      <c r="VO25" s="202"/>
      <c r="VP25" s="202"/>
      <c r="VQ25" s="202"/>
      <c r="VR25" s="202"/>
      <c r="VS25" s="202"/>
      <c r="VT25" s="202"/>
      <c r="VU25" s="202"/>
      <c r="VV25" s="202"/>
      <c r="VW25" s="202"/>
      <c r="VX25" s="202"/>
      <c r="VY25" s="202"/>
      <c r="VZ25" s="202"/>
      <c r="WA25" s="202"/>
      <c r="WB25" s="202"/>
      <c r="WC25" s="202"/>
      <c r="WD25" s="202"/>
      <c r="WE25" s="202"/>
      <c r="WF25" s="202"/>
      <c r="WG25" s="202"/>
      <c r="WH25" s="202"/>
      <c r="WI25" s="202"/>
      <c r="WJ25" s="202"/>
      <c r="WK25" s="202"/>
      <c r="WL25" s="202"/>
      <c r="WM25" s="202"/>
      <c r="WN25" s="202"/>
      <c r="WO25" s="202"/>
      <c r="WP25" s="202"/>
      <c r="WQ25" s="202"/>
      <c r="WR25" s="202"/>
      <c r="WS25" s="202"/>
      <c r="WT25" s="202"/>
      <c r="WU25" s="202"/>
      <c r="WV25" s="202"/>
      <c r="WW25" s="202"/>
      <c r="WX25" s="202"/>
      <c r="WY25" s="202"/>
      <c r="WZ25" s="202"/>
      <c r="XA25" s="202"/>
      <c r="XB25" s="202"/>
      <c r="XC25" s="202"/>
      <c r="XD25" s="202"/>
      <c r="XE25" s="202"/>
      <c r="XF25" s="202"/>
      <c r="XG25" s="202"/>
      <c r="XH25" s="202"/>
      <c r="XI25" s="202"/>
      <c r="XJ25" s="202"/>
      <c r="XK25" s="202"/>
      <c r="XL25" s="202"/>
      <c r="XM25" s="202"/>
      <c r="XN25" s="202"/>
      <c r="XO25" s="202"/>
      <c r="XP25" s="202"/>
      <c r="XQ25" s="202"/>
      <c r="XR25" s="202"/>
      <c r="XS25" s="202"/>
      <c r="XT25" s="202"/>
      <c r="XU25" s="202"/>
      <c r="XV25" s="202"/>
      <c r="XW25" s="202"/>
      <c r="XX25" s="202"/>
      <c r="XY25" s="202"/>
      <c r="XZ25" s="202"/>
      <c r="YA25" s="202"/>
      <c r="YB25" s="202"/>
      <c r="YC25" s="202"/>
      <c r="YD25" s="202"/>
      <c r="YE25" s="202"/>
      <c r="YF25" s="202"/>
      <c r="YG25" s="202"/>
      <c r="YH25" s="202"/>
      <c r="YI25" s="202"/>
      <c r="YJ25" s="202"/>
      <c r="YK25" s="202"/>
      <c r="YL25" s="202"/>
      <c r="YM25" s="202"/>
      <c r="YN25" s="202"/>
      <c r="YO25" s="202"/>
      <c r="YP25" s="202"/>
      <c r="YQ25" s="202"/>
      <c r="YR25" s="202"/>
      <c r="YS25" s="202"/>
      <c r="YT25" s="202"/>
      <c r="YU25" s="202"/>
      <c r="YV25" s="202"/>
      <c r="YW25" s="202"/>
      <c r="YX25" s="202"/>
      <c r="YY25" s="202"/>
      <c r="YZ25" s="202"/>
      <c r="ZA25" s="202"/>
      <c r="ZB25" s="202"/>
      <c r="ZC25" s="202"/>
      <c r="ZD25" s="202"/>
      <c r="ZE25" s="202"/>
      <c r="ZF25" s="202"/>
      <c r="ZG25" s="202"/>
      <c r="ZH25" s="202"/>
      <c r="ZI25" s="202"/>
      <c r="ZJ25" s="202"/>
      <c r="ZK25" s="202"/>
      <c r="ZL25" s="202"/>
      <c r="ZM25" s="202"/>
      <c r="ZN25" s="202"/>
      <c r="ZO25" s="202"/>
      <c r="ZP25" s="202"/>
      <c r="ZQ25" s="202"/>
      <c r="ZR25" s="202"/>
      <c r="ZS25" s="202"/>
      <c r="ZT25" s="202"/>
      <c r="ZU25" s="202"/>
      <c r="ZV25" s="202"/>
      <c r="ZW25" s="202"/>
      <c r="ZX25" s="202"/>
      <c r="ZY25" s="202"/>
      <c r="ZZ25" s="202"/>
      <c r="AAA25" s="202"/>
      <c r="AAB25" s="202"/>
      <c r="AAC25" s="202"/>
      <c r="AAD25" s="202"/>
      <c r="AAE25" s="202"/>
      <c r="AAF25" s="202"/>
      <c r="AAG25" s="202"/>
      <c r="AAH25" s="202"/>
      <c r="AAI25" s="202"/>
      <c r="AAJ25" s="202"/>
      <c r="AAK25" s="202"/>
      <c r="AAL25" s="202"/>
      <c r="AAM25" s="202"/>
      <c r="AAN25" s="202"/>
      <c r="AAO25" s="202"/>
      <c r="AAP25" s="202"/>
      <c r="AAQ25" s="202"/>
      <c r="AAR25" s="202"/>
      <c r="AAS25" s="202"/>
      <c r="AAT25" s="202"/>
      <c r="AAU25" s="202"/>
      <c r="AAV25" s="202"/>
      <c r="AAW25" s="202"/>
      <c r="AAX25" s="202"/>
      <c r="AAY25" s="202"/>
      <c r="AAZ25" s="202"/>
      <c r="ABA25" s="202"/>
      <c r="ABB25" s="202"/>
      <c r="ABC25" s="202"/>
      <c r="ABD25" s="202"/>
      <c r="ABE25" s="202"/>
      <c r="ABF25" s="202"/>
      <c r="ABG25" s="202"/>
      <c r="ABH25" s="202"/>
      <c r="ABI25" s="202"/>
      <c r="ABJ25" s="202"/>
      <c r="ABK25" s="202"/>
      <c r="ABL25" s="202"/>
      <c r="ABM25" s="202"/>
      <c r="ABN25" s="202"/>
      <c r="ABO25" s="202"/>
      <c r="ABP25" s="202"/>
      <c r="ABQ25" s="202"/>
      <c r="ABR25" s="202"/>
      <c r="ABS25" s="202"/>
      <c r="ABT25" s="202"/>
      <c r="ABU25" s="202"/>
      <c r="ABV25" s="202"/>
      <c r="ABW25" s="202"/>
      <c r="ABX25" s="202"/>
      <c r="ABY25" s="202"/>
      <c r="ABZ25" s="202"/>
      <c r="ACA25" s="202"/>
      <c r="ACB25" s="202"/>
      <c r="ACC25" s="202"/>
      <c r="ACD25" s="202"/>
      <c r="ACE25" s="202"/>
      <c r="ACF25" s="202"/>
      <c r="ACG25" s="202"/>
      <c r="ACH25" s="202"/>
      <c r="ACI25" s="202"/>
      <c r="ACJ25" s="202"/>
      <c r="ACK25" s="202"/>
      <c r="ACL25" s="202"/>
      <c r="ACM25" s="202"/>
      <c r="ACN25" s="202"/>
      <c r="ACO25" s="202"/>
      <c r="ACP25" s="202"/>
      <c r="ACQ25" s="202"/>
      <c r="ACR25" s="202"/>
      <c r="ACS25" s="202"/>
      <c r="ACT25" s="202"/>
      <c r="ACU25" s="202"/>
      <c r="ACV25" s="202"/>
      <c r="ACW25" s="202"/>
      <c r="ACX25" s="202"/>
      <c r="ACY25" s="202"/>
      <c r="ACZ25" s="202"/>
      <c r="ADA25" s="202"/>
      <c r="ADB25" s="202"/>
      <c r="ADC25" s="202"/>
      <c r="ADD25" s="202"/>
      <c r="ADE25" s="202"/>
      <c r="ADF25" s="202"/>
      <c r="ADG25" s="202"/>
      <c r="ADH25" s="202"/>
      <c r="ADI25" s="202"/>
      <c r="ADJ25" s="202"/>
      <c r="ADK25" s="202"/>
      <c r="ADL25" s="202"/>
      <c r="ADM25" s="202"/>
      <c r="ADN25" s="202"/>
      <c r="ADO25" s="202"/>
      <c r="ADP25" s="202"/>
      <c r="ADQ25" s="202"/>
      <c r="ADR25" s="202"/>
      <c r="ADS25" s="202"/>
      <c r="ADT25" s="202"/>
      <c r="ADU25" s="202"/>
      <c r="ADV25" s="202"/>
      <c r="ADW25" s="202"/>
      <c r="ADX25" s="202"/>
      <c r="ADY25" s="202"/>
      <c r="ADZ25" s="202"/>
      <c r="AEA25" s="202"/>
      <c r="AEB25" s="202"/>
      <c r="AEC25" s="202"/>
      <c r="AED25" s="202"/>
      <c r="AEE25" s="202"/>
      <c r="AEF25" s="202"/>
      <c r="AEG25" s="202"/>
      <c r="AEH25" s="202"/>
      <c r="AEI25" s="202"/>
      <c r="AEJ25" s="202"/>
      <c r="AEK25" s="202"/>
      <c r="AEL25" s="202"/>
      <c r="AEM25" s="202"/>
      <c r="AEN25" s="202"/>
      <c r="AEO25" s="202"/>
    </row>
    <row r="26" spans="1:822">
      <c r="B26" s="154">
        <v>2015</v>
      </c>
      <c r="C26" s="201">
        <f>+C25</f>
        <v>30951.724137931036</v>
      </c>
      <c r="D26" s="196">
        <v>0.2</v>
      </c>
      <c r="E26" s="198">
        <f>+C26*D26</f>
        <v>6190.3448275862074</v>
      </c>
      <c r="F26" s="198">
        <f>+F25-E26</f>
        <v>2063.4482758620716</v>
      </c>
      <c r="K26" s="199"/>
      <c r="L26" s="200"/>
      <c r="M26" s="200"/>
      <c r="N26" s="200"/>
      <c r="O26" s="200"/>
      <c r="P26" s="200"/>
      <c r="Q26" s="200"/>
      <c r="R26" s="200"/>
      <c r="S26" s="200"/>
      <c r="T26" s="200"/>
      <c r="U26" s="200"/>
      <c r="V26" s="200"/>
      <c r="AEP26" s="153"/>
    </row>
    <row r="27" spans="1:822" ht="14.5">
      <c r="B27" s="154">
        <v>2016</v>
      </c>
      <c r="C27" s="201">
        <f>+C26</f>
        <v>30951.724137931036</v>
      </c>
      <c r="D27" s="196">
        <v>0.2</v>
      </c>
      <c r="E27" s="198">
        <f>+C27*D27*4/12</f>
        <v>2063.4482758620693</v>
      </c>
      <c r="F27" s="198">
        <f>+F26-E27</f>
        <v>0</v>
      </c>
      <c r="J27" s="903" t="s">
        <v>52</v>
      </c>
      <c r="K27" s="903"/>
      <c r="L27" s="243"/>
      <c r="M27" s="244">
        <f t="shared" ref="M27:W27" si="2">+M37+M33+M31</f>
        <v>0</v>
      </c>
      <c r="N27" s="252">
        <f t="shared" si="2"/>
        <v>28785.587520000001</v>
      </c>
      <c r="O27" s="252">
        <f t="shared" si="2"/>
        <v>29223.942507839998</v>
      </c>
      <c r="P27" s="253">
        <f t="shared" si="2"/>
        <v>29669.74953047328</v>
      </c>
      <c r="Q27" s="252">
        <f t="shared" si="2"/>
        <v>30123.135272491323</v>
      </c>
      <c r="R27" s="252">
        <f t="shared" si="2"/>
        <v>30584.228572123677</v>
      </c>
      <c r="S27" s="253">
        <f t="shared" si="2"/>
        <v>31053.160457849779</v>
      </c>
      <c r="T27" s="252">
        <f t="shared" si="2"/>
        <v>31530.064185633226</v>
      </c>
      <c r="U27" s="252">
        <f t="shared" si="2"/>
        <v>32015.07527678899</v>
      </c>
      <c r="V27" s="253">
        <f t="shared" si="2"/>
        <v>32508.331556494402</v>
      </c>
      <c r="W27" s="252">
        <f t="shared" si="2"/>
        <v>33009.9731929548</v>
      </c>
      <c r="AEP27" s="153"/>
    </row>
    <row r="28" spans="1:822">
      <c r="B28" s="152"/>
      <c r="C28" s="152"/>
      <c r="D28" s="154"/>
      <c r="E28" s="152"/>
      <c r="F28" s="152"/>
      <c r="J28" s="152"/>
      <c r="K28" s="152"/>
      <c r="L28" s="200"/>
      <c r="M28" s="200"/>
      <c r="N28" s="254"/>
      <c r="O28" s="254"/>
      <c r="P28" s="254"/>
      <c r="Q28" s="254"/>
      <c r="R28" s="254"/>
      <c r="S28" s="254"/>
      <c r="T28" s="254"/>
      <c r="U28" s="254"/>
      <c r="V28" s="254"/>
      <c r="W28" s="255"/>
      <c r="X28" s="204"/>
      <c r="Y28" s="204"/>
      <c r="Z28" s="204"/>
      <c r="AA28" s="204"/>
      <c r="AB28" s="204"/>
      <c r="AC28" s="204"/>
      <c r="AD28" s="204"/>
      <c r="AE28" s="204"/>
      <c r="AEP28" s="153"/>
    </row>
    <row r="29" spans="1:822" ht="14.5">
      <c r="B29" s="193" t="s">
        <v>57</v>
      </c>
      <c r="C29" s="205"/>
      <c r="D29" s="205"/>
      <c r="E29" s="205"/>
      <c r="F29" s="205"/>
      <c r="J29" s="249" t="s">
        <v>49</v>
      </c>
      <c r="K29" s="246"/>
      <c r="L29" s="246"/>
      <c r="M29" s="245">
        <f>M31+M33</f>
        <v>0</v>
      </c>
      <c r="N29" s="256">
        <f t="shared" ref="N29:W29" si="3">N31+N33</f>
        <v>25785.587520000001</v>
      </c>
      <c r="O29" s="256">
        <f t="shared" si="3"/>
        <v>26223.942507839998</v>
      </c>
      <c r="P29" s="257">
        <f t="shared" si="3"/>
        <v>26669.74953047328</v>
      </c>
      <c r="Q29" s="256">
        <f t="shared" si="3"/>
        <v>27123.135272491323</v>
      </c>
      <c r="R29" s="256">
        <f t="shared" si="3"/>
        <v>27584.228572123677</v>
      </c>
      <c r="S29" s="257">
        <f t="shared" si="3"/>
        <v>28053.160457849779</v>
      </c>
      <c r="T29" s="256">
        <f t="shared" si="3"/>
        <v>28530.064185633226</v>
      </c>
      <c r="U29" s="256">
        <f t="shared" si="3"/>
        <v>29015.07527678899</v>
      </c>
      <c r="V29" s="257">
        <f t="shared" si="3"/>
        <v>29508.331556494402</v>
      </c>
      <c r="W29" s="256">
        <f t="shared" si="3"/>
        <v>30009.973192954803</v>
      </c>
      <c r="AEP29" s="153"/>
    </row>
    <row r="30" spans="1:822" s="211" customFormat="1">
      <c r="A30" s="204"/>
      <c r="B30" s="206">
        <v>2012</v>
      </c>
      <c r="C30" s="207">
        <f>+$B$14</f>
        <v>46427.586206896551</v>
      </c>
      <c r="D30" s="208">
        <v>0.2</v>
      </c>
      <c r="E30" s="209">
        <f>+D30*C30</f>
        <v>9285.5172413793098</v>
      </c>
      <c r="F30" s="210">
        <f>+C30-E30</f>
        <v>37142.068965517239</v>
      </c>
      <c r="G30" s="153"/>
      <c r="H30" s="153"/>
      <c r="I30" s="204"/>
      <c r="J30" s="153"/>
      <c r="K30" s="199"/>
      <c r="L30" s="200"/>
      <c r="M30" s="200"/>
      <c r="N30" s="254"/>
      <c r="O30" s="254"/>
      <c r="P30" s="254"/>
      <c r="Q30" s="254"/>
      <c r="R30" s="254"/>
      <c r="S30" s="254"/>
      <c r="T30" s="254"/>
      <c r="U30" s="254"/>
      <c r="V30" s="254"/>
      <c r="W30" s="258"/>
      <c r="X30" s="151"/>
      <c r="Y30" s="151"/>
      <c r="Z30" s="151"/>
      <c r="AA30" s="151"/>
      <c r="AB30" s="151"/>
      <c r="AC30" s="151"/>
      <c r="AD30" s="151"/>
      <c r="AE30" s="151"/>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204"/>
      <c r="DB30" s="204"/>
      <c r="DC30" s="204"/>
      <c r="DD30" s="204"/>
      <c r="DE30" s="204"/>
      <c r="DF30" s="204"/>
      <c r="DG30" s="204"/>
      <c r="DH30" s="204"/>
      <c r="DI30" s="204"/>
      <c r="DJ30" s="204"/>
      <c r="DK30" s="204"/>
      <c r="DL30" s="204"/>
      <c r="DM30" s="204"/>
      <c r="DN30" s="204"/>
      <c r="DO30" s="204"/>
      <c r="DP30" s="204"/>
      <c r="DQ30" s="204"/>
      <c r="DR30" s="204"/>
      <c r="DS30" s="204"/>
      <c r="DT30" s="204"/>
      <c r="DU30" s="204"/>
      <c r="DV30" s="204"/>
      <c r="DW30" s="204"/>
      <c r="DX30" s="204"/>
      <c r="DY30" s="204"/>
      <c r="DZ30" s="204"/>
      <c r="EA30" s="204"/>
      <c r="EB30" s="204"/>
      <c r="EC30" s="204"/>
      <c r="ED30" s="204"/>
      <c r="EE30" s="204"/>
      <c r="EF30" s="204"/>
      <c r="EG30" s="204"/>
      <c r="EH30" s="204"/>
      <c r="EI30" s="204"/>
      <c r="EJ30" s="204"/>
      <c r="EK30" s="204"/>
      <c r="EL30" s="204"/>
      <c r="EM30" s="204"/>
      <c r="EN30" s="204"/>
      <c r="EO30" s="204"/>
      <c r="EP30" s="204"/>
      <c r="EQ30" s="204"/>
      <c r="ER30" s="204"/>
      <c r="ES30" s="204"/>
      <c r="ET30" s="204"/>
      <c r="EU30" s="204"/>
      <c r="EV30" s="204"/>
      <c r="EW30" s="204"/>
      <c r="EX30" s="204"/>
      <c r="EY30" s="204"/>
      <c r="EZ30" s="204"/>
      <c r="FA30" s="204"/>
      <c r="FB30" s="204"/>
      <c r="FC30" s="204"/>
      <c r="FD30" s="204"/>
      <c r="FE30" s="204"/>
      <c r="FF30" s="204"/>
      <c r="FG30" s="204"/>
      <c r="FH30" s="204"/>
      <c r="FI30" s="204"/>
      <c r="FJ30" s="204"/>
      <c r="FK30" s="204"/>
      <c r="FL30" s="204"/>
      <c r="FM30" s="204"/>
      <c r="FN30" s="204"/>
      <c r="FO30" s="204"/>
      <c r="FP30" s="204"/>
      <c r="FQ30" s="204"/>
      <c r="FR30" s="204"/>
      <c r="FS30" s="204"/>
      <c r="FT30" s="204"/>
      <c r="FU30" s="204"/>
      <c r="FV30" s="204"/>
      <c r="FW30" s="204"/>
      <c r="FX30" s="204"/>
      <c r="FY30" s="204"/>
      <c r="FZ30" s="204"/>
      <c r="GA30" s="204"/>
      <c r="GB30" s="204"/>
      <c r="GC30" s="204"/>
      <c r="GD30" s="204"/>
      <c r="GE30" s="204"/>
      <c r="GF30" s="204"/>
      <c r="GG30" s="204"/>
      <c r="GH30" s="204"/>
      <c r="GI30" s="204"/>
      <c r="GJ30" s="204"/>
      <c r="GK30" s="204"/>
      <c r="GL30" s="204"/>
      <c r="GM30" s="204"/>
      <c r="GN30" s="204"/>
      <c r="GO30" s="204"/>
      <c r="GP30" s="204"/>
      <c r="GQ30" s="204"/>
      <c r="GR30" s="204"/>
      <c r="GS30" s="204"/>
      <c r="GT30" s="204"/>
      <c r="GU30" s="204"/>
      <c r="GV30" s="204"/>
      <c r="GW30" s="204"/>
      <c r="GX30" s="204"/>
      <c r="GY30" s="204"/>
      <c r="GZ30" s="204"/>
      <c r="HA30" s="204"/>
      <c r="HB30" s="204"/>
      <c r="HC30" s="204"/>
      <c r="HD30" s="204"/>
      <c r="HE30" s="204"/>
      <c r="HF30" s="204"/>
      <c r="HG30" s="204"/>
      <c r="HH30" s="204"/>
      <c r="HI30" s="204"/>
      <c r="HJ30" s="204"/>
      <c r="HK30" s="204"/>
      <c r="HL30" s="204"/>
      <c r="HM30" s="204"/>
      <c r="HN30" s="204"/>
      <c r="HO30" s="204"/>
      <c r="HP30" s="204"/>
      <c r="HQ30" s="204"/>
      <c r="HR30" s="204"/>
      <c r="HS30" s="204"/>
      <c r="HT30" s="204"/>
      <c r="HU30" s="204"/>
      <c r="HV30" s="204"/>
      <c r="HW30" s="204"/>
      <c r="HX30" s="204"/>
      <c r="HY30" s="204"/>
      <c r="HZ30" s="204"/>
      <c r="IA30" s="204"/>
      <c r="IB30" s="204"/>
      <c r="IC30" s="204"/>
      <c r="ID30" s="204"/>
      <c r="IE30" s="204"/>
      <c r="IF30" s="204"/>
      <c r="IG30" s="204"/>
      <c r="IH30" s="204"/>
      <c r="II30" s="204"/>
      <c r="IJ30" s="204"/>
      <c r="IK30" s="204"/>
      <c r="IL30" s="204"/>
      <c r="IM30" s="204"/>
      <c r="IN30" s="204"/>
      <c r="IO30" s="204"/>
      <c r="IP30" s="204"/>
      <c r="IQ30" s="204"/>
      <c r="IR30" s="204"/>
      <c r="IS30" s="204"/>
      <c r="IT30" s="204"/>
      <c r="IU30" s="204"/>
      <c r="IV30" s="204"/>
      <c r="IW30" s="204"/>
      <c r="IX30" s="204"/>
      <c r="IY30" s="204"/>
      <c r="IZ30" s="204"/>
      <c r="JA30" s="204"/>
      <c r="JB30" s="204"/>
      <c r="JC30" s="204"/>
      <c r="JD30" s="204"/>
      <c r="JE30" s="204"/>
      <c r="JF30" s="204"/>
      <c r="JG30" s="204"/>
      <c r="JH30" s="204"/>
      <c r="JI30" s="204"/>
      <c r="JJ30" s="204"/>
      <c r="JK30" s="204"/>
      <c r="JL30" s="204"/>
      <c r="JM30" s="204"/>
      <c r="JN30" s="204"/>
      <c r="JO30" s="204"/>
      <c r="JP30" s="204"/>
      <c r="JQ30" s="204"/>
      <c r="JR30" s="204"/>
      <c r="JS30" s="204"/>
      <c r="JT30" s="204"/>
      <c r="JU30" s="204"/>
      <c r="JV30" s="204"/>
      <c r="JW30" s="204"/>
      <c r="JX30" s="204"/>
      <c r="JY30" s="204"/>
      <c r="JZ30" s="204"/>
      <c r="KA30" s="204"/>
      <c r="KB30" s="204"/>
      <c r="KC30" s="204"/>
      <c r="KD30" s="204"/>
      <c r="KE30" s="204"/>
      <c r="KF30" s="204"/>
      <c r="KG30" s="204"/>
      <c r="KH30" s="204"/>
      <c r="KI30" s="204"/>
      <c r="KJ30" s="204"/>
      <c r="KK30" s="204"/>
      <c r="KL30" s="204"/>
      <c r="KM30" s="204"/>
      <c r="KN30" s="204"/>
      <c r="KO30" s="204"/>
      <c r="KP30" s="204"/>
      <c r="KQ30" s="204"/>
      <c r="KR30" s="204"/>
      <c r="KS30" s="204"/>
      <c r="KT30" s="204"/>
      <c r="KU30" s="204"/>
      <c r="KV30" s="204"/>
      <c r="KW30" s="204"/>
      <c r="KX30" s="204"/>
      <c r="KY30" s="204"/>
      <c r="KZ30" s="204"/>
      <c r="LA30" s="204"/>
      <c r="LB30" s="204"/>
      <c r="LC30" s="204"/>
      <c r="LD30" s="204"/>
      <c r="LE30" s="204"/>
      <c r="LF30" s="204"/>
      <c r="LG30" s="204"/>
      <c r="LH30" s="204"/>
      <c r="LI30" s="204"/>
      <c r="LJ30" s="204"/>
      <c r="LK30" s="204"/>
      <c r="LL30" s="204"/>
      <c r="LM30" s="204"/>
      <c r="LN30" s="204"/>
      <c r="LO30" s="204"/>
      <c r="LP30" s="204"/>
      <c r="LQ30" s="204"/>
      <c r="LR30" s="204"/>
      <c r="LS30" s="204"/>
      <c r="LT30" s="204"/>
      <c r="LU30" s="204"/>
      <c r="LV30" s="204"/>
      <c r="LW30" s="204"/>
      <c r="LX30" s="204"/>
      <c r="LY30" s="204"/>
      <c r="LZ30" s="204"/>
      <c r="MA30" s="204"/>
      <c r="MB30" s="204"/>
      <c r="MC30" s="204"/>
      <c r="MD30" s="204"/>
      <c r="ME30" s="204"/>
      <c r="MF30" s="204"/>
      <c r="MG30" s="204"/>
      <c r="MH30" s="204"/>
      <c r="MI30" s="204"/>
      <c r="MJ30" s="204"/>
      <c r="MK30" s="204"/>
      <c r="ML30" s="204"/>
      <c r="MM30" s="204"/>
      <c r="MN30" s="204"/>
      <c r="MO30" s="204"/>
      <c r="MP30" s="204"/>
      <c r="MQ30" s="204"/>
      <c r="MR30" s="204"/>
      <c r="MS30" s="204"/>
      <c r="MT30" s="204"/>
      <c r="MU30" s="204"/>
      <c r="MV30" s="204"/>
      <c r="MW30" s="204"/>
      <c r="MX30" s="204"/>
      <c r="MY30" s="204"/>
      <c r="MZ30" s="204"/>
      <c r="NA30" s="204"/>
      <c r="NB30" s="204"/>
      <c r="NC30" s="204"/>
      <c r="ND30" s="204"/>
      <c r="NE30" s="204"/>
      <c r="NF30" s="204"/>
      <c r="NG30" s="204"/>
      <c r="NH30" s="204"/>
      <c r="NI30" s="204"/>
      <c r="NJ30" s="204"/>
      <c r="NK30" s="204"/>
      <c r="NL30" s="204"/>
      <c r="NM30" s="204"/>
      <c r="NN30" s="204"/>
      <c r="NO30" s="204"/>
      <c r="NP30" s="204"/>
      <c r="NQ30" s="204"/>
      <c r="NR30" s="204"/>
      <c r="NS30" s="204"/>
      <c r="NT30" s="204"/>
      <c r="NU30" s="204"/>
      <c r="NV30" s="204"/>
      <c r="NW30" s="204"/>
      <c r="NX30" s="204"/>
      <c r="NY30" s="204"/>
      <c r="NZ30" s="204"/>
      <c r="OA30" s="204"/>
      <c r="OB30" s="204"/>
      <c r="OC30" s="204"/>
      <c r="OD30" s="204"/>
      <c r="OE30" s="204"/>
      <c r="OF30" s="204"/>
      <c r="OG30" s="204"/>
      <c r="OH30" s="204"/>
      <c r="OI30" s="204"/>
      <c r="OJ30" s="204"/>
      <c r="OK30" s="204"/>
      <c r="OL30" s="204"/>
      <c r="OM30" s="204"/>
      <c r="ON30" s="204"/>
      <c r="OO30" s="204"/>
      <c r="OP30" s="204"/>
      <c r="OQ30" s="204"/>
      <c r="OR30" s="204"/>
      <c r="OS30" s="204"/>
      <c r="OT30" s="204"/>
      <c r="OU30" s="204"/>
      <c r="OV30" s="204"/>
      <c r="OW30" s="204"/>
      <c r="OX30" s="204"/>
      <c r="OY30" s="204"/>
      <c r="OZ30" s="204"/>
      <c r="PA30" s="204"/>
      <c r="PB30" s="204"/>
      <c r="PC30" s="204"/>
      <c r="PD30" s="204"/>
      <c r="PE30" s="204"/>
      <c r="PF30" s="204"/>
      <c r="PG30" s="204"/>
      <c r="PH30" s="204"/>
      <c r="PI30" s="204"/>
      <c r="PJ30" s="204"/>
      <c r="PK30" s="204"/>
      <c r="PL30" s="204"/>
      <c r="PM30" s="204"/>
      <c r="PN30" s="204"/>
      <c r="PO30" s="204"/>
      <c r="PP30" s="204"/>
      <c r="PQ30" s="204"/>
      <c r="PR30" s="204"/>
      <c r="PS30" s="204"/>
      <c r="PT30" s="204"/>
      <c r="PU30" s="204"/>
      <c r="PV30" s="204"/>
      <c r="PW30" s="204"/>
      <c r="PX30" s="204"/>
      <c r="PY30" s="204"/>
      <c r="PZ30" s="204"/>
      <c r="QA30" s="204"/>
      <c r="QB30" s="204"/>
      <c r="QC30" s="204"/>
      <c r="QD30" s="204"/>
      <c r="QE30" s="204"/>
      <c r="QF30" s="204"/>
      <c r="QG30" s="204"/>
      <c r="QH30" s="204"/>
      <c r="QI30" s="204"/>
      <c r="QJ30" s="204"/>
      <c r="QK30" s="204"/>
      <c r="QL30" s="204"/>
      <c r="QM30" s="204"/>
      <c r="QN30" s="204"/>
      <c r="QO30" s="204"/>
      <c r="QP30" s="204"/>
      <c r="QQ30" s="204"/>
      <c r="QR30" s="204"/>
      <c r="QS30" s="204"/>
      <c r="QT30" s="204"/>
      <c r="QU30" s="204"/>
      <c r="QV30" s="204"/>
      <c r="QW30" s="204"/>
      <c r="QX30" s="204"/>
      <c r="QY30" s="204"/>
      <c r="QZ30" s="204"/>
      <c r="RA30" s="204"/>
      <c r="RB30" s="204"/>
      <c r="RC30" s="204"/>
      <c r="RD30" s="204"/>
      <c r="RE30" s="204"/>
      <c r="RF30" s="204"/>
      <c r="RG30" s="204"/>
      <c r="RH30" s="204"/>
      <c r="RI30" s="204"/>
      <c r="RJ30" s="204"/>
      <c r="RK30" s="204"/>
      <c r="RL30" s="204"/>
      <c r="RM30" s="204"/>
      <c r="RN30" s="204"/>
      <c r="RO30" s="204"/>
      <c r="RP30" s="204"/>
      <c r="RQ30" s="204"/>
      <c r="RR30" s="204"/>
      <c r="RS30" s="204"/>
      <c r="RT30" s="204"/>
      <c r="RU30" s="204"/>
      <c r="RV30" s="204"/>
      <c r="RW30" s="204"/>
      <c r="RX30" s="204"/>
      <c r="RY30" s="204"/>
      <c r="RZ30" s="204"/>
      <c r="SA30" s="204"/>
      <c r="SB30" s="204"/>
      <c r="SC30" s="204"/>
      <c r="SD30" s="204"/>
      <c r="SE30" s="204"/>
      <c r="SF30" s="204"/>
      <c r="SG30" s="204"/>
      <c r="SH30" s="204"/>
      <c r="SI30" s="204"/>
      <c r="SJ30" s="204"/>
      <c r="SK30" s="204"/>
      <c r="SL30" s="204"/>
      <c r="SM30" s="204"/>
      <c r="SN30" s="204"/>
      <c r="SO30" s="204"/>
      <c r="SP30" s="204"/>
      <c r="SQ30" s="204"/>
      <c r="SR30" s="204"/>
      <c r="SS30" s="204"/>
      <c r="ST30" s="204"/>
      <c r="SU30" s="204"/>
      <c r="SV30" s="204"/>
      <c r="SW30" s="204"/>
      <c r="SX30" s="204"/>
      <c r="SY30" s="204"/>
      <c r="SZ30" s="204"/>
      <c r="TA30" s="204"/>
      <c r="TB30" s="204"/>
      <c r="TC30" s="204"/>
      <c r="TD30" s="204"/>
      <c r="TE30" s="204"/>
      <c r="TF30" s="204"/>
      <c r="TG30" s="204"/>
      <c r="TH30" s="204"/>
      <c r="TI30" s="204"/>
      <c r="TJ30" s="204"/>
      <c r="TK30" s="204"/>
      <c r="TL30" s="204"/>
      <c r="TM30" s="204"/>
      <c r="TN30" s="204"/>
      <c r="TO30" s="204"/>
      <c r="TP30" s="204"/>
      <c r="TQ30" s="204"/>
      <c r="TR30" s="204"/>
      <c r="TS30" s="204"/>
      <c r="TT30" s="204"/>
      <c r="TU30" s="204"/>
      <c r="TV30" s="204"/>
      <c r="TW30" s="204"/>
      <c r="TX30" s="204"/>
      <c r="TY30" s="204"/>
      <c r="TZ30" s="204"/>
      <c r="UA30" s="204"/>
      <c r="UB30" s="204"/>
      <c r="UC30" s="204"/>
      <c r="UD30" s="204"/>
      <c r="UE30" s="204"/>
      <c r="UF30" s="204"/>
      <c r="UG30" s="204"/>
      <c r="UH30" s="204"/>
      <c r="UI30" s="204"/>
      <c r="UJ30" s="204"/>
      <c r="UK30" s="204"/>
      <c r="UL30" s="204"/>
      <c r="UM30" s="204"/>
      <c r="UN30" s="204"/>
      <c r="UO30" s="204"/>
      <c r="UP30" s="204"/>
      <c r="UQ30" s="204"/>
      <c r="UR30" s="204"/>
      <c r="US30" s="204"/>
      <c r="UT30" s="204"/>
      <c r="UU30" s="204"/>
      <c r="UV30" s="204"/>
      <c r="UW30" s="204"/>
      <c r="UX30" s="204"/>
      <c r="UY30" s="204"/>
      <c r="UZ30" s="204"/>
      <c r="VA30" s="204"/>
      <c r="VB30" s="204"/>
      <c r="VC30" s="204"/>
      <c r="VD30" s="204"/>
      <c r="VE30" s="204"/>
      <c r="VF30" s="204"/>
      <c r="VG30" s="204"/>
      <c r="VH30" s="204"/>
      <c r="VI30" s="204"/>
      <c r="VJ30" s="204"/>
      <c r="VK30" s="204"/>
      <c r="VL30" s="204"/>
      <c r="VM30" s="204"/>
      <c r="VN30" s="204"/>
      <c r="VO30" s="204"/>
      <c r="VP30" s="204"/>
      <c r="VQ30" s="204"/>
      <c r="VR30" s="204"/>
      <c r="VS30" s="204"/>
      <c r="VT30" s="204"/>
      <c r="VU30" s="204"/>
      <c r="VV30" s="204"/>
      <c r="VW30" s="204"/>
      <c r="VX30" s="204"/>
      <c r="VY30" s="204"/>
      <c r="VZ30" s="204"/>
      <c r="WA30" s="204"/>
      <c r="WB30" s="204"/>
      <c r="WC30" s="204"/>
      <c r="WD30" s="204"/>
      <c r="WE30" s="204"/>
      <c r="WF30" s="204"/>
      <c r="WG30" s="204"/>
      <c r="WH30" s="204"/>
      <c r="WI30" s="204"/>
      <c r="WJ30" s="204"/>
      <c r="WK30" s="204"/>
      <c r="WL30" s="204"/>
      <c r="WM30" s="204"/>
      <c r="WN30" s="204"/>
      <c r="WO30" s="204"/>
      <c r="WP30" s="204"/>
      <c r="WQ30" s="204"/>
      <c r="WR30" s="204"/>
      <c r="WS30" s="204"/>
      <c r="WT30" s="204"/>
      <c r="WU30" s="204"/>
      <c r="WV30" s="204"/>
      <c r="WW30" s="204"/>
      <c r="WX30" s="204"/>
      <c r="WY30" s="204"/>
      <c r="WZ30" s="204"/>
      <c r="XA30" s="204"/>
      <c r="XB30" s="204"/>
      <c r="XC30" s="204"/>
      <c r="XD30" s="204"/>
      <c r="XE30" s="204"/>
      <c r="XF30" s="204"/>
      <c r="XG30" s="204"/>
      <c r="XH30" s="204"/>
      <c r="XI30" s="204"/>
      <c r="XJ30" s="204"/>
      <c r="XK30" s="204"/>
      <c r="XL30" s="204"/>
      <c r="XM30" s="204"/>
      <c r="XN30" s="204"/>
      <c r="XO30" s="204"/>
      <c r="XP30" s="204"/>
      <c r="XQ30" s="204"/>
      <c r="XR30" s="204"/>
      <c r="XS30" s="204"/>
      <c r="XT30" s="204"/>
      <c r="XU30" s="204"/>
      <c r="XV30" s="204"/>
      <c r="XW30" s="204"/>
      <c r="XX30" s="204"/>
      <c r="XY30" s="204"/>
      <c r="XZ30" s="204"/>
      <c r="YA30" s="204"/>
      <c r="YB30" s="204"/>
      <c r="YC30" s="204"/>
      <c r="YD30" s="204"/>
      <c r="YE30" s="204"/>
      <c r="YF30" s="204"/>
      <c r="YG30" s="204"/>
      <c r="YH30" s="204"/>
      <c r="YI30" s="204"/>
      <c r="YJ30" s="204"/>
      <c r="YK30" s="204"/>
      <c r="YL30" s="204"/>
      <c r="YM30" s="204"/>
      <c r="YN30" s="204"/>
      <c r="YO30" s="204"/>
      <c r="YP30" s="204"/>
      <c r="YQ30" s="204"/>
      <c r="YR30" s="204"/>
      <c r="YS30" s="204"/>
      <c r="YT30" s="204"/>
      <c r="YU30" s="204"/>
      <c r="YV30" s="204"/>
      <c r="YW30" s="204"/>
      <c r="YX30" s="204"/>
      <c r="YY30" s="204"/>
      <c r="YZ30" s="204"/>
      <c r="ZA30" s="204"/>
      <c r="ZB30" s="204"/>
      <c r="ZC30" s="204"/>
      <c r="ZD30" s="204"/>
      <c r="ZE30" s="204"/>
      <c r="ZF30" s="204"/>
      <c r="ZG30" s="204"/>
      <c r="ZH30" s="204"/>
      <c r="ZI30" s="204"/>
      <c r="ZJ30" s="204"/>
      <c r="ZK30" s="204"/>
      <c r="ZL30" s="204"/>
      <c r="ZM30" s="204"/>
      <c r="ZN30" s="204"/>
      <c r="ZO30" s="204"/>
      <c r="ZP30" s="204"/>
      <c r="ZQ30" s="204"/>
      <c r="ZR30" s="204"/>
      <c r="ZS30" s="204"/>
      <c r="ZT30" s="204"/>
      <c r="ZU30" s="204"/>
      <c r="ZV30" s="204"/>
      <c r="ZW30" s="204"/>
      <c r="ZX30" s="204"/>
      <c r="ZY30" s="204"/>
      <c r="ZZ30" s="204"/>
      <c r="AAA30" s="204"/>
      <c r="AAB30" s="204"/>
      <c r="AAC30" s="204"/>
      <c r="AAD30" s="204"/>
      <c r="AAE30" s="204"/>
      <c r="AAF30" s="204"/>
      <c r="AAG30" s="204"/>
      <c r="AAH30" s="204"/>
      <c r="AAI30" s="204"/>
      <c r="AAJ30" s="204"/>
      <c r="AAK30" s="204"/>
      <c r="AAL30" s="204"/>
      <c r="AAM30" s="204"/>
      <c r="AAN30" s="204"/>
      <c r="AAO30" s="204"/>
      <c r="AAP30" s="204"/>
      <c r="AAQ30" s="204"/>
      <c r="AAR30" s="204"/>
      <c r="AAS30" s="204"/>
      <c r="AAT30" s="204"/>
      <c r="AAU30" s="204"/>
      <c r="AAV30" s="204"/>
      <c r="AAW30" s="204"/>
      <c r="AAX30" s="204"/>
      <c r="AAY30" s="204"/>
      <c r="AAZ30" s="204"/>
      <c r="ABA30" s="204"/>
      <c r="ABB30" s="204"/>
      <c r="ABC30" s="204"/>
      <c r="ABD30" s="204"/>
      <c r="ABE30" s="204"/>
      <c r="ABF30" s="204"/>
      <c r="ABG30" s="204"/>
      <c r="ABH30" s="204"/>
      <c r="ABI30" s="204"/>
      <c r="ABJ30" s="204"/>
      <c r="ABK30" s="204"/>
      <c r="ABL30" s="204"/>
      <c r="ABM30" s="204"/>
      <c r="ABN30" s="204"/>
      <c r="ABO30" s="204"/>
      <c r="ABP30" s="204"/>
      <c r="ABQ30" s="204"/>
      <c r="ABR30" s="204"/>
      <c r="ABS30" s="204"/>
      <c r="ABT30" s="204"/>
      <c r="ABU30" s="204"/>
      <c r="ABV30" s="204"/>
      <c r="ABW30" s="204"/>
      <c r="ABX30" s="204"/>
      <c r="ABY30" s="204"/>
      <c r="ABZ30" s="204"/>
      <c r="ACA30" s="204"/>
      <c r="ACB30" s="204"/>
      <c r="ACC30" s="204"/>
      <c r="ACD30" s="204"/>
      <c r="ACE30" s="204"/>
      <c r="ACF30" s="204"/>
      <c r="ACG30" s="204"/>
      <c r="ACH30" s="204"/>
      <c r="ACI30" s="204"/>
      <c r="ACJ30" s="204"/>
      <c r="ACK30" s="204"/>
      <c r="ACL30" s="204"/>
      <c r="ACM30" s="204"/>
      <c r="ACN30" s="204"/>
      <c r="ACO30" s="204"/>
      <c r="ACP30" s="204"/>
      <c r="ACQ30" s="204"/>
      <c r="ACR30" s="204"/>
      <c r="ACS30" s="204"/>
      <c r="ACT30" s="204"/>
      <c r="ACU30" s="204"/>
      <c r="ACV30" s="204"/>
      <c r="ACW30" s="204"/>
      <c r="ACX30" s="204"/>
      <c r="ACY30" s="204"/>
      <c r="ACZ30" s="204"/>
      <c r="ADA30" s="204"/>
      <c r="ADB30" s="204"/>
      <c r="ADC30" s="204"/>
      <c r="ADD30" s="204"/>
      <c r="ADE30" s="204"/>
      <c r="ADF30" s="204"/>
      <c r="ADG30" s="204"/>
      <c r="ADH30" s="204"/>
      <c r="ADI30" s="204"/>
      <c r="ADJ30" s="204"/>
      <c r="ADK30" s="204"/>
      <c r="ADL30" s="204"/>
      <c r="ADM30" s="204"/>
      <c r="ADN30" s="204"/>
      <c r="ADO30" s="204"/>
      <c r="ADP30" s="204"/>
      <c r="ADQ30" s="204"/>
      <c r="ADR30" s="204"/>
      <c r="ADS30" s="204"/>
      <c r="ADT30" s="204"/>
      <c r="ADU30" s="204"/>
      <c r="ADV30" s="204"/>
      <c r="ADW30" s="204"/>
      <c r="ADX30" s="204"/>
      <c r="ADY30" s="204"/>
      <c r="ADZ30" s="204"/>
      <c r="AEA30" s="204"/>
      <c r="AEB30" s="204"/>
      <c r="AEC30" s="204"/>
      <c r="AED30" s="204"/>
      <c r="AEE30" s="204"/>
      <c r="AEF30" s="204"/>
      <c r="AEG30" s="204"/>
      <c r="AEH30" s="204"/>
      <c r="AEI30" s="204"/>
      <c r="AEJ30" s="204"/>
      <c r="AEK30" s="204"/>
      <c r="AEL30" s="204"/>
      <c r="AEM30" s="204"/>
      <c r="AEN30" s="204"/>
      <c r="AEO30" s="204"/>
    </row>
    <row r="31" spans="1:822" ht="14.5">
      <c r="B31" s="154">
        <v>2013</v>
      </c>
      <c r="C31" s="201">
        <f>+$B$14</f>
        <v>46427.586206896551</v>
      </c>
      <c r="D31" s="196">
        <v>0.2</v>
      </c>
      <c r="E31" s="198">
        <f>+D31*C31</f>
        <v>9285.5172413793098</v>
      </c>
      <c r="F31" s="198">
        <f>+F30-E31</f>
        <v>27856.551724137928</v>
      </c>
      <c r="I31" s="151"/>
      <c r="J31" s="248" t="s">
        <v>34</v>
      </c>
      <c r="K31" s="133">
        <v>0.18</v>
      </c>
      <c r="L31" s="134"/>
      <c r="M31" s="133">
        <v>0</v>
      </c>
      <c r="N31" s="251">
        <f>+N23*$K$31</f>
        <v>22101.93216</v>
      </c>
      <c r="O31" s="251">
        <f t="shared" ref="O31:W31" si="4">+O23*$K$31</f>
        <v>22477.665006719999</v>
      </c>
      <c r="P31" s="250">
        <f t="shared" si="4"/>
        <v>22859.785311834239</v>
      </c>
      <c r="Q31" s="251">
        <f t="shared" si="4"/>
        <v>23248.40166213542</v>
      </c>
      <c r="R31" s="251">
        <f t="shared" si="4"/>
        <v>23643.624490391721</v>
      </c>
      <c r="S31" s="250">
        <f t="shared" si="4"/>
        <v>24045.566106728384</v>
      </c>
      <c r="T31" s="251">
        <f t="shared" si="4"/>
        <v>24454.340730542765</v>
      </c>
      <c r="U31" s="251">
        <f t="shared" si="4"/>
        <v>24870.064522961991</v>
      </c>
      <c r="V31" s="250">
        <f t="shared" si="4"/>
        <v>25292.855619852344</v>
      </c>
      <c r="W31" s="251">
        <f t="shared" si="4"/>
        <v>25722.834165389831</v>
      </c>
      <c r="X31" s="212"/>
      <c r="Y31" s="212"/>
      <c r="Z31" s="212"/>
      <c r="AA31" s="212"/>
      <c r="AB31" s="212"/>
      <c r="AC31" s="212"/>
      <c r="AD31" s="212"/>
      <c r="AE31" s="212"/>
      <c r="AEP31" s="153"/>
    </row>
    <row r="32" spans="1:822">
      <c r="B32" s="206">
        <v>2014</v>
      </c>
      <c r="C32" s="213">
        <f>+$B$14</f>
        <v>46427.586206896551</v>
      </c>
      <c r="D32" s="208">
        <v>0.2</v>
      </c>
      <c r="E32" s="210">
        <f>+D32*C32</f>
        <v>9285.5172413793098</v>
      </c>
      <c r="F32" s="210">
        <f>+F31-E32</f>
        <v>18571.034482758616</v>
      </c>
      <c r="I32" s="151"/>
      <c r="J32" s="152"/>
      <c r="K32" s="152"/>
      <c r="L32" s="200"/>
      <c r="M32" s="200"/>
      <c r="N32" s="254"/>
      <c r="O32" s="254"/>
      <c r="P32" s="254"/>
      <c r="Q32" s="254"/>
      <c r="R32" s="254"/>
      <c r="S32" s="254"/>
      <c r="T32" s="254"/>
      <c r="U32" s="254"/>
      <c r="V32" s="254"/>
      <c r="W32" s="258"/>
      <c r="AEP32" s="153"/>
    </row>
    <row r="33" spans="1:822" s="212" customFormat="1" ht="14.5">
      <c r="B33" s="154">
        <v>2015</v>
      </c>
      <c r="C33" s="201">
        <f>+$B$14</f>
        <v>46427.586206896551</v>
      </c>
      <c r="D33" s="196">
        <v>0.2</v>
      </c>
      <c r="E33" s="198">
        <f>+D33*C33</f>
        <v>9285.5172413793098</v>
      </c>
      <c r="F33" s="198">
        <f>+F32-E33</f>
        <v>9285.5172413793061</v>
      </c>
      <c r="G33" s="153"/>
      <c r="H33" s="153"/>
      <c r="J33" s="247" t="s">
        <v>50</v>
      </c>
      <c r="K33" s="136">
        <v>0.03</v>
      </c>
      <c r="L33" s="136"/>
      <c r="M33" s="135">
        <f t="shared" ref="M33:W33" si="5">+M21*$K$33</f>
        <v>0</v>
      </c>
      <c r="N33" s="259">
        <f t="shared" si="5"/>
        <v>3683.6553599999997</v>
      </c>
      <c r="O33" s="259">
        <f t="shared" si="5"/>
        <v>3746.2775011200001</v>
      </c>
      <c r="P33" s="260">
        <f t="shared" si="5"/>
        <v>3809.9642186390397</v>
      </c>
      <c r="Q33" s="259">
        <f t="shared" si="5"/>
        <v>3874.7336103559037</v>
      </c>
      <c r="R33" s="259">
        <f t="shared" si="5"/>
        <v>3940.6040817319536</v>
      </c>
      <c r="S33" s="260">
        <f t="shared" si="5"/>
        <v>4007.5943511213973</v>
      </c>
      <c r="T33" s="259">
        <f t="shared" si="5"/>
        <v>4075.7234550904604</v>
      </c>
      <c r="U33" s="259">
        <f t="shared" si="5"/>
        <v>4145.0107538269986</v>
      </c>
      <c r="V33" s="260">
        <f t="shared" si="5"/>
        <v>4215.4759366420576</v>
      </c>
      <c r="W33" s="259">
        <f t="shared" si="5"/>
        <v>4287.1390275649719</v>
      </c>
      <c r="X33" s="151"/>
      <c r="Y33" s="151"/>
      <c r="Z33" s="151"/>
      <c r="AA33" s="151"/>
      <c r="AB33" s="151"/>
      <c r="AC33" s="151"/>
      <c r="AD33" s="151"/>
      <c r="AE33" s="151"/>
    </row>
    <row r="34" spans="1:822">
      <c r="B34" s="206">
        <v>2016</v>
      </c>
      <c r="C34" s="213">
        <f>+$B$14</f>
        <v>46427.586206896551</v>
      </c>
      <c r="D34" s="208">
        <v>0.2</v>
      </c>
      <c r="E34" s="210">
        <f>+D34*C34</f>
        <v>9285.5172413793098</v>
      </c>
      <c r="F34" s="210">
        <f>+F33-E34</f>
        <v>0</v>
      </c>
      <c r="I34" s="151"/>
      <c r="J34" s="152"/>
      <c r="K34" s="152"/>
      <c r="L34" s="200"/>
      <c r="M34" s="200"/>
      <c r="N34" s="254"/>
      <c r="O34" s="254"/>
      <c r="P34" s="254"/>
      <c r="Q34" s="254"/>
      <c r="R34" s="254"/>
      <c r="S34" s="254"/>
      <c r="T34" s="254"/>
      <c r="U34" s="254"/>
      <c r="V34" s="254"/>
      <c r="W34" s="261"/>
      <c r="X34" s="214"/>
      <c r="Y34" s="214"/>
      <c r="Z34" s="214"/>
      <c r="AA34" s="214"/>
      <c r="AB34" s="214"/>
      <c r="AC34" s="214"/>
      <c r="AD34" s="214"/>
      <c r="AE34" s="214"/>
      <c r="AEP34" s="153"/>
    </row>
    <row r="35" spans="1:822" ht="14.5">
      <c r="B35" s="152"/>
      <c r="C35" s="152"/>
      <c r="D35" s="154"/>
      <c r="E35" s="152"/>
      <c r="F35" s="152"/>
      <c r="I35" s="151"/>
      <c r="J35" s="903" t="s">
        <v>35</v>
      </c>
      <c r="K35" s="903"/>
      <c r="L35" s="243"/>
      <c r="M35" s="244">
        <f>M37</f>
        <v>0</v>
      </c>
      <c r="N35" s="252">
        <f t="shared" ref="N35:W35" si="6">N37</f>
        <v>3000</v>
      </c>
      <c r="O35" s="252">
        <f t="shared" si="6"/>
        <v>3000</v>
      </c>
      <c r="P35" s="253">
        <f t="shared" si="6"/>
        <v>3000</v>
      </c>
      <c r="Q35" s="252">
        <f t="shared" si="6"/>
        <v>3000</v>
      </c>
      <c r="R35" s="252">
        <f t="shared" si="6"/>
        <v>3000</v>
      </c>
      <c r="S35" s="253">
        <f t="shared" si="6"/>
        <v>3000</v>
      </c>
      <c r="T35" s="252">
        <f t="shared" si="6"/>
        <v>3000</v>
      </c>
      <c r="U35" s="252">
        <f t="shared" si="6"/>
        <v>3000</v>
      </c>
      <c r="V35" s="253">
        <f t="shared" si="6"/>
        <v>3000</v>
      </c>
      <c r="W35" s="252">
        <f t="shared" si="6"/>
        <v>3000</v>
      </c>
      <c r="AEP35" s="153"/>
    </row>
    <row r="36" spans="1:822" s="215" customFormat="1">
      <c r="A36" s="214"/>
      <c r="B36" s="152" t="s">
        <v>58</v>
      </c>
      <c r="C36" s="152" t="s">
        <v>374</v>
      </c>
      <c r="D36" s="154" t="s">
        <v>376</v>
      </c>
      <c r="E36" s="152" t="s">
        <v>377</v>
      </c>
      <c r="F36" s="152" t="s">
        <v>378</v>
      </c>
      <c r="G36" s="153"/>
      <c r="H36" s="153"/>
      <c r="I36" s="214"/>
      <c r="J36" s="152"/>
      <c r="K36" s="152"/>
      <c r="L36" s="200"/>
      <c r="M36" s="200"/>
      <c r="N36" s="254"/>
      <c r="O36" s="254"/>
      <c r="P36" s="254"/>
      <c r="Q36" s="254"/>
      <c r="R36" s="254"/>
      <c r="S36" s="254"/>
      <c r="T36" s="254"/>
      <c r="U36" s="254"/>
      <c r="V36" s="254"/>
      <c r="W36" s="258"/>
      <c r="X36" s="151"/>
      <c r="Y36" s="151"/>
      <c r="Z36" s="151"/>
      <c r="AA36" s="151"/>
      <c r="AB36" s="151"/>
      <c r="AC36" s="151"/>
      <c r="AD36" s="151"/>
      <c r="AE36" s="151"/>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c r="IW36" s="214"/>
      <c r="IX36" s="214"/>
      <c r="IY36" s="214"/>
      <c r="IZ36" s="214"/>
      <c r="JA36" s="214"/>
      <c r="JB36" s="214"/>
      <c r="JC36" s="214"/>
      <c r="JD36" s="214"/>
      <c r="JE36" s="214"/>
      <c r="JF36" s="214"/>
      <c r="JG36" s="214"/>
      <c r="JH36" s="214"/>
      <c r="JI36" s="214"/>
      <c r="JJ36" s="214"/>
      <c r="JK36" s="214"/>
      <c r="JL36" s="214"/>
      <c r="JM36" s="214"/>
      <c r="JN36" s="214"/>
      <c r="JO36" s="214"/>
      <c r="JP36" s="214"/>
      <c r="JQ36" s="214"/>
      <c r="JR36" s="214"/>
      <c r="JS36" s="214"/>
      <c r="JT36" s="214"/>
      <c r="JU36" s="214"/>
      <c r="JV36" s="214"/>
      <c r="JW36" s="214"/>
      <c r="JX36" s="214"/>
      <c r="JY36" s="214"/>
      <c r="JZ36" s="214"/>
      <c r="KA36" s="214"/>
      <c r="KB36" s="214"/>
      <c r="KC36" s="214"/>
      <c r="KD36" s="214"/>
      <c r="KE36" s="214"/>
      <c r="KF36" s="214"/>
      <c r="KG36" s="214"/>
      <c r="KH36" s="214"/>
      <c r="KI36" s="214"/>
      <c r="KJ36" s="214"/>
      <c r="KK36" s="214"/>
      <c r="KL36" s="214"/>
      <c r="KM36" s="214"/>
      <c r="KN36" s="214"/>
      <c r="KO36" s="214"/>
      <c r="KP36" s="214"/>
      <c r="KQ36" s="214"/>
      <c r="KR36" s="214"/>
      <c r="KS36" s="214"/>
      <c r="KT36" s="214"/>
      <c r="KU36" s="214"/>
      <c r="KV36" s="214"/>
      <c r="KW36" s="214"/>
      <c r="KX36" s="214"/>
      <c r="KY36" s="214"/>
      <c r="KZ36" s="214"/>
      <c r="LA36" s="214"/>
      <c r="LB36" s="214"/>
      <c r="LC36" s="214"/>
      <c r="LD36" s="214"/>
      <c r="LE36" s="214"/>
      <c r="LF36" s="214"/>
      <c r="LG36" s="214"/>
      <c r="LH36" s="214"/>
      <c r="LI36" s="214"/>
      <c r="LJ36" s="214"/>
      <c r="LK36" s="214"/>
      <c r="LL36" s="214"/>
      <c r="LM36" s="214"/>
      <c r="LN36" s="214"/>
      <c r="LO36" s="214"/>
      <c r="LP36" s="214"/>
      <c r="LQ36" s="214"/>
      <c r="LR36" s="214"/>
      <c r="LS36" s="214"/>
      <c r="LT36" s="214"/>
      <c r="LU36" s="214"/>
      <c r="LV36" s="214"/>
      <c r="LW36" s="214"/>
      <c r="LX36" s="214"/>
      <c r="LY36" s="214"/>
      <c r="LZ36" s="214"/>
      <c r="MA36" s="214"/>
      <c r="MB36" s="214"/>
      <c r="MC36" s="214"/>
      <c r="MD36" s="214"/>
      <c r="ME36" s="214"/>
      <c r="MF36" s="214"/>
      <c r="MG36" s="214"/>
      <c r="MH36" s="214"/>
      <c r="MI36" s="214"/>
      <c r="MJ36" s="214"/>
      <c r="MK36" s="214"/>
      <c r="ML36" s="214"/>
      <c r="MM36" s="214"/>
      <c r="MN36" s="214"/>
      <c r="MO36" s="214"/>
      <c r="MP36" s="214"/>
      <c r="MQ36" s="214"/>
      <c r="MR36" s="214"/>
      <c r="MS36" s="214"/>
      <c r="MT36" s="214"/>
      <c r="MU36" s="214"/>
      <c r="MV36" s="214"/>
      <c r="MW36" s="214"/>
      <c r="MX36" s="214"/>
      <c r="MY36" s="214"/>
      <c r="MZ36" s="214"/>
      <c r="NA36" s="214"/>
      <c r="NB36" s="214"/>
      <c r="NC36" s="214"/>
      <c r="ND36" s="214"/>
      <c r="NE36" s="214"/>
      <c r="NF36" s="214"/>
      <c r="NG36" s="214"/>
      <c r="NH36" s="214"/>
      <c r="NI36" s="214"/>
      <c r="NJ36" s="214"/>
      <c r="NK36" s="214"/>
      <c r="NL36" s="214"/>
      <c r="NM36" s="214"/>
      <c r="NN36" s="214"/>
      <c r="NO36" s="214"/>
      <c r="NP36" s="214"/>
      <c r="NQ36" s="214"/>
      <c r="NR36" s="214"/>
      <c r="NS36" s="214"/>
      <c r="NT36" s="214"/>
      <c r="NU36" s="214"/>
      <c r="NV36" s="214"/>
      <c r="NW36" s="214"/>
      <c r="NX36" s="214"/>
      <c r="NY36" s="214"/>
      <c r="NZ36" s="214"/>
      <c r="OA36" s="214"/>
      <c r="OB36" s="214"/>
      <c r="OC36" s="214"/>
      <c r="OD36" s="214"/>
      <c r="OE36" s="214"/>
      <c r="OF36" s="214"/>
      <c r="OG36" s="214"/>
      <c r="OH36" s="214"/>
      <c r="OI36" s="214"/>
      <c r="OJ36" s="214"/>
      <c r="OK36" s="214"/>
      <c r="OL36" s="214"/>
      <c r="OM36" s="214"/>
      <c r="ON36" s="214"/>
      <c r="OO36" s="214"/>
      <c r="OP36" s="214"/>
      <c r="OQ36" s="214"/>
      <c r="OR36" s="214"/>
      <c r="OS36" s="214"/>
      <c r="OT36" s="214"/>
      <c r="OU36" s="214"/>
      <c r="OV36" s="214"/>
      <c r="OW36" s="214"/>
      <c r="OX36" s="214"/>
      <c r="OY36" s="214"/>
      <c r="OZ36" s="214"/>
      <c r="PA36" s="214"/>
      <c r="PB36" s="214"/>
      <c r="PC36" s="214"/>
      <c r="PD36" s="214"/>
      <c r="PE36" s="214"/>
      <c r="PF36" s="214"/>
      <c r="PG36" s="214"/>
      <c r="PH36" s="214"/>
      <c r="PI36" s="214"/>
      <c r="PJ36" s="214"/>
      <c r="PK36" s="214"/>
      <c r="PL36" s="214"/>
      <c r="PM36" s="214"/>
      <c r="PN36" s="214"/>
      <c r="PO36" s="214"/>
      <c r="PP36" s="214"/>
      <c r="PQ36" s="214"/>
      <c r="PR36" s="214"/>
      <c r="PS36" s="214"/>
      <c r="PT36" s="214"/>
      <c r="PU36" s="214"/>
      <c r="PV36" s="214"/>
      <c r="PW36" s="214"/>
      <c r="PX36" s="214"/>
      <c r="PY36" s="214"/>
      <c r="PZ36" s="214"/>
      <c r="QA36" s="214"/>
      <c r="QB36" s="214"/>
      <c r="QC36" s="214"/>
      <c r="QD36" s="214"/>
      <c r="QE36" s="214"/>
      <c r="QF36" s="214"/>
      <c r="QG36" s="214"/>
      <c r="QH36" s="214"/>
      <c r="QI36" s="214"/>
      <c r="QJ36" s="214"/>
      <c r="QK36" s="214"/>
      <c r="QL36" s="214"/>
      <c r="QM36" s="214"/>
      <c r="QN36" s="214"/>
      <c r="QO36" s="214"/>
      <c r="QP36" s="214"/>
      <c r="QQ36" s="214"/>
      <c r="QR36" s="214"/>
      <c r="QS36" s="214"/>
      <c r="QT36" s="214"/>
      <c r="QU36" s="214"/>
      <c r="QV36" s="214"/>
      <c r="QW36" s="214"/>
      <c r="QX36" s="214"/>
      <c r="QY36" s="214"/>
      <c r="QZ36" s="214"/>
      <c r="RA36" s="214"/>
      <c r="RB36" s="214"/>
      <c r="RC36" s="214"/>
      <c r="RD36" s="214"/>
      <c r="RE36" s="214"/>
      <c r="RF36" s="214"/>
      <c r="RG36" s="214"/>
      <c r="RH36" s="214"/>
      <c r="RI36" s="214"/>
      <c r="RJ36" s="214"/>
      <c r="RK36" s="214"/>
      <c r="RL36" s="214"/>
      <c r="RM36" s="214"/>
      <c r="RN36" s="214"/>
      <c r="RO36" s="214"/>
      <c r="RP36" s="214"/>
      <c r="RQ36" s="214"/>
      <c r="RR36" s="214"/>
      <c r="RS36" s="214"/>
      <c r="RT36" s="214"/>
      <c r="RU36" s="214"/>
      <c r="RV36" s="214"/>
      <c r="RW36" s="214"/>
      <c r="RX36" s="214"/>
      <c r="RY36" s="214"/>
      <c r="RZ36" s="214"/>
      <c r="SA36" s="214"/>
      <c r="SB36" s="214"/>
      <c r="SC36" s="214"/>
      <c r="SD36" s="214"/>
      <c r="SE36" s="214"/>
      <c r="SF36" s="214"/>
      <c r="SG36" s="214"/>
      <c r="SH36" s="214"/>
      <c r="SI36" s="214"/>
      <c r="SJ36" s="214"/>
      <c r="SK36" s="214"/>
      <c r="SL36" s="214"/>
      <c r="SM36" s="214"/>
      <c r="SN36" s="214"/>
      <c r="SO36" s="214"/>
      <c r="SP36" s="214"/>
      <c r="SQ36" s="214"/>
      <c r="SR36" s="214"/>
      <c r="SS36" s="214"/>
      <c r="ST36" s="214"/>
      <c r="SU36" s="214"/>
      <c r="SV36" s="214"/>
      <c r="SW36" s="214"/>
      <c r="SX36" s="214"/>
      <c r="SY36" s="214"/>
      <c r="SZ36" s="214"/>
      <c r="TA36" s="214"/>
      <c r="TB36" s="214"/>
      <c r="TC36" s="214"/>
      <c r="TD36" s="214"/>
      <c r="TE36" s="214"/>
      <c r="TF36" s="214"/>
      <c r="TG36" s="214"/>
      <c r="TH36" s="214"/>
      <c r="TI36" s="214"/>
      <c r="TJ36" s="214"/>
      <c r="TK36" s="214"/>
      <c r="TL36" s="214"/>
      <c r="TM36" s="214"/>
      <c r="TN36" s="214"/>
      <c r="TO36" s="214"/>
      <c r="TP36" s="214"/>
      <c r="TQ36" s="214"/>
      <c r="TR36" s="214"/>
      <c r="TS36" s="214"/>
      <c r="TT36" s="214"/>
      <c r="TU36" s="214"/>
      <c r="TV36" s="214"/>
      <c r="TW36" s="214"/>
      <c r="TX36" s="214"/>
      <c r="TY36" s="214"/>
      <c r="TZ36" s="214"/>
      <c r="UA36" s="214"/>
      <c r="UB36" s="214"/>
      <c r="UC36" s="214"/>
      <c r="UD36" s="214"/>
      <c r="UE36" s="214"/>
      <c r="UF36" s="214"/>
      <c r="UG36" s="214"/>
      <c r="UH36" s="214"/>
      <c r="UI36" s="214"/>
      <c r="UJ36" s="214"/>
      <c r="UK36" s="214"/>
      <c r="UL36" s="214"/>
      <c r="UM36" s="214"/>
      <c r="UN36" s="214"/>
      <c r="UO36" s="214"/>
      <c r="UP36" s="214"/>
      <c r="UQ36" s="214"/>
      <c r="UR36" s="214"/>
      <c r="US36" s="214"/>
      <c r="UT36" s="214"/>
      <c r="UU36" s="214"/>
      <c r="UV36" s="214"/>
      <c r="UW36" s="214"/>
      <c r="UX36" s="214"/>
      <c r="UY36" s="214"/>
      <c r="UZ36" s="214"/>
      <c r="VA36" s="214"/>
      <c r="VB36" s="214"/>
      <c r="VC36" s="214"/>
      <c r="VD36" s="214"/>
      <c r="VE36" s="214"/>
      <c r="VF36" s="214"/>
      <c r="VG36" s="214"/>
      <c r="VH36" s="214"/>
      <c r="VI36" s="214"/>
      <c r="VJ36" s="214"/>
      <c r="VK36" s="214"/>
      <c r="VL36" s="214"/>
      <c r="VM36" s="214"/>
      <c r="VN36" s="214"/>
      <c r="VO36" s="214"/>
      <c r="VP36" s="214"/>
      <c r="VQ36" s="214"/>
      <c r="VR36" s="214"/>
      <c r="VS36" s="214"/>
      <c r="VT36" s="214"/>
      <c r="VU36" s="214"/>
      <c r="VV36" s="214"/>
      <c r="VW36" s="214"/>
      <c r="VX36" s="214"/>
      <c r="VY36" s="214"/>
      <c r="VZ36" s="214"/>
      <c r="WA36" s="214"/>
      <c r="WB36" s="214"/>
      <c r="WC36" s="214"/>
      <c r="WD36" s="214"/>
      <c r="WE36" s="214"/>
      <c r="WF36" s="214"/>
      <c r="WG36" s="214"/>
      <c r="WH36" s="214"/>
      <c r="WI36" s="214"/>
      <c r="WJ36" s="214"/>
      <c r="WK36" s="214"/>
      <c r="WL36" s="214"/>
      <c r="WM36" s="214"/>
      <c r="WN36" s="214"/>
      <c r="WO36" s="214"/>
      <c r="WP36" s="214"/>
      <c r="WQ36" s="214"/>
      <c r="WR36" s="214"/>
      <c r="WS36" s="214"/>
      <c r="WT36" s="214"/>
      <c r="WU36" s="214"/>
      <c r="WV36" s="214"/>
      <c r="WW36" s="214"/>
      <c r="WX36" s="214"/>
      <c r="WY36" s="214"/>
      <c r="WZ36" s="214"/>
      <c r="XA36" s="214"/>
      <c r="XB36" s="214"/>
      <c r="XC36" s="214"/>
      <c r="XD36" s="214"/>
      <c r="XE36" s="214"/>
      <c r="XF36" s="214"/>
      <c r="XG36" s="214"/>
      <c r="XH36" s="214"/>
      <c r="XI36" s="214"/>
      <c r="XJ36" s="214"/>
      <c r="XK36" s="214"/>
      <c r="XL36" s="214"/>
      <c r="XM36" s="214"/>
      <c r="XN36" s="214"/>
      <c r="XO36" s="214"/>
      <c r="XP36" s="214"/>
      <c r="XQ36" s="214"/>
      <c r="XR36" s="214"/>
      <c r="XS36" s="214"/>
      <c r="XT36" s="214"/>
      <c r="XU36" s="214"/>
      <c r="XV36" s="214"/>
      <c r="XW36" s="214"/>
      <c r="XX36" s="214"/>
      <c r="XY36" s="214"/>
      <c r="XZ36" s="214"/>
      <c r="YA36" s="214"/>
      <c r="YB36" s="214"/>
      <c r="YC36" s="214"/>
      <c r="YD36" s="214"/>
      <c r="YE36" s="214"/>
      <c r="YF36" s="214"/>
      <c r="YG36" s="214"/>
      <c r="YH36" s="214"/>
      <c r="YI36" s="214"/>
      <c r="YJ36" s="214"/>
      <c r="YK36" s="214"/>
      <c r="YL36" s="214"/>
      <c r="YM36" s="214"/>
      <c r="YN36" s="214"/>
      <c r="YO36" s="214"/>
      <c r="YP36" s="214"/>
      <c r="YQ36" s="214"/>
      <c r="YR36" s="214"/>
      <c r="YS36" s="214"/>
      <c r="YT36" s="214"/>
      <c r="YU36" s="214"/>
      <c r="YV36" s="214"/>
      <c r="YW36" s="214"/>
      <c r="YX36" s="214"/>
      <c r="YY36" s="214"/>
      <c r="YZ36" s="214"/>
      <c r="ZA36" s="214"/>
      <c r="ZB36" s="214"/>
      <c r="ZC36" s="214"/>
      <c r="ZD36" s="214"/>
      <c r="ZE36" s="214"/>
      <c r="ZF36" s="214"/>
      <c r="ZG36" s="214"/>
      <c r="ZH36" s="214"/>
      <c r="ZI36" s="214"/>
      <c r="ZJ36" s="214"/>
      <c r="ZK36" s="214"/>
      <c r="ZL36" s="214"/>
      <c r="ZM36" s="214"/>
      <c r="ZN36" s="214"/>
      <c r="ZO36" s="214"/>
      <c r="ZP36" s="214"/>
      <c r="ZQ36" s="214"/>
      <c r="ZR36" s="214"/>
      <c r="ZS36" s="214"/>
      <c r="ZT36" s="214"/>
      <c r="ZU36" s="214"/>
      <c r="ZV36" s="214"/>
      <c r="ZW36" s="214"/>
      <c r="ZX36" s="214"/>
      <c r="ZY36" s="214"/>
      <c r="ZZ36" s="214"/>
      <c r="AAA36" s="214"/>
      <c r="AAB36" s="214"/>
      <c r="AAC36" s="214"/>
      <c r="AAD36" s="214"/>
      <c r="AAE36" s="214"/>
      <c r="AAF36" s="214"/>
      <c r="AAG36" s="214"/>
      <c r="AAH36" s="214"/>
      <c r="AAI36" s="214"/>
      <c r="AAJ36" s="214"/>
      <c r="AAK36" s="214"/>
      <c r="AAL36" s="214"/>
      <c r="AAM36" s="214"/>
      <c r="AAN36" s="214"/>
      <c r="AAO36" s="214"/>
      <c r="AAP36" s="214"/>
      <c r="AAQ36" s="214"/>
      <c r="AAR36" s="214"/>
      <c r="AAS36" s="214"/>
      <c r="AAT36" s="214"/>
      <c r="AAU36" s="214"/>
      <c r="AAV36" s="214"/>
      <c r="AAW36" s="214"/>
      <c r="AAX36" s="214"/>
      <c r="AAY36" s="214"/>
      <c r="AAZ36" s="214"/>
      <c r="ABA36" s="214"/>
      <c r="ABB36" s="214"/>
      <c r="ABC36" s="214"/>
      <c r="ABD36" s="214"/>
      <c r="ABE36" s="214"/>
      <c r="ABF36" s="214"/>
      <c r="ABG36" s="214"/>
      <c r="ABH36" s="214"/>
      <c r="ABI36" s="214"/>
      <c r="ABJ36" s="214"/>
      <c r="ABK36" s="214"/>
      <c r="ABL36" s="214"/>
      <c r="ABM36" s="214"/>
      <c r="ABN36" s="214"/>
      <c r="ABO36" s="214"/>
      <c r="ABP36" s="214"/>
      <c r="ABQ36" s="214"/>
      <c r="ABR36" s="214"/>
      <c r="ABS36" s="214"/>
      <c r="ABT36" s="214"/>
      <c r="ABU36" s="214"/>
      <c r="ABV36" s="214"/>
      <c r="ABW36" s="214"/>
      <c r="ABX36" s="214"/>
      <c r="ABY36" s="214"/>
      <c r="ABZ36" s="214"/>
      <c r="ACA36" s="214"/>
      <c r="ACB36" s="214"/>
      <c r="ACC36" s="214"/>
      <c r="ACD36" s="214"/>
      <c r="ACE36" s="214"/>
      <c r="ACF36" s="214"/>
      <c r="ACG36" s="214"/>
      <c r="ACH36" s="214"/>
      <c r="ACI36" s="214"/>
      <c r="ACJ36" s="214"/>
      <c r="ACK36" s="214"/>
      <c r="ACL36" s="214"/>
      <c r="ACM36" s="214"/>
      <c r="ACN36" s="214"/>
      <c r="ACO36" s="214"/>
      <c r="ACP36" s="214"/>
      <c r="ACQ36" s="214"/>
      <c r="ACR36" s="214"/>
      <c r="ACS36" s="214"/>
      <c r="ACT36" s="214"/>
      <c r="ACU36" s="214"/>
      <c r="ACV36" s="214"/>
      <c r="ACW36" s="214"/>
      <c r="ACX36" s="214"/>
      <c r="ACY36" s="214"/>
      <c r="ACZ36" s="214"/>
      <c r="ADA36" s="214"/>
      <c r="ADB36" s="214"/>
      <c r="ADC36" s="214"/>
      <c r="ADD36" s="214"/>
      <c r="ADE36" s="214"/>
      <c r="ADF36" s="214"/>
      <c r="ADG36" s="214"/>
      <c r="ADH36" s="214"/>
      <c r="ADI36" s="214"/>
      <c r="ADJ36" s="214"/>
      <c r="ADK36" s="214"/>
      <c r="ADL36" s="214"/>
      <c r="ADM36" s="214"/>
      <c r="ADN36" s="214"/>
      <c r="ADO36" s="214"/>
      <c r="ADP36" s="214"/>
      <c r="ADQ36" s="214"/>
      <c r="ADR36" s="214"/>
      <c r="ADS36" s="214"/>
      <c r="ADT36" s="214"/>
      <c r="ADU36" s="214"/>
      <c r="ADV36" s="214"/>
      <c r="ADW36" s="214"/>
      <c r="ADX36" s="214"/>
      <c r="ADY36" s="214"/>
      <c r="ADZ36" s="214"/>
      <c r="AEA36" s="214"/>
      <c r="AEB36" s="214"/>
      <c r="AEC36" s="214"/>
      <c r="AED36" s="214"/>
      <c r="AEE36" s="214"/>
      <c r="AEF36" s="214"/>
      <c r="AEG36" s="214"/>
      <c r="AEH36" s="214"/>
      <c r="AEI36" s="214"/>
      <c r="AEJ36" s="214"/>
      <c r="AEK36" s="214"/>
      <c r="AEL36" s="214"/>
      <c r="AEM36" s="214"/>
      <c r="AEN36" s="214"/>
      <c r="AEO36" s="214"/>
    </row>
    <row r="37" spans="1:822" ht="14.5">
      <c r="B37" s="154">
        <v>2013</v>
      </c>
      <c r="C37" s="198">
        <f>+$B$15</f>
        <v>34820.689655172413</v>
      </c>
      <c r="D37" s="196">
        <v>0.2</v>
      </c>
      <c r="E37" s="197">
        <f>+D37*C37</f>
        <v>6964.1379310344828</v>
      </c>
      <c r="F37" s="198">
        <f>+C37-E37</f>
        <v>27856.551724137931</v>
      </c>
      <c r="I37" s="151"/>
      <c r="J37" s="247" t="s">
        <v>51</v>
      </c>
      <c r="K37" s="136">
        <v>3000</v>
      </c>
      <c r="L37" s="136"/>
      <c r="M37" s="135"/>
      <c r="N37" s="259">
        <v>3000</v>
      </c>
      <c r="O37" s="259">
        <v>3000</v>
      </c>
      <c r="P37" s="260">
        <v>3000</v>
      </c>
      <c r="Q37" s="259">
        <v>3000</v>
      </c>
      <c r="R37" s="259">
        <v>3000</v>
      </c>
      <c r="S37" s="260">
        <v>3000</v>
      </c>
      <c r="T37" s="259">
        <v>3000</v>
      </c>
      <c r="U37" s="259">
        <v>3000</v>
      </c>
      <c r="V37" s="260">
        <v>3000</v>
      </c>
      <c r="W37" s="259">
        <v>3000</v>
      </c>
      <c r="AEP37" s="153"/>
    </row>
    <row r="38" spans="1:822">
      <c r="B38" s="154">
        <v>2014</v>
      </c>
      <c r="C38" s="198">
        <f>+$B$15</f>
        <v>34820.689655172413</v>
      </c>
      <c r="D38" s="196">
        <v>0.2</v>
      </c>
      <c r="E38" s="198">
        <f>+D38*C38</f>
        <v>6964.1379310344828</v>
      </c>
      <c r="F38" s="198">
        <f>+F37-E38</f>
        <v>20892.413793103449</v>
      </c>
      <c r="I38" s="151"/>
      <c r="N38" s="151"/>
      <c r="AEP38" s="153"/>
    </row>
    <row r="39" spans="1:822">
      <c r="B39" s="154">
        <v>2015</v>
      </c>
      <c r="C39" s="198">
        <f>+$B$15</f>
        <v>34820.689655172413</v>
      </c>
      <c r="D39" s="196">
        <v>0.2</v>
      </c>
      <c r="E39" s="198">
        <f>+D39*C39</f>
        <v>6964.1379310344828</v>
      </c>
      <c r="F39" s="198">
        <f>+F38-E39</f>
        <v>13928.275862068967</v>
      </c>
      <c r="N39" s="151"/>
      <c r="AEP39" s="153"/>
    </row>
    <row r="40" spans="1:822" ht="15.75" customHeight="1">
      <c r="B40" s="154">
        <v>2016</v>
      </c>
      <c r="C40" s="198">
        <f>+$B$15</f>
        <v>34820.689655172413</v>
      </c>
      <c r="D40" s="196">
        <v>0.2</v>
      </c>
      <c r="E40" s="198">
        <f>+D40*C40</f>
        <v>6964.1379310344828</v>
      </c>
      <c r="F40" s="198">
        <f>+F39-E40</f>
        <v>6964.1379310344846</v>
      </c>
      <c r="N40" s="151"/>
      <c r="AEP40" s="153"/>
    </row>
    <row r="41" spans="1:822">
      <c r="B41" s="154">
        <v>2017</v>
      </c>
      <c r="C41" s="198">
        <f>+$B$15</f>
        <v>34820.689655172413</v>
      </c>
      <c r="D41" s="196">
        <v>0.2</v>
      </c>
      <c r="E41" s="198">
        <f>+D41*C41</f>
        <v>6964.1379310344828</v>
      </c>
      <c r="F41" s="198">
        <f>+F40-E41</f>
        <v>0</v>
      </c>
      <c r="N41" s="151"/>
      <c r="AEP41" s="153"/>
    </row>
    <row r="42" spans="1:822">
      <c r="B42" s="152"/>
      <c r="C42" s="152"/>
      <c r="D42" s="152"/>
      <c r="E42" s="152"/>
      <c r="F42" s="152"/>
    </row>
    <row r="44" spans="1:822">
      <c r="B44" s="152" t="s">
        <v>45</v>
      </c>
      <c r="C44" s="152" t="s">
        <v>374</v>
      </c>
      <c r="D44" s="152" t="s">
        <v>376</v>
      </c>
      <c r="E44" s="152" t="s">
        <v>377</v>
      </c>
      <c r="F44" s="152" t="s">
        <v>378</v>
      </c>
      <c r="G44" s="152" t="s">
        <v>379</v>
      </c>
      <c r="H44" s="152" t="s">
        <v>380</v>
      </c>
      <c r="N44" s="151"/>
      <c r="AEP44" s="153"/>
    </row>
    <row r="45" spans="1:822">
      <c r="B45" s="154">
        <v>2011</v>
      </c>
      <c r="C45" s="154">
        <v>2012</v>
      </c>
      <c r="D45" s="154">
        <v>2013</v>
      </c>
      <c r="E45" s="154">
        <v>2014</v>
      </c>
      <c r="F45" s="154">
        <v>2015</v>
      </c>
      <c r="G45" s="154">
        <v>2016</v>
      </c>
      <c r="H45" s="154">
        <v>2017</v>
      </c>
      <c r="N45" s="151"/>
      <c r="AEP45" s="153"/>
    </row>
    <row r="46" spans="1:822">
      <c r="B46" s="216">
        <f>+E22</f>
        <v>4126.8965517241386</v>
      </c>
      <c r="C46" s="216">
        <f>+E23+E30</f>
        <v>15475.862068965518</v>
      </c>
      <c r="D46" s="216">
        <f>+E24+E31+E37</f>
        <v>22440</v>
      </c>
      <c r="E46" s="216">
        <f>+E25+E32+E38</f>
        <v>22440</v>
      </c>
      <c r="F46" s="216">
        <f>+E26+E33+E39</f>
        <v>22440</v>
      </c>
      <c r="G46" s="216">
        <f>+E27+E34+E40</f>
        <v>18313.103448275862</v>
      </c>
      <c r="H46" s="216">
        <f>+E41</f>
        <v>6964.1379310344828</v>
      </c>
      <c r="N46" s="151"/>
      <c r="AEP46" s="153"/>
    </row>
    <row r="47" spans="1:822">
      <c r="B47" s="216"/>
      <c r="C47" s="216"/>
      <c r="D47" s="216"/>
      <c r="E47" s="216"/>
      <c r="F47" s="216"/>
      <c r="G47" s="216"/>
      <c r="H47" s="216"/>
      <c r="N47" s="151"/>
      <c r="AEP47" s="153"/>
    </row>
    <row r="49" spans="2:822" ht="14.5" thickBot="1">
      <c r="B49" s="119" t="s">
        <v>13</v>
      </c>
    </row>
    <row r="51" spans="2:822">
      <c r="B51" s="217" t="s">
        <v>56</v>
      </c>
      <c r="C51" s="194" t="s">
        <v>41</v>
      </c>
      <c r="D51" s="194" t="s">
        <v>42</v>
      </c>
      <c r="E51" s="194" t="s">
        <v>43</v>
      </c>
      <c r="F51" s="194" t="s">
        <v>44</v>
      </c>
      <c r="G51" s="152"/>
      <c r="N51" s="151"/>
      <c r="AEP51" s="153"/>
    </row>
    <row r="52" spans="2:822">
      <c r="B52" s="154">
        <v>2011</v>
      </c>
      <c r="C52" s="198">
        <f>+C13</f>
        <v>26868.96551724138</v>
      </c>
      <c r="D52" s="218">
        <v>0.2</v>
      </c>
      <c r="E52" s="197">
        <f>+C52*D52*E20/12</f>
        <v>3582.5287356321842</v>
      </c>
      <c r="F52" s="198">
        <f>+C52-E52</f>
        <v>23286.436781609198</v>
      </c>
      <c r="G52" s="152"/>
      <c r="N52" s="151"/>
      <c r="AEP52" s="153"/>
    </row>
    <row r="53" spans="2:822">
      <c r="B53" s="154">
        <v>2012</v>
      </c>
      <c r="C53" s="198">
        <f>+C52</f>
        <v>26868.96551724138</v>
      </c>
      <c r="D53" s="218">
        <v>0.2</v>
      </c>
      <c r="E53" s="198">
        <f>+C53*D53</f>
        <v>5373.7931034482763</v>
      </c>
      <c r="F53" s="198">
        <f>+F52-E53</f>
        <v>17912.643678160923</v>
      </c>
      <c r="G53" s="152"/>
      <c r="N53" s="151"/>
      <c r="AEP53" s="153"/>
    </row>
    <row r="54" spans="2:822">
      <c r="B54" s="154">
        <v>2013</v>
      </c>
      <c r="C54" s="198">
        <f>+C53</f>
        <v>26868.96551724138</v>
      </c>
      <c r="D54" s="218">
        <v>0.2</v>
      </c>
      <c r="E54" s="198">
        <f>+C54*D54</f>
        <v>5373.7931034482763</v>
      </c>
      <c r="F54" s="198">
        <f>+F53-E54</f>
        <v>12538.850574712647</v>
      </c>
      <c r="G54" s="152"/>
      <c r="N54" s="151"/>
      <c r="AEP54" s="153"/>
    </row>
    <row r="55" spans="2:822">
      <c r="B55" s="154">
        <v>2014</v>
      </c>
      <c r="C55" s="198">
        <f>+C54</f>
        <v>26868.96551724138</v>
      </c>
      <c r="D55" s="218">
        <v>0.2</v>
      </c>
      <c r="E55" s="198">
        <f>+C55*D55</f>
        <v>5373.7931034482763</v>
      </c>
      <c r="F55" s="198">
        <f>+F54-E55</f>
        <v>7165.0574712643711</v>
      </c>
      <c r="G55" s="152"/>
      <c r="N55" s="151"/>
      <c r="AEP55" s="153"/>
    </row>
    <row r="56" spans="2:822">
      <c r="B56" s="154">
        <v>2015</v>
      </c>
      <c r="C56" s="198">
        <f>+C55</f>
        <v>26868.96551724138</v>
      </c>
      <c r="D56" s="218">
        <v>0.2</v>
      </c>
      <c r="E56" s="198">
        <f>+C56*D56</f>
        <v>5373.7931034482763</v>
      </c>
      <c r="F56" s="198">
        <f>+F55-E56</f>
        <v>1791.2643678160948</v>
      </c>
      <c r="G56" s="152"/>
      <c r="N56" s="151"/>
      <c r="AEP56" s="153"/>
    </row>
    <row r="57" spans="2:822">
      <c r="B57" s="154">
        <v>2016</v>
      </c>
      <c r="C57" s="198">
        <f>+C56</f>
        <v>26868.96551724138</v>
      </c>
      <c r="D57" s="218">
        <v>0.2</v>
      </c>
      <c r="E57" s="198">
        <f>+C57*D57*4/12</f>
        <v>1791.2643678160921</v>
      </c>
      <c r="F57" s="198">
        <f>+F56-E57</f>
        <v>2.7284841053187847E-12</v>
      </c>
      <c r="G57" s="152"/>
      <c r="N57" s="151"/>
      <c r="AEP57" s="153"/>
    </row>
    <row r="58" spans="2:822">
      <c r="B58" s="152"/>
      <c r="C58" s="152"/>
      <c r="D58" s="152"/>
      <c r="E58" s="152"/>
      <c r="F58" s="152"/>
      <c r="G58" s="152"/>
      <c r="N58" s="151"/>
      <c r="AEP58" s="153"/>
    </row>
    <row r="59" spans="2:822">
      <c r="B59" s="217" t="s">
        <v>57</v>
      </c>
      <c r="C59" s="152" t="s">
        <v>41</v>
      </c>
      <c r="D59" s="152" t="s">
        <v>42</v>
      </c>
      <c r="E59" s="152" t="s">
        <v>43</v>
      </c>
      <c r="F59" s="152" t="s">
        <v>44</v>
      </c>
      <c r="G59" s="152"/>
      <c r="N59" s="151"/>
      <c r="AEP59" s="153"/>
    </row>
    <row r="60" spans="2:822">
      <c r="B60" s="154">
        <v>2012</v>
      </c>
      <c r="C60" s="198">
        <f>+$C$14</f>
        <v>40303.448275862072</v>
      </c>
      <c r="D60" s="218">
        <v>0.2</v>
      </c>
      <c r="E60" s="197">
        <f>+D60*C60</f>
        <v>8060.6896551724149</v>
      </c>
      <c r="F60" s="198">
        <f>+C60-E60</f>
        <v>32242.758620689659</v>
      </c>
      <c r="G60" s="152"/>
      <c r="N60" s="151"/>
      <c r="AEP60" s="153"/>
    </row>
    <row r="61" spans="2:822">
      <c r="B61" s="154">
        <v>2013</v>
      </c>
      <c r="C61" s="198">
        <f>+$C$14</f>
        <v>40303.448275862072</v>
      </c>
      <c r="D61" s="218">
        <v>0.2</v>
      </c>
      <c r="E61" s="198">
        <f>+D61*C61</f>
        <v>8060.6896551724149</v>
      </c>
      <c r="F61" s="198">
        <f>+F60-E61</f>
        <v>24182.068965517246</v>
      </c>
      <c r="G61" s="152"/>
      <c r="N61" s="151"/>
      <c r="AEP61" s="153"/>
    </row>
    <row r="62" spans="2:822">
      <c r="B62" s="154">
        <v>2014</v>
      </c>
      <c r="C62" s="198">
        <f>+$C$14</f>
        <v>40303.448275862072</v>
      </c>
      <c r="D62" s="218">
        <v>0.2</v>
      </c>
      <c r="E62" s="198">
        <f>+D62*C62</f>
        <v>8060.6896551724149</v>
      </c>
      <c r="F62" s="198">
        <f>+F61-E62</f>
        <v>16121.379310344832</v>
      </c>
      <c r="G62" s="152"/>
      <c r="N62" s="151"/>
      <c r="AEP62" s="153"/>
    </row>
    <row r="63" spans="2:822">
      <c r="B63" s="154">
        <v>2015</v>
      </c>
      <c r="C63" s="198">
        <f>+$C$14</f>
        <v>40303.448275862072</v>
      </c>
      <c r="D63" s="218">
        <v>0.2</v>
      </c>
      <c r="E63" s="198">
        <f>+D63*C63</f>
        <v>8060.6896551724149</v>
      </c>
      <c r="F63" s="198">
        <f>+F62-E63</f>
        <v>8060.6896551724167</v>
      </c>
      <c r="G63" s="152"/>
      <c r="N63" s="151"/>
      <c r="AEP63" s="153"/>
    </row>
    <row r="64" spans="2:822">
      <c r="B64" s="154">
        <v>2016</v>
      </c>
      <c r="C64" s="198">
        <f>+$C$14</f>
        <v>40303.448275862072</v>
      </c>
      <c r="D64" s="218">
        <v>0.2</v>
      </c>
      <c r="E64" s="198">
        <f>+D64*C64</f>
        <v>8060.6896551724149</v>
      </c>
      <c r="F64" s="198">
        <f>+F63-E64</f>
        <v>0</v>
      </c>
      <c r="G64" s="152"/>
      <c r="N64" s="151"/>
      <c r="AEP64" s="153"/>
    </row>
    <row r="65" spans="1:822">
      <c r="B65" s="152"/>
      <c r="C65" s="152"/>
      <c r="D65" s="152"/>
      <c r="E65" s="152"/>
      <c r="F65" s="152"/>
      <c r="G65" s="152"/>
      <c r="N65" s="151"/>
      <c r="AEP65" s="153"/>
    </row>
    <row r="66" spans="1:822">
      <c r="B66" s="217" t="s">
        <v>58</v>
      </c>
      <c r="C66" s="152" t="s">
        <v>41</v>
      </c>
      <c r="D66" s="152" t="s">
        <v>42</v>
      </c>
      <c r="E66" s="152" t="s">
        <v>43</v>
      </c>
      <c r="F66" s="152" t="s">
        <v>44</v>
      </c>
      <c r="G66" s="152"/>
      <c r="N66" s="151"/>
      <c r="AEP66" s="153"/>
    </row>
    <row r="67" spans="1:822">
      <c r="B67" s="154">
        <v>2013</v>
      </c>
      <c r="C67" s="198">
        <f>+$C$15</f>
        <v>30227.586206896551</v>
      </c>
      <c r="D67" s="218">
        <v>0.2</v>
      </c>
      <c r="E67" s="197">
        <f>+D67*C67</f>
        <v>6045.5172413793107</v>
      </c>
      <c r="F67" s="198">
        <f>+C67-E67</f>
        <v>24182.068965517239</v>
      </c>
      <c r="G67" s="152"/>
      <c r="N67" s="151"/>
      <c r="AEP67" s="153"/>
    </row>
    <row r="68" spans="1:822">
      <c r="B68" s="154">
        <v>2014</v>
      </c>
      <c r="C68" s="198">
        <f>+$C$15</f>
        <v>30227.586206896551</v>
      </c>
      <c r="D68" s="218">
        <v>0.2</v>
      </c>
      <c r="E68" s="198">
        <f>+D68*C68</f>
        <v>6045.5172413793107</v>
      </c>
      <c r="F68" s="198">
        <f>+F67-E68</f>
        <v>18136.551724137928</v>
      </c>
      <c r="G68" s="152"/>
      <c r="N68" s="151"/>
      <c r="AEP68" s="153"/>
    </row>
    <row r="69" spans="1:822">
      <c r="B69" s="154">
        <v>2015</v>
      </c>
      <c r="C69" s="198">
        <f>+$C$15</f>
        <v>30227.586206896551</v>
      </c>
      <c r="D69" s="218">
        <v>0.2</v>
      </c>
      <c r="E69" s="198">
        <f>+D69*C69</f>
        <v>6045.5172413793107</v>
      </c>
      <c r="F69" s="198">
        <f>+F68-E69</f>
        <v>12091.034482758616</v>
      </c>
      <c r="G69" s="152"/>
      <c r="N69" s="151"/>
      <c r="AEP69" s="153"/>
    </row>
    <row r="70" spans="1:822">
      <c r="B70" s="154">
        <v>2016</v>
      </c>
      <c r="C70" s="198">
        <f>+$C$15</f>
        <v>30227.586206896551</v>
      </c>
      <c r="D70" s="218">
        <v>0.2</v>
      </c>
      <c r="E70" s="198">
        <f>+D70*C70</f>
        <v>6045.5172413793107</v>
      </c>
      <c r="F70" s="198">
        <f>+F69-E70</f>
        <v>6045.5172413793052</v>
      </c>
      <c r="G70" s="152"/>
      <c r="N70" s="151"/>
      <c r="AEP70" s="153"/>
    </row>
    <row r="71" spans="1:822">
      <c r="B71" s="154">
        <v>2017</v>
      </c>
      <c r="C71" s="198">
        <f>+$C$15</f>
        <v>30227.586206896551</v>
      </c>
      <c r="D71" s="218">
        <v>0.2</v>
      </c>
      <c r="E71" s="198">
        <f>+D71*C71</f>
        <v>6045.5172413793107</v>
      </c>
      <c r="F71" s="198">
        <f>+F70-E71</f>
        <v>0</v>
      </c>
      <c r="G71" s="152"/>
      <c r="N71" s="151"/>
      <c r="AEP71" s="153"/>
    </row>
    <row r="72" spans="1:822">
      <c r="B72" s="152"/>
      <c r="C72" s="152"/>
      <c r="D72" s="152"/>
      <c r="E72" s="152"/>
      <c r="F72" s="152"/>
      <c r="G72" s="152"/>
      <c r="N72" s="151"/>
      <c r="AEP72" s="153"/>
    </row>
    <row r="73" spans="1:822">
      <c r="N73" s="151"/>
      <c r="AEP73" s="153"/>
    </row>
    <row r="74" spans="1:822" s="152" customFormat="1">
      <c r="A74" s="219"/>
      <c r="B74" s="217" t="s">
        <v>46</v>
      </c>
      <c r="C74" s="152" t="s">
        <v>374</v>
      </c>
      <c r="D74" s="152" t="s">
        <v>376</v>
      </c>
      <c r="E74" s="152" t="s">
        <v>377</v>
      </c>
      <c r="F74" s="152" t="s">
        <v>378</v>
      </c>
      <c r="G74" s="152" t="s">
        <v>379</v>
      </c>
      <c r="H74" s="152" t="s">
        <v>380</v>
      </c>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219"/>
      <c r="CB74" s="219"/>
      <c r="CC74" s="219"/>
      <c r="CD74" s="219"/>
      <c r="CE74" s="219"/>
      <c r="CF74" s="219"/>
      <c r="CG74" s="219"/>
      <c r="CH74" s="219"/>
      <c r="CI74" s="219"/>
      <c r="CJ74" s="219"/>
      <c r="CK74" s="219"/>
      <c r="CL74" s="219"/>
      <c r="CM74" s="219"/>
      <c r="CN74" s="219"/>
      <c r="CO74" s="219"/>
      <c r="CP74" s="219"/>
      <c r="CQ74" s="219"/>
      <c r="CR74" s="219"/>
      <c r="CS74" s="219"/>
      <c r="CT74" s="219"/>
      <c r="CU74" s="219"/>
      <c r="CV74" s="219"/>
      <c r="CW74" s="219"/>
      <c r="CX74" s="219"/>
      <c r="CY74" s="219"/>
      <c r="CZ74" s="219"/>
      <c r="DA74" s="219"/>
      <c r="DB74" s="219"/>
      <c r="DC74" s="219"/>
      <c r="DD74" s="219"/>
      <c r="DE74" s="219"/>
      <c r="DF74" s="219"/>
      <c r="DG74" s="219"/>
      <c r="DH74" s="219"/>
      <c r="DI74" s="219"/>
      <c r="DJ74" s="219"/>
      <c r="DK74" s="219"/>
      <c r="DL74" s="219"/>
      <c r="DM74" s="219"/>
      <c r="DN74" s="219"/>
      <c r="DO74" s="219"/>
      <c r="DP74" s="219"/>
      <c r="DQ74" s="219"/>
      <c r="DR74" s="219"/>
      <c r="DS74" s="219"/>
      <c r="DT74" s="219"/>
      <c r="DU74" s="219"/>
      <c r="DV74" s="219"/>
      <c r="DW74" s="219"/>
      <c r="DX74" s="219"/>
      <c r="DY74" s="219"/>
      <c r="DZ74" s="219"/>
      <c r="EA74" s="219"/>
      <c r="EB74" s="219"/>
      <c r="EC74" s="219"/>
      <c r="ED74" s="219"/>
      <c r="EE74" s="219"/>
      <c r="EF74" s="219"/>
      <c r="EG74" s="219"/>
      <c r="EH74" s="219"/>
      <c r="EI74" s="219"/>
      <c r="EJ74" s="219"/>
      <c r="EK74" s="219"/>
      <c r="EL74" s="219"/>
      <c r="EM74" s="219"/>
      <c r="EN74" s="219"/>
      <c r="EO74" s="219"/>
      <c r="EP74" s="219"/>
      <c r="EQ74" s="219"/>
      <c r="ER74" s="219"/>
      <c r="ES74" s="219"/>
      <c r="ET74" s="219"/>
      <c r="EU74" s="219"/>
      <c r="EV74" s="219"/>
      <c r="EW74" s="219"/>
      <c r="EX74" s="219"/>
      <c r="EY74" s="219"/>
      <c r="EZ74" s="219"/>
      <c r="FA74" s="219"/>
      <c r="FB74" s="219"/>
      <c r="FC74" s="219"/>
      <c r="FD74" s="219"/>
      <c r="FE74" s="219"/>
      <c r="FF74" s="219"/>
      <c r="FG74" s="219"/>
      <c r="FH74" s="219"/>
      <c r="FI74" s="219"/>
      <c r="FJ74" s="219"/>
      <c r="FK74" s="219"/>
      <c r="FL74" s="219"/>
      <c r="FM74" s="219"/>
      <c r="FN74" s="219"/>
      <c r="FO74" s="219"/>
      <c r="FP74" s="219"/>
      <c r="FQ74" s="219"/>
      <c r="FR74" s="219"/>
      <c r="FS74" s="219"/>
      <c r="FT74" s="219"/>
      <c r="FU74" s="219"/>
      <c r="FV74" s="219"/>
      <c r="FW74" s="219"/>
      <c r="FX74" s="219"/>
      <c r="FY74" s="219"/>
      <c r="FZ74" s="219"/>
      <c r="GA74" s="219"/>
      <c r="GB74" s="219"/>
      <c r="GC74" s="219"/>
      <c r="GD74" s="219"/>
      <c r="GE74" s="219"/>
      <c r="GF74" s="219"/>
      <c r="GG74" s="219"/>
      <c r="GH74" s="219"/>
      <c r="GI74" s="219"/>
      <c r="GJ74" s="219"/>
      <c r="GK74" s="219"/>
      <c r="GL74" s="219"/>
      <c r="GM74" s="219"/>
      <c r="GN74" s="219"/>
      <c r="GO74" s="219"/>
      <c r="GP74" s="219"/>
      <c r="GQ74" s="219"/>
      <c r="GR74" s="219"/>
      <c r="GS74" s="219"/>
      <c r="GT74" s="219"/>
      <c r="GU74" s="219"/>
      <c r="GV74" s="219"/>
      <c r="GW74" s="219"/>
      <c r="GX74" s="219"/>
      <c r="GY74" s="219"/>
      <c r="GZ74" s="219"/>
      <c r="HA74" s="219"/>
      <c r="HB74" s="219"/>
      <c r="HC74" s="219"/>
      <c r="HD74" s="219"/>
      <c r="HE74" s="219"/>
      <c r="HF74" s="219"/>
      <c r="HG74" s="219"/>
      <c r="HH74" s="219"/>
      <c r="HI74" s="219"/>
      <c r="HJ74" s="219"/>
      <c r="HK74" s="219"/>
      <c r="HL74" s="219"/>
      <c r="HM74" s="219"/>
      <c r="HN74" s="219"/>
      <c r="HO74" s="219"/>
      <c r="HP74" s="219"/>
      <c r="HQ74" s="219"/>
      <c r="HR74" s="219"/>
      <c r="HS74" s="219"/>
      <c r="HT74" s="219"/>
      <c r="HU74" s="219"/>
      <c r="HV74" s="219"/>
      <c r="HW74" s="219"/>
      <c r="HX74" s="219"/>
      <c r="HY74" s="219"/>
      <c r="HZ74" s="219"/>
      <c r="IA74" s="219"/>
      <c r="IB74" s="219"/>
      <c r="IC74" s="219"/>
      <c r="ID74" s="219"/>
      <c r="IE74" s="219"/>
      <c r="IF74" s="219"/>
      <c r="IG74" s="219"/>
      <c r="IH74" s="219"/>
      <c r="II74" s="219"/>
      <c r="IJ74" s="219"/>
      <c r="IK74" s="219"/>
      <c r="IL74" s="219"/>
      <c r="IM74" s="219"/>
      <c r="IN74" s="219"/>
      <c r="IO74" s="219"/>
      <c r="IP74" s="219"/>
      <c r="IQ74" s="219"/>
      <c r="IR74" s="219"/>
      <c r="IS74" s="219"/>
      <c r="IT74" s="219"/>
      <c r="IU74" s="219"/>
      <c r="IV74" s="219"/>
      <c r="IW74" s="219"/>
      <c r="IX74" s="219"/>
      <c r="IY74" s="219"/>
      <c r="IZ74" s="219"/>
      <c r="JA74" s="219"/>
      <c r="JB74" s="219"/>
      <c r="JC74" s="219"/>
      <c r="JD74" s="219"/>
      <c r="JE74" s="219"/>
      <c r="JF74" s="219"/>
      <c r="JG74" s="219"/>
      <c r="JH74" s="219"/>
      <c r="JI74" s="219"/>
      <c r="JJ74" s="219"/>
      <c r="JK74" s="219"/>
      <c r="JL74" s="219"/>
      <c r="JM74" s="219"/>
      <c r="JN74" s="219"/>
      <c r="JO74" s="219"/>
      <c r="JP74" s="219"/>
      <c r="JQ74" s="219"/>
      <c r="JR74" s="219"/>
      <c r="JS74" s="219"/>
      <c r="JT74" s="219"/>
      <c r="JU74" s="219"/>
      <c r="JV74" s="219"/>
      <c r="JW74" s="219"/>
      <c r="JX74" s="219"/>
      <c r="JY74" s="219"/>
      <c r="JZ74" s="219"/>
      <c r="KA74" s="219"/>
      <c r="KB74" s="219"/>
      <c r="KC74" s="219"/>
      <c r="KD74" s="219"/>
      <c r="KE74" s="219"/>
      <c r="KF74" s="219"/>
      <c r="KG74" s="219"/>
      <c r="KH74" s="219"/>
      <c r="KI74" s="219"/>
      <c r="KJ74" s="219"/>
      <c r="KK74" s="219"/>
      <c r="KL74" s="219"/>
      <c r="KM74" s="219"/>
      <c r="KN74" s="219"/>
      <c r="KO74" s="219"/>
      <c r="KP74" s="219"/>
      <c r="KQ74" s="219"/>
      <c r="KR74" s="219"/>
      <c r="KS74" s="219"/>
      <c r="KT74" s="219"/>
      <c r="KU74" s="219"/>
      <c r="KV74" s="219"/>
      <c r="KW74" s="219"/>
      <c r="KX74" s="219"/>
      <c r="KY74" s="219"/>
      <c r="KZ74" s="219"/>
      <c r="LA74" s="219"/>
      <c r="LB74" s="219"/>
      <c r="LC74" s="219"/>
      <c r="LD74" s="219"/>
      <c r="LE74" s="219"/>
      <c r="LF74" s="219"/>
      <c r="LG74" s="219"/>
      <c r="LH74" s="219"/>
      <c r="LI74" s="219"/>
      <c r="LJ74" s="219"/>
      <c r="LK74" s="219"/>
      <c r="LL74" s="219"/>
      <c r="LM74" s="219"/>
      <c r="LN74" s="219"/>
      <c r="LO74" s="219"/>
      <c r="LP74" s="219"/>
      <c r="LQ74" s="219"/>
      <c r="LR74" s="219"/>
      <c r="LS74" s="219"/>
      <c r="LT74" s="219"/>
      <c r="LU74" s="219"/>
      <c r="LV74" s="219"/>
      <c r="LW74" s="219"/>
      <c r="LX74" s="219"/>
      <c r="LY74" s="219"/>
      <c r="LZ74" s="219"/>
      <c r="MA74" s="219"/>
      <c r="MB74" s="219"/>
      <c r="MC74" s="219"/>
      <c r="MD74" s="219"/>
      <c r="ME74" s="219"/>
      <c r="MF74" s="219"/>
      <c r="MG74" s="219"/>
      <c r="MH74" s="219"/>
      <c r="MI74" s="219"/>
      <c r="MJ74" s="219"/>
      <c r="MK74" s="219"/>
      <c r="ML74" s="219"/>
      <c r="MM74" s="219"/>
      <c r="MN74" s="219"/>
      <c r="MO74" s="219"/>
      <c r="MP74" s="219"/>
      <c r="MQ74" s="219"/>
      <c r="MR74" s="219"/>
      <c r="MS74" s="219"/>
      <c r="MT74" s="219"/>
      <c r="MU74" s="219"/>
      <c r="MV74" s="219"/>
      <c r="MW74" s="219"/>
      <c r="MX74" s="219"/>
      <c r="MY74" s="219"/>
      <c r="MZ74" s="219"/>
      <c r="NA74" s="219"/>
      <c r="NB74" s="219"/>
      <c r="NC74" s="219"/>
      <c r="ND74" s="219"/>
      <c r="NE74" s="219"/>
      <c r="NF74" s="219"/>
      <c r="NG74" s="219"/>
      <c r="NH74" s="219"/>
      <c r="NI74" s="219"/>
      <c r="NJ74" s="219"/>
      <c r="NK74" s="219"/>
      <c r="NL74" s="219"/>
      <c r="NM74" s="219"/>
      <c r="NN74" s="219"/>
      <c r="NO74" s="219"/>
      <c r="NP74" s="219"/>
      <c r="NQ74" s="219"/>
      <c r="NR74" s="219"/>
      <c r="NS74" s="219"/>
      <c r="NT74" s="219"/>
      <c r="NU74" s="219"/>
      <c r="NV74" s="219"/>
      <c r="NW74" s="219"/>
      <c r="NX74" s="219"/>
      <c r="NY74" s="219"/>
      <c r="NZ74" s="219"/>
      <c r="OA74" s="219"/>
      <c r="OB74" s="219"/>
      <c r="OC74" s="219"/>
      <c r="OD74" s="219"/>
      <c r="OE74" s="219"/>
      <c r="OF74" s="219"/>
      <c r="OG74" s="219"/>
      <c r="OH74" s="219"/>
      <c r="OI74" s="219"/>
      <c r="OJ74" s="219"/>
      <c r="OK74" s="219"/>
      <c r="OL74" s="219"/>
      <c r="OM74" s="219"/>
      <c r="ON74" s="219"/>
      <c r="OO74" s="219"/>
      <c r="OP74" s="219"/>
      <c r="OQ74" s="219"/>
      <c r="OR74" s="219"/>
      <c r="OS74" s="219"/>
      <c r="OT74" s="219"/>
      <c r="OU74" s="219"/>
      <c r="OV74" s="219"/>
      <c r="OW74" s="219"/>
      <c r="OX74" s="219"/>
      <c r="OY74" s="219"/>
      <c r="OZ74" s="219"/>
      <c r="PA74" s="219"/>
      <c r="PB74" s="219"/>
      <c r="PC74" s="219"/>
      <c r="PD74" s="219"/>
      <c r="PE74" s="219"/>
      <c r="PF74" s="219"/>
      <c r="PG74" s="219"/>
      <c r="PH74" s="219"/>
      <c r="PI74" s="219"/>
      <c r="PJ74" s="219"/>
      <c r="PK74" s="219"/>
      <c r="PL74" s="219"/>
      <c r="PM74" s="219"/>
      <c r="PN74" s="219"/>
      <c r="PO74" s="219"/>
      <c r="PP74" s="219"/>
      <c r="PQ74" s="219"/>
      <c r="PR74" s="219"/>
      <c r="PS74" s="219"/>
      <c r="PT74" s="219"/>
      <c r="PU74" s="219"/>
      <c r="PV74" s="219"/>
      <c r="PW74" s="219"/>
      <c r="PX74" s="219"/>
      <c r="PY74" s="219"/>
      <c r="PZ74" s="219"/>
      <c r="QA74" s="219"/>
      <c r="QB74" s="219"/>
      <c r="QC74" s="219"/>
      <c r="QD74" s="219"/>
      <c r="QE74" s="219"/>
      <c r="QF74" s="219"/>
      <c r="QG74" s="219"/>
      <c r="QH74" s="219"/>
      <c r="QI74" s="219"/>
      <c r="QJ74" s="219"/>
      <c r="QK74" s="219"/>
      <c r="QL74" s="219"/>
      <c r="QM74" s="219"/>
      <c r="QN74" s="219"/>
      <c r="QO74" s="219"/>
      <c r="QP74" s="219"/>
      <c r="QQ74" s="219"/>
      <c r="QR74" s="219"/>
      <c r="QS74" s="219"/>
      <c r="QT74" s="219"/>
      <c r="QU74" s="219"/>
      <c r="QV74" s="219"/>
      <c r="QW74" s="219"/>
      <c r="QX74" s="219"/>
      <c r="QY74" s="219"/>
      <c r="QZ74" s="219"/>
      <c r="RA74" s="219"/>
      <c r="RB74" s="219"/>
      <c r="RC74" s="219"/>
      <c r="RD74" s="219"/>
      <c r="RE74" s="219"/>
      <c r="RF74" s="219"/>
      <c r="RG74" s="219"/>
      <c r="RH74" s="219"/>
      <c r="RI74" s="219"/>
      <c r="RJ74" s="219"/>
      <c r="RK74" s="219"/>
      <c r="RL74" s="219"/>
      <c r="RM74" s="219"/>
      <c r="RN74" s="219"/>
      <c r="RO74" s="219"/>
      <c r="RP74" s="219"/>
      <c r="RQ74" s="219"/>
      <c r="RR74" s="219"/>
      <c r="RS74" s="219"/>
      <c r="RT74" s="219"/>
      <c r="RU74" s="219"/>
      <c r="RV74" s="219"/>
      <c r="RW74" s="219"/>
      <c r="RX74" s="219"/>
      <c r="RY74" s="219"/>
      <c r="RZ74" s="219"/>
      <c r="SA74" s="219"/>
      <c r="SB74" s="219"/>
      <c r="SC74" s="219"/>
      <c r="SD74" s="219"/>
      <c r="SE74" s="219"/>
      <c r="SF74" s="219"/>
      <c r="SG74" s="219"/>
      <c r="SH74" s="219"/>
      <c r="SI74" s="219"/>
      <c r="SJ74" s="219"/>
      <c r="SK74" s="219"/>
      <c r="SL74" s="219"/>
      <c r="SM74" s="219"/>
      <c r="SN74" s="219"/>
      <c r="SO74" s="219"/>
      <c r="SP74" s="219"/>
      <c r="SQ74" s="219"/>
      <c r="SR74" s="219"/>
      <c r="SS74" s="219"/>
      <c r="ST74" s="219"/>
      <c r="SU74" s="219"/>
      <c r="SV74" s="219"/>
      <c r="SW74" s="219"/>
      <c r="SX74" s="219"/>
      <c r="SY74" s="219"/>
      <c r="SZ74" s="219"/>
      <c r="TA74" s="219"/>
      <c r="TB74" s="219"/>
      <c r="TC74" s="219"/>
      <c r="TD74" s="219"/>
      <c r="TE74" s="219"/>
      <c r="TF74" s="219"/>
      <c r="TG74" s="219"/>
      <c r="TH74" s="219"/>
      <c r="TI74" s="219"/>
      <c r="TJ74" s="219"/>
      <c r="TK74" s="219"/>
      <c r="TL74" s="219"/>
      <c r="TM74" s="219"/>
      <c r="TN74" s="219"/>
      <c r="TO74" s="219"/>
      <c r="TP74" s="219"/>
      <c r="TQ74" s="219"/>
      <c r="TR74" s="219"/>
      <c r="TS74" s="219"/>
      <c r="TT74" s="219"/>
      <c r="TU74" s="219"/>
      <c r="TV74" s="219"/>
      <c r="TW74" s="219"/>
      <c r="TX74" s="219"/>
      <c r="TY74" s="219"/>
      <c r="TZ74" s="219"/>
      <c r="UA74" s="219"/>
      <c r="UB74" s="219"/>
      <c r="UC74" s="219"/>
      <c r="UD74" s="219"/>
      <c r="UE74" s="219"/>
      <c r="UF74" s="219"/>
      <c r="UG74" s="219"/>
      <c r="UH74" s="219"/>
      <c r="UI74" s="219"/>
      <c r="UJ74" s="219"/>
      <c r="UK74" s="219"/>
      <c r="UL74" s="219"/>
      <c r="UM74" s="219"/>
      <c r="UN74" s="219"/>
      <c r="UO74" s="219"/>
      <c r="UP74" s="219"/>
      <c r="UQ74" s="219"/>
      <c r="UR74" s="219"/>
      <c r="US74" s="219"/>
      <c r="UT74" s="219"/>
      <c r="UU74" s="219"/>
      <c r="UV74" s="219"/>
      <c r="UW74" s="219"/>
      <c r="UX74" s="219"/>
      <c r="UY74" s="219"/>
      <c r="UZ74" s="219"/>
      <c r="VA74" s="219"/>
      <c r="VB74" s="219"/>
      <c r="VC74" s="219"/>
      <c r="VD74" s="219"/>
      <c r="VE74" s="219"/>
      <c r="VF74" s="219"/>
      <c r="VG74" s="219"/>
      <c r="VH74" s="219"/>
      <c r="VI74" s="219"/>
      <c r="VJ74" s="219"/>
      <c r="VK74" s="219"/>
      <c r="VL74" s="219"/>
      <c r="VM74" s="219"/>
      <c r="VN74" s="219"/>
      <c r="VO74" s="219"/>
      <c r="VP74" s="219"/>
      <c r="VQ74" s="219"/>
      <c r="VR74" s="219"/>
      <c r="VS74" s="219"/>
      <c r="VT74" s="219"/>
      <c r="VU74" s="219"/>
      <c r="VV74" s="219"/>
      <c r="VW74" s="219"/>
      <c r="VX74" s="219"/>
      <c r="VY74" s="219"/>
      <c r="VZ74" s="219"/>
      <c r="WA74" s="219"/>
      <c r="WB74" s="219"/>
      <c r="WC74" s="219"/>
      <c r="WD74" s="219"/>
      <c r="WE74" s="219"/>
      <c r="WF74" s="219"/>
      <c r="WG74" s="219"/>
      <c r="WH74" s="219"/>
      <c r="WI74" s="219"/>
      <c r="WJ74" s="219"/>
      <c r="WK74" s="219"/>
      <c r="WL74" s="219"/>
      <c r="WM74" s="219"/>
      <c r="WN74" s="219"/>
      <c r="WO74" s="219"/>
      <c r="WP74" s="219"/>
      <c r="WQ74" s="219"/>
      <c r="WR74" s="219"/>
      <c r="WS74" s="219"/>
      <c r="WT74" s="219"/>
      <c r="WU74" s="219"/>
      <c r="WV74" s="219"/>
      <c r="WW74" s="219"/>
      <c r="WX74" s="219"/>
      <c r="WY74" s="219"/>
      <c r="WZ74" s="219"/>
      <c r="XA74" s="219"/>
      <c r="XB74" s="219"/>
      <c r="XC74" s="219"/>
      <c r="XD74" s="219"/>
      <c r="XE74" s="219"/>
      <c r="XF74" s="219"/>
      <c r="XG74" s="219"/>
      <c r="XH74" s="219"/>
      <c r="XI74" s="219"/>
      <c r="XJ74" s="219"/>
      <c r="XK74" s="219"/>
      <c r="XL74" s="219"/>
      <c r="XM74" s="219"/>
      <c r="XN74" s="219"/>
      <c r="XO74" s="219"/>
      <c r="XP74" s="219"/>
      <c r="XQ74" s="219"/>
      <c r="XR74" s="219"/>
      <c r="XS74" s="219"/>
      <c r="XT74" s="219"/>
      <c r="XU74" s="219"/>
      <c r="XV74" s="219"/>
      <c r="XW74" s="219"/>
      <c r="XX74" s="219"/>
      <c r="XY74" s="219"/>
      <c r="XZ74" s="219"/>
      <c r="YA74" s="219"/>
      <c r="YB74" s="219"/>
      <c r="YC74" s="219"/>
      <c r="YD74" s="219"/>
      <c r="YE74" s="219"/>
      <c r="YF74" s="219"/>
      <c r="YG74" s="219"/>
      <c r="YH74" s="219"/>
      <c r="YI74" s="219"/>
      <c r="YJ74" s="219"/>
      <c r="YK74" s="219"/>
      <c r="YL74" s="219"/>
      <c r="YM74" s="219"/>
      <c r="YN74" s="219"/>
      <c r="YO74" s="219"/>
      <c r="YP74" s="219"/>
      <c r="YQ74" s="219"/>
      <c r="YR74" s="219"/>
      <c r="YS74" s="219"/>
      <c r="YT74" s="219"/>
      <c r="YU74" s="219"/>
      <c r="YV74" s="219"/>
      <c r="YW74" s="219"/>
      <c r="YX74" s="219"/>
      <c r="YY74" s="219"/>
      <c r="YZ74" s="219"/>
      <c r="ZA74" s="219"/>
      <c r="ZB74" s="219"/>
      <c r="ZC74" s="219"/>
      <c r="ZD74" s="219"/>
      <c r="ZE74" s="219"/>
      <c r="ZF74" s="219"/>
      <c r="ZG74" s="219"/>
      <c r="ZH74" s="219"/>
      <c r="ZI74" s="219"/>
      <c r="ZJ74" s="219"/>
      <c r="ZK74" s="219"/>
      <c r="ZL74" s="219"/>
      <c r="ZM74" s="219"/>
      <c r="ZN74" s="219"/>
      <c r="ZO74" s="219"/>
      <c r="ZP74" s="219"/>
      <c r="ZQ74" s="219"/>
      <c r="ZR74" s="219"/>
      <c r="ZS74" s="219"/>
      <c r="ZT74" s="219"/>
      <c r="ZU74" s="219"/>
      <c r="ZV74" s="219"/>
      <c r="ZW74" s="219"/>
      <c r="ZX74" s="219"/>
      <c r="ZY74" s="219"/>
      <c r="ZZ74" s="219"/>
      <c r="AAA74" s="219"/>
      <c r="AAB74" s="219"/>
      <c r="AAC74" s="219"/>
      <c r="AAD74" s="219"/>
      <c r="AAE74" s="219"/>
      <c r="AAF74" s="219"/>
      <c r="AAG74" s="219"/>
      <c r="AAH74" s="219"/>
      <c r="AAI74" s="219"/>
      <c r="AAJ74" s="219"/>
      <c r="AAK74" s="219"/>
      <c r="AAL74" s="219"/>
      <c r="AAM74" s="219"/>
      <c r="AAN74" s="219"/>
      <c r="AAO74" s="219"/>
      <c r="AAP74" s="219"/>
      <c r="AAQ74" s="219"/>
      <c r="AAR74" s="219"/>
      <c r="AAS74" s="219"/>
      <c r="AAT74" s="219"/>
      <c r="AAU74" s="219"/>
      <c r="AAV74" s="219"/>
      <c r="AAW74" s="219"/>
      <c r="AAX74" s="219"/>
      <c r="AAY74" s="219"/>
      <c r="AAZ74" s="219"/>
      <c r="ABA74" s="219"/>
      <c r="ABB74" s="219"/>
      <c r="ABC74" s="219"/>
      <c r="ABD74" s="219"/>
      <c r="ABE74" s="219"/>
      <c r="ABF74" s="219"/>
      <c r="ABG74" s="219"/>
      <c r="ABH74" s="219"/>
      <c r="ABI74" s="219"/>
      <c r="ABJ74" s="219"/>
      <c r="ABK74" s="219"/>
      <c r="ABL74" s="219"/>
      <c r="ABM74" s="219"/>
      <c r="ABN74" s="219"/>
      <c r="ABO74" s="219"/>
      <c r="ABP74" s="219"/>
      <c r="ABQ74" s="219"/>
      <c r="ABR74" s="219"/>
      <c r="ABS74" s="219"/>
      <c r="ABT74" s="219"/>
      <c r="ABU74" s="219"/>
      <c r="ABV74" s="219"/>
      <c r="ABW74" s="219"/>
      <c r="ABX74" s="219"/>
      <c r="ABY74" s="219"/>
      <c r="ABZ74" s="219"/>
      <c r="ACA74" s="219"/>
      <c r="ACB74" s="219"/>
      <c r="ACC74" s="219"/>
      <c r="ACD74" s="219"/>
      <c r="ACE74" s="219"/>
      <c r="ACF74" s="219"/>
      <c r="ACG74" s="219"/>
      <c r="ACH74" s="219"/>
      <c r="ACI74" s="219"/>
      <c r="ACJ74" s="219"/>
      <c r="ACK74" s="219"/>
      <c r="ACL74" s="219"/>
      <c r="ACM74" s="219"/>
      <c r="ACN74" s="219"/>
      <c r="ACO74" s="219"/>
      <c r="ACP74" s="219"/>
      <c r="ACQ74" s="219"/>
      <c r="ACR74" s="219"/>
      <c r="ACS74" s="219"/>
      <c r="ACT74" s="219"/>
      <c r="ACU74" s="219"/>
      <c r="ACV74" s="219"/>
      <c r="ACW74" s="219"/>
      <c r="ACX74" s="219"/>
      <c r="ACY74" s="219"/>
      <c r="ACZ74" s="219"/>
      <c r="ADA74" s="219"/>
      <c r="ADB74" s="219"/>
      <c r="ADC74" s="219"/>
      <c r="ADD74" s="219"/>
      <c r="ADE74" s="219"/>
      <c r="ADF74" s="219"/>
      <c r="ADG74" s="219"/>
      <c r="ADH74" s="219"/>
      <c r="ADI74" s="219"/>
      <c r="ADJ74" s="219"/>
      <c r="ADK74" s="219"/>
      <c r="ADL74" s="219"/>
      <c r="ADM74" s="219"/>
      <c r="ADN74" s="219"/>
      <c r="ADO74" s="219"/>
      <c r="ADP74" s="219"/>
      <c r="ADQ74" s="219"/>
      <c r="ADR74" s="219"/>
      <c r="ADS74" s="219"/>
      <c r="ADT74" s="219"/>
      <c r="ADU74" s="219"/>
      <c r="ADV74" s="219"/>
      <c r="ADW74" s="219"/>
      <c r="ADX74" s="219"/>
      <c r="ADY74" s="219"/>
      <c r="ADZ74" s="219"/>
      <c r="AEA74" s="219"/>
      <c r="AEB74" s="219"/>
      <c r="AEC74" s="219"/>
      <c r="AED74" s="219"/>
      <c r="AEE74" s="219"/>
      <c r="AEF74" s="219"/>
      <c r="AEG74" s="219"/>
      <c r="AEH74" s="219"/>
      <c r="AEI74" s="219"/>
      <c r="AEJ74" s="219"/>
      <c r="AEK74" s="219"/>
      <c r="AEL74" s="219"/>
      <c r="AEM74" s="219"/>
      <c r="AEN74" s="219"/>
      <c r="AEO74" s="219"/>
    </row>
    <row r="75" spans="1:822" s="152" customFormat="1">
      <c r="A75" s="219"/>
      <c r="B75" s="154">
        <v>2011</v>
      </c>
      <c r="C75" s="154">
        <v>2012</v>
      </c>
      <c r="D75" s="154">
        <v>2013</v>
      </c>
      <c r="E75" s="154">
        <v>2014</v>
      </c>
      <c r="F75" s="154">
        <v>2015</v>
      </c>
      <c r="G75" s="154">
        <v>2016</v>
      </c>
      <c r="H75" s="154">
        <v>2017</v>
      </c>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9"/>
      <c r="BL75" s="219"/>
      <c r="BM75" s="219"/>
      <c r="BN75" s="219"/>
      <c r="BO75" s="219"/>
      <c r="BP75" s="219"/>
      <c r="BQ75" s="219"/>
      <c r="BR75" s="219"/>
      <c r="BS75" s="219"/>
      <c r="BT75" s="219"/>
      <c r="BU75" s="219"/>
      <c r="BV75" s="219"/>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c r="DW75" s="219"/>
      <c r="DX75" s="219"/>
      <c r="DY75" s="219"/>
      <c r="DZ75" s="219"/>
      <c r="EA75" s="219"/>
      <c r="EB75" s="219"/>
      <c r="EC75" s="219"/>
      <c r="ED75" s="219"/>
      <c r="EE75" s="219"/>
      <c r="EF75" s="219"/>
      <c r="EG75" s="219"/>
      <c r="EH75" s="219"/>
      <c r="EI75" s="219"/>
      <c r="EJ75" s="219"/>
      <c r="EK75" s="219"/>
      <c r="EL75" s="219"/>
      <c r="EM75" s="219"/>
      <c r="EN75" s="219"/>
      <c r="EO75" s="219"/>
      <c r="EP75" s="219"/>
      <c r="EQ75" s="219"/>
      <c r="ER75" s="219"/>
      <c r="ES75" s="219"/>
      <c r="ET75" s="219"/>
      <c r="EU75" s="219"/>
      <c r="EV75" s="219"/>
      <c r="EW75" s="219"/>
      <c r="EX75" s="219"/>
      <c r="EY75" s="219"/>
      <c r="EZ75" s="219"/>
      <c r="FA75" s="219"/>
      <c r="FB75" s="219"/>
      <c r="FC75" s="219"/>
      <c r="FD75" s="219"/>
      <c r="FE75" s="219"/>
      <c r="FF75" s="219"/>
      <c r="FG75" s="219"/>
      <c r="FH75" s="219"/>
      <c r="FI75" s="219"/>
      <c r="FJ75" s="219"/>
      <c r="FK75" s="219"/>
      <c r="FL75" s="219"/>
      <c r="FM75" s="219"/>
      <c r="FN75" s="219"/>
      <c r="FO75" s="219"/>
      <c r="FP75" s="219"/>
      <c r="FQ75" s="219"/>
      <c r="FR75" s="219"/>
      <c r="FS75" s="219"/>
      <c r="FT75" s="219"/>
      <c r="FU75" s="219"/>
      <c r="FV75" s="219"/>
      <c r="FW75" s="219"/>
      <c r="FX75" s="219"/>
      <c r="FY75" s="219"/>
      <c r="FZ75" s="219"/>
      <c r="GA75" s="219"/>
      <c r="GB75" s="219"/>
      <c r="GC75" s="219"/>
      <c r="GD75" s="219"/>
      <c r="GE75" s="219"/>
      <c r="GF75" s="219"/>
      <c r="GG75" s="219"/>
      <c r="GH75" s="219"/>
      <c r="GI75" s="219"/>
      <c r="GJ75" s="219"/>
      <c r="GK75" s="219"/>
      <c r="GL75" s="219"/>
      <c r="GM75" s="219"/>
      <c r="GN75" s="219"/>
      <c r="GO75" s="219"/>
      <c r="GP75" s="219"/>
      <c r="GQ75" s="219"/>
      <c r="GR75" s="219"/>
      <c r="GS75" s="219"/>
      <c r="GT75" s="219"/>
      <c r="GU75" s="219"/>
      <c r="GV75" s="219"/>
      <c r="GW75" s="219"/>
      <c r="GX75" s="219"/>
      <c r="GY75" s="219"/>
      <c r="GZ75" s="219"/>
      <c r="HA75" s="219"/>
      <c r="HB75" s="219"/>
      <c r="HC75" s="219"/>
      <c r="HD75" s="219"/>
      <c r="HE75" s="219"/>
      <c r="HF75" s="219"/>
      <c r="HG75" s="219"/>
      <c r="HH75" s="219"/>
      <c r="HI75" s="219"/>
      <c r="HJ75" s="219"/>
      <c r="HK75" s="219"/>
      <c r="HL75" s="219"/>
      <c r="HM75" s="219"/>
      <c r="HN75" s="219"/>
      <c r="HO75" s="219"/>
      <c r="HP75" s="219"/>
      <c r="HQ75" s="219"/>
      <c r="HR75" s="219"/>
      <c r="HS75" s="219"/>
      <c r="HT75" s="219"/>
      <c r="HU75" s="219"/>
      <c r="HV75" s="219"/>
      <c r="HW75" s="219"/>
      <c r="HX75" s="219"/>
      <c r="HY75" s="219"/>
      <c r="HZ75" s="219"/>
      <c r="IA75" s="219"/>
      <c r="IB75" s="219"/>
      <c r="IC75" s="219"/>
      <c r="ID75" s="219"/>
      <c r="IE75" s="219"/>
      <c r="IF75" s="219"/>
      <c r="IG75" s="219"/>
      <c r="IH75" s="219"/>
      <c r="II75" s="219"/>
      <c r="IJ75" s="219"/>
      <c r="IK75" s="219"/>
      <c r="IL75" s="219"/>
      <c r="IM75" s="219"/>
      <c r="IN75" s="219"/>
      <c r="IO75" s="219"/>
      <c r="IP75" s="219"/>
      <c r="IQ75" s="219"/>
      <c r="IR75" s="219"/>
      <c r="IS75" s="219"/>
      <c r="IT75" s="219"/>
      <c r="IU75" s="219"/>
      <c r="IV75" s="219"/>
      <c r="IW75" s="219"/>
      <c r="IX75" s="219"/>
      <c r="IY75" s="219"/>
      <c r="IZ75" s="219"/>
      <c r="JA75" s="219"/>
      <c r="JB75" s="219"/>
      <c r="JC75" s="219"/>
      <c r="JD75" s="219"/>
      <c r="JE75" s="219"/>
      <c r="JF75" s="219"/>
      <c r="JG75" s="219"/>
      <c r="JH75" s="219"/>
      <c r="JI75" s="219"/>
      <c r="JJ75" s="219"/>
      <c r="JK75" s="219"/>
      <c r="JL75" s="219"/>
      <c r="JM75" s="219"/>
      <c r="JN75" s="219"/>
      <c r="JO75" s="219"/>
      <c r="JP75" s="219"/>
      <c r="JQ75" s="219"/>
      <c r="JR75" s="219"/>
      <c r="JS75" s="219"/>
      <c r="JT75" s="219"/>
      <c r="JU75" s="219"/>
      <c r="JV75" s="219"/>
      <c r="JW75" s="219"/>
      <c r="JX75" s="219"/>
      <c r="JY75" s="219"/>
      <c r="JZ75" s="219"/>
      <c r="KA75" s="219"/>
      <c r="KB75" s="219"/>
      <c r="KC75" s="219"/>
      <c r="KD75" s="219"/>
      <c r="KE75" s="219"/>
      <c r="KF75" s="219"/>
      <c r="KG75" s="219"/>
      <c r="KH75" s="219"/>
      <c r="KI75" s="219"/>
      <c r="KJ75" s="219"/>
      <c r="KK75" s="219"/>
      <c r="KL75" s="219"/>
      <c r="KM75" s="219"/>
      <c r="KN75" s="219"/>
      <c r="KO75" s="219"/>
      <c r="KP75" s="219"/>
      <c r="KQ75" s="219"/>
      <c r="KR75" s="219"/>
      <c r="KS75" s="219"/>
      <c r="KT75" s="219"/>
      <c r="KU75" s="219"/>
      <c r="KV75" s="219"/>
      <c r="KW75" s="219"/>
      <c r="KX75" s="219"/>
      <c r="KY75" s="219"/>
      <c r="KZ75" s="219"/>
      <c r="LA75" s="219"/>
      <c r="LB75" s="219"/>
      <c r="LC75" s="219"/>
      <c r="LD75" s="219"/>
      <c r="LE75" s="219"/>
      <c r="LF75" s="219"/>
      <c r="LG75" s="219"/>
      <c r="LH75" s="219"/>
      <c r="LI75" s="219"/>
      <c r="LJ75" s="219"/>
      <c r="LK75" s="219"/>
      <c r="LL75" s="219"/>
      <c r="LM75" s="219"/>
      <c r="LN75" s="219"/>
      <c r="LO75" s="219"/>
      <c r="LP75" s="219"/>
      <c r="LQ75" s="219"/>
      <c r="LR75" s="219"/>
      <c r="LS75" s="219"/>
      <c r="LT75" s="219"/>
      <c r="LU75" s="219"/>
      <c r="LV75" s="219"/>
      <c r="LW75" s="219"/>
      <c r="LX75" s="219"/>
      <c r="LY75" s="219"/>
      <c r="LZ75" s="219"/>
      <c r="MA75" s="219"/>
      <c r="MB75" s="219"/>
      <c r="MC75" s="219"/>
      <c r="MD75" s="219"/>
      <c r="ME75" s="219"/>
      <c r="MF75" s="219"/>
      <c r="MG75" s="219"/>
      <c r="MH75" s="219"/>
      <c r="MI75" s="219"/>
      <c r="MJ75" s="219"/>
      <c r="MK75" s="219"/>
      <c r="ML75" s="219"/>
      <c r="MM75" s="219"/>
      <c r="MN75" s="219"/>
      <c r="MO75" s="219"/>
      <c r="MP75" s="219"/>
      <c r="MQ75" s="219"/>
      <c r="MR75" s="219"/>
      <c r="MS75" s="219"/>
      <c r="MT75" s="219"/>
      <c r="MU75" s="219"/>
      <c r="MV75" s="219"/>
      <c r="MW75" s="219"/>
      <c r="MX75" s="219"/>
      <c r="MY75" s="219"/>
      <c r="MZ75" s="219"/>
      <c r="NA75" s="219"/>
      <c r="NB75" s="219"/>
      <c r="NC75" s="219"/>
      <c r="ND75" s="219"/>
      <c r="NE75" s="219"/>
      <c r="NF75" s="219"/>
      <c r="NG75" s="219"/>
      <c r="NH75" s="219"/>
      <c r="NI75" s="219"/>
      <c r="NJ75" s="219"/>
      <c r="NK75" s="219"/>
      <c r="NL75" s="219"/>
      <c r="NM75" s="219"/>
      <c r="NN75" s="219"/>
      <c r="NO75" s="219"/>
      <c r="NP75" s="219"/>
      <c r="NQ75" s="219"/>
      <c r="NR75" s="219"/>
      <c r="NS75" s="219"/>
      <c r="NT75" s="219"/>
      <c r="NU75" s="219"/>
      <c r="NV75" s="219"/>
      <c r="NW75" s="219"/>
      <c r="NX75" s="219"/>
      <c r="NY75" s="219"/>
      <c r="NZ75" s="219"/>
      <c r="OA75" s="219"/>
      <c r="OB75" s="219"/>
      <c r="OC75" s="219"/>
      <c r="OD75" s="219"/>
      <c r="OE75" s="219"/>
      <c r="OF75" s="219"/>
      <c r="OG75" s="219"/>
      <c r="OH75" s="219"/>
      <c r="OI75" s="219"/>
      <c r="OJ75" s="219"/>
      <c r="OK75" s="219"/>
      <c r="OL75" s="219"/>
      <c r="OM75" s="219"/>
      <c r="ON75" s="219"/>
      <c r="OO75" s="219"/>
      <c r="OP75" s="219"/>
      <c r="OQ75" s="219"/>
      <c r="OR75" s="219"/>
      <c r="OS75" s="219"/>
      <c r="OT75" s="219"/>
      <c r="OU75" s="219"/>
      <c r="OV75" s="219"/>
      <c r="OW75" s="219"/>
      <c r="OX75" s="219"/>
      <c r="OY75" s="219"/>
      <c r="OZ75" s="219"/>
      <c r="PA75" s="219"/>
      <c r="PB75" s="219"/>
      <c r="PC75" s="219"/>
      <c r="PD75" s="219"/>
      <c r="PE75" s="219"/>
      <c r="PF75" s="219"/>
      <c r="PG75" s="219"/>
      <c r="PH75" s="219"/>
      <c r="PI75" s="219"/>
      <c r="PJ75" s="219"/>
      <c r="PK75" s="219"/>
      <c r="PL75" s="219"/>
      <c r="PM75" s="219"/>
      <c r="PN75" s="219"/>
      <c r="PO75" s="219"/>
      <c r="PP75" s="219"/>
      <c r="PQ75" s="219"/>
      <c r="PR75" s="219"/>
      <c r="PS75" s="219"/>
      <c r="PT75" s="219"/>
      <c r="PU75" s="219"/>
      <c r="PV75" s="219"/>
      <c r="PW75" s="219"/>
      <c r="PX75" s="219"/>
      <c r="PY75" s="219"/>
      <c r="PZ75" s="219"/>
      <c r="QA75" s="219"/>
      <c r="QB75" s="219"/>
      <c r="QC75" s="219"/>
      <c r="QD75" s="219"/>
      <c r="QE75" s="219"/>
      <c r="QF75" s="219"/>
      <c r="QG75" s="219"/>
      <c r="QH75" s="219"/>
      <c r="QI75" s="219"/>
      <c r="QJ75" s="219"/>
      <c r="QK75" s="219"/>
      <c r="QL75" s="219"/>
      <c r="QM75" s="219"/>
      <c r="QN75" s="219"/>
      <c r="QO75" s="219"/>
      <c r="QP75" s="219"/>
      <c r="QQ75" s="219"/>
      <c r="QR75" s="219"/>
      <c r="QS75" s="219"/>
      <c r="QT75" s="219"/>
      <c r="QU75" s="219"/>
      <c r="QV75" s="219"/>
      <c r="QW75" s="219"/>
      <c r="QX75" s="219"/>
      <c r="QY75" s="219"/>
      <c r="QZ75" s="219"/>
      <c r="RA75" s="219"/>
      <c r="RB75" s="219"/>
      <c r="RC75" s="219"/>
      <c r="RD75" s="219"/>
      <c r="RE75" s="219"/>
      <c r="RF75" s="219"/>
      <c r="RG75" s="219"/>
      <c r="RH75" s="219"/>
      <c r="RI75" s="219"/>
      <c r="RJ75" s="219"/>
      <c r="RK75" s="219"/>
      <c r="RL75" s="219"/>
      <c r="RM75" s="219"/>
      <c r="RN75" s="219"/>
      <c r="RO75" s="219"/>
      <c r="RP75" s="219"/>
      <c r="RQ75" s="219"/>
      <c r="RR75" s="219"/>
      <c r="RS75" s="219"/>
      <c r="RT75" s="219"/>
      <c r="RU75" s="219"/>
      <c r="RV75" s="219"/>
      <c r="RW75" s="219"/>
      <c r="RX75" s="219"/>
      <c r="RY75" s="219"/>
      <c r="RZ75" s="219"/>
      <c r="SA75" s="219"/>
      <c r="SB75" s="219"/>
      <c r="SC75" s="219"/>
      <c r="SD75" s="219"/>
      <c r="SE75" s="219"/>
      <c r="SF75" s="219"/>
      <c r="SG75" s="219"/>
      <c r="SH75" s="219"/>
      <c r="SI75" s="219"/>
      <c r="SJ75" s="219"/>
      <c r="SK75" s="219"/>
      <c r="SL75" s="219"/>
      <c r="SM75" s="219"/>
      <c r="SN75" s="219"/>
      <c r="SO75" s="219"/>
      <c r="SP75" s="219"/>
      <c r="SQ75" s="219"/>
      <c r="SR75" s="219"/>
      <c r="SS75" s="219"/>
      <c r="ST75" s="219"/>
      <c r="SU75" s="219"/>
      <c r="SV75" s="219"/>
      <c r="SW75" s="219"/>
      <c r="SX75" s="219"/>
      <c r="SY75" s="219"/>
      <c r="SZ75" s="219"/>
      <c r="TA75" s="219"/>
      <c r="TB75" s="219"/>
      <c r="TC75" s="219"/>
      <c r="TD75" s="219"/>
      <c r="TE75" s="219"/>
      <c r="TF75" s="219"/>
      <c r="TG75" s="219"/>
      <c r="TH75" s="219"/>
      <c r="TI75" s="219"/>
      <c r="TJ75" s="219"/>
      <c r="TK75" s="219"/>
      <c r="TL75" s="219"/>
      <c r="TM75" s="219"/>
      <c r="TN75" s="219"/>
      <c r="TO75" s="219"/>
      <c r="TP75" s="219"/>
      <c r="TQ75" s="219"/>
      <c r="TR75" s="219"/>
      <c r="TS75" s="219"/>
      <c r="TT75" s="219"/>
      <c r="TU75" s="219"/>
      <c r="TV75" s="219"/>
      <c r="TW75" s="219"/>
      <c r="TX75" s="219"/>
      <c r="TY75" s="219"/>
      <c r="TZ75" s="219"/>
      <c r="UA75" s="219"/>
      <c r="UB75" s="219"/>
      <c r="UC75" s="219"/>
      <c r="UD75" s="219"/>
      <c r="UE75" s="219"/>
      <c r="UF75" s="219"/>
      <c r="UG75" s="219"/>
      <c r="UH75" s="219"/>
      <c r="UI75" s="219"/>
      <c r="UJ75" s="219"/>
      <c r="UK75" s="219"/>
      <c r="UL75" s="219"/>
      <c r="UM75" s="219"/>
      <c r="UN75" s="219"/>
      <c r="UO75" s="219"/>
      <c r="UP75" s="219"/>
      <c r="UQ75" s="219"/>
      <c r="UR75" s="219"/>
      <c r="US75" s="219"/>
      <c r="UT75" s="219"/>
      <c r="UU75" s="219"/>
      <c r="UV75" s="219"/>
      <c r="UW75" s="219"/>
      <c r="UX75" s="219"/>
      <c r="UY75" s="219"/>
      <c r="UZ75" s="219"/>
      <c r="VA75" s="219"/>
      <c r="VB75" s="219"/>
      <c r="VC75" s="219"/>
      <c r="VD75" s="219"/>
      <c r="VE75" s="219"/>
      <c r="VF75" s="219"/>
      <c r="VG75" s="219"/>
      <c r="VH75" s="219"/>
      <c r="VI75" s="219"/>
      <c r="VJ75" s="219"/>
      <c r="VK75" s="219"/>
      <c r="VL75" s="219"/>
      <c r="VM75" s="219"/>
      <c r="VN75" s="219"/>
      <c r="VO75" s="219"/>
      <c r="VP75" s="219"/>
      <c r="VQ75" s="219"/>
      <c r="VR75" s="219"/>
      <c r="VS75" s="219"/>
      <c r="VT75" s="219"/>
      <c r="VU75" s="219"/>
      <c r="VV75" s="219"/>
      <c r="VW75" s="219"/>
      <c r="VX75" s="219"/>
      <c r="VY75" s="219"/>
      <c r="VZ75" s="219"/>
      <c r="WA75" s="219"/>
      <c r="WB75" s="219"/>
      <c r="WC75" s="219"/>
      <c r="WD75" s="219"/>
      <c r="WE75" s="219"/>
      <c r="WF75" s="219"/>
      <c r="WG75" s="219"/>
      <c r="WH75" s="219"/>
      <c r="WI75" s="219"/>
      <c r="WJ75" s="219"/>
      <c r="WK75" s="219"/>
      <c r="WL75" s="219"/>
      <c r="WM75" s="219"/>
      <c r="WN75" s="219"/>
      <c r="WO75" s="219"/>
      <c r="WP75" s="219"/>
      <c r="WQ75" s="219"/>
      <c r="WR75" s="219"/>
      <c r="WS75" s="219"/>
      <c r="WT75" s="219"/>
      <c r="WU75" s="219"/>
      <c r="WV75" s="219"/>
      <c r="WW75" s="219"/>
      <c r="WX75" s="219"/>
      <c r="WY75" s="219"/>
      <c r="WZ75" s="219"/>
      <c r="XA75" s="219"/>
      <c r="XB75" s="219"/>
      <c r="XC75" s="219"/>
      <c r="XD75" s="219"/>
      <c r="XE75" s="219"/>
      <c r="XF75" s="219"/>
      <c r="XG75" s="219"/>
      <c r="XH75" s="219"/>
      <c r="XI75" s="219"/>
      <c r="XJ75" s="219"/>
      <c r="XK75" s="219"/>
      <c r="XL75" s="219"/>
      <c r="XM75" s="219"/>
      <c r="XN75" s="219"/>
      <c r="XO75" s="219"/>
      <c r="XP75" s="219"/>
      <c r="XQ75" s="219"/>
      <c r="XR75" s="219"/>
      <c r="XS75" s="219"/>
      <c r="XT75" s="219"/>
      <c r="XU75" s="219"/>
      <c r="XV75" s="219"/>
      <c r="XW75" s="219"/>
      <c r="XX75" s="219"/>
      <c r="XY75" s="219"/>
      <c r="XZ75" s="219"/>
      <c r="YA75" s="219"/>
      <c r="YB75" s="219"/>
      <c r="YC75" s="219"/>
      <c r="YD75" s="219"/>
      <c r="YE75" s="219"/>
      <c r="YF75" s="219"/>
      <c r="YG75" s="219"/>
      <c r="YH75" s="219"/>
      <c r="YI75" s="219"/>
      <c r="YJ75" s="219"/>
      <c r="YK75" s="219"/>
      <c r="YL75" s="219"/>
      <c r="YM75" s="219"/>
      <c r="YN75" s="219"/>
      <c r="YO75" s="219"/>
      <c r="YP75" s="219"/>
      <c r="YQ75" s="219"/>
      <c r="YR75" s="219"/>
      <c r="YS75" s="219"/>
      <c r="YT75" s="219"/>
      <c r="YU75" s="219"/>
      <c r="YV75" s="219"/>
      <c r="YW75" s="219"/>
      <c r="YX75" s="219"/>
      <c r="YY75" s="219"/>
      <c r="YZ75" s="219"/>
      <c r="ZA75" s="219"/>
      <c r="ZB75" s="219"/>
      <c r="ZC75" s="219"/>
      <c r="ZD75" s="219"/>
      <c r="ZE75" s="219"/>
      <c r="ZF75" s="219"/>
      <c r="ZG75" s="219"/>
      <c r="ZH75" s="219"/>
      <c r="ZI75" s="219"/>
      <c r="ZJ75" s="219"/>
      <c r="ZK75" s="219"/>
      <c r="ZL75" s="219"/>
      <c r="ZM75" s="219"/>
      <c r="ZN75" s="219"/>
      <c r="ZO75" s="219"/>
      <c r="ZP75" s="219"/>
      <c r="ZQ75" s="219"/>
      <c r="ZR75" s="219"/>
      <c r="ZS75" s="219"/>
      <c r="ZT75" s="219"/>
      <c r="ZU75" s="219"/>
      <c r="ZV75" s="219"/>
      <c r="ZW75" s="219"/>
      <c r="ZX75" s="219"/>
      <c r="ZY75" s="219"/>
      <c r="ZZ75" s="219"/>
      <c r="AAA75" s="219"/>
      <c r="AAB75" s="219"/>
      <c r="AAC75" s="219"/>
      <c r="AAD75" s="219"/>
      <c r="AAE75" s="219"/>
      <c r="AAF75" s="219"/>
      <c r="AAG75" s="219"/>
      <c r="AAH75" s="219"/>
      <c r="AAI75" s="219"/>
      <c r="AAJ75" s="219"/>
      <c r="AAK75" s="219"/>
      <c r="AAL75" s="219"/>
      <c r="AAM75" s="219"/>
      <c r="AAN75" s="219"/>
      <c r="AAO75" s="219"/>
      <c r="AAP75" s="219"/>
      <c r="AAQ75" s="219"/>
      <c r="AAR75" s="219"/>
      <c r="AAS75" s="219"/>
      <c r="AAT75" s="219"/>
      <c r="AAU75" s="219"/>
      <c r="AAV75" s="219"/>
      <c r="AAW75" s="219"/>
      <c r="AAX75" s="219"/>
      <c r="AAY75" s="219"/>
      <c r="AAZ75" s="219"/>
      <c r="ABA75" s="219"/>
      <c r="ABB75" s="219"/>
      <c r="ABC75" s="219"/>
      <c r="ABD75" s="219"/>
      <c r="ABE75" s="219"/>
      <c r="ABF75" s="219"/>
      <c r="ABG75" s="219"/>
      <c r="ABH75" s="219"/>
      <c r="ABI75" s="219"/>
      <c r="ABJ75" s="219"/>
      <c r="ABK75" s="219"/>
      <c r="ABL75" s="219"/>
      <c r="ABM75" s="219"/>
      <c r="ABN75" s="219"/>
      <c r="ABO75" s="219"/>
      <c r="ABP75" s="219"/>
      <c r="ABQ75" s="219"/>
      <c r="ABR75" s="219"/>
      <c r="ABS75" s="219"/>
      <c r="ABT75" s="219"/>
      <c r="ABU75" s="219"/>
      <c r="ABV75" s="219"/>
      <c r="ABW75" s="219"/>
      <c r="ABX75" s="219"/>
      <c r="ABY75" s="219"/>
      <c r="ABZ75" s="219"/>
      <c r="ACA75" s="219"/>
      <c r="ACB75" s="219"/>
      <c r="ACC75" s="219"/>
      <c r="ACD75" s="219"/>
      <c r="ACE75" s="219"/>
      <c r="ACF75" s="219"/>
      <c r="ACG75" s="219"/>
      <c r="ACH75" s="219"/>
      <c r="ACI75" s="219"/>
      <c r="ACJ75" s="219"/>
      <c r="ACK75" s="219"/>
      <c r="ACL75" s="219"/>
      <c r="ACM75" s="219"/>
      <c r="ACN75" s="219"/>
      <c r="ACO75" s="219"/>
      <c r="ACP75" s="219"/>
      <c r="ACQ75" s="219"/>
      <c r="ACR75" s="219"/>
      <c r="ACS75" s="219"/>
      <c r="ACT75" s="219"/>
      <c r="ACU75" s="219"/>
      <c r="ACV75" s="219"/>
      <c r="ACW75" s="219"/>
      <c r="ACX75" s="219"/>
      <c r="ACY75" s="219"/>
      <c r="ACZ75" s="219"/>
      <c r="ADA75" s="219"/>
      <c r="ADB75" s="219"/>
      <c r="ADC75" s="219"/>
      <c r="ADD75" s="219"/>
      <c r="ADE75" s="219"/>
      <c r="ADF75" s="219"/>
      <c r="ADG75" s="219"/>
      <c r="ADH75" s="219"/>
      <c r="ADI75" s="219"/>
      <c r="ADJ75" s="219"/>
      <c r="ADK75" s="219"/>
      <c r="ADL75" s="219"/>
      <c r="ADM75" s="219"/>
      <c r="ADN75" s="219"/>
      <c r="ADO75" s="219"/>
      <c r="ADP75" s="219"/>
      <c r="ADQ75" s="219"/>
      <c r="ADR75" s="219"/>
      <c r="ADS75" s="219"/>
      <c r="ADT75" s="219"/>
      <c r="ADU75" s="219"/>
      <c r="ADV75" s="219"/>
      <c r="ADW75" s="219"/>
      <c r="ADX75" s="219"/>
      <c r="ADY75" s="219"/>
      <c r="ADZ75" s="219"/>
      <c r="AEA75" s="219"/>
      <c r="AEB75" s="219"/>
      <c r="AEC75" s="219"/>
      <c r="AED75" s="219"/>
      <c r="AEE75" s="219"/>
      <c r="AEF75" s="219"/>
      <c r="AEG75" s="219"/>
      <c r="AEH75" s="219"/>
      <c r="AEI75" s="219"/>
      <c r="AEJ75" s="219"/>
      <c r="AEK75" s="219"/>
      <c r="AEL75" s="219"/>
      <c r="AEM75" s="219"/>
      <c r="AEN75" s="219"/>
      <c r="AEO75" s="219"/>
    </row>
    <row r="76" spans="1:822" s="152" customFormat="1">
      <c r="A76" s="219"/>
      <c r="B76" s="216">
        <f>+E52</f>
        <v>3582.5287356321842</v>
      </c>
      <c r="C76" s="216">
        <f>+E53+E60</f>
        <v>13434.482758620692</v>
      </c>
      <c r="D76" s="216">
        <f>+E54+E61+E67</f>
        <v>19480.000000000004</v>
      </c>
      <c r="E76" s="216">
        <f>+E55+E62+E68</f>
        <v>19480.000000000004</v>
      </c>
      <c r="F76" s="216">
        <f>+E56+E63+E69</f>
        <v>19480.000000000004</v>
      </c>
      <c r="G76" s="216">
        <f>+E57+E64+E70</f>
        <v>15897.471264367818</v>
      </c>
      <c r="H76" s="216">
        <f>+E71</f>
        <v>6045.5172413793107</v>
      </c>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9"/>
      <c r="BL76" s="219"/>
      <c r="BM76" s="219"/>
      <c r="BN76" s="219"/>
      <c r="BO76" s="219"/>
      <c r="BP76" s="219"/>
      <c r="BQ76" s="219"/>
      <c r="BR76" s="219"/>
      <c r="BS76" s="219"/>
      <c r="BT76" s="219"/>
      <c r="BU76" s="219"/>
      <c r="BV76" s="219"/>
      <c r="BW76" s="219"/>
      <c r="BX76" s="219"/>
      <c r="BY76" s="219"/>
      <c r="BZ76" s="219"/>
      <c r="CA76" s="219"/>
      <c r="CB76" s="219"/>
      <c r="CC76" s="219"/>
      <c r="CD76" s="219"/>
      <c r="CE76" s="219"/>
      <c r="CF76" s="219"/>
      <c r="CG76" s="219"/>
      <c r="CH76" s="219"/>
      <c r="CI76" s="219"/>
      <c r="CJ76" s="219"/>
      <c r="CK76" s="219"/>
      <c r="CL76" s="219"/>
      <c r="CM76" s="219"/>
      <c r="CN76" s="219"/>
      <c r="CO76" s="219"/>
      <c r="CP76" s="219"/>
      <c r="CQ76" s="219"/>
      <c r="CR76" s="219"/>
      <c r="CS76" s="219"/>
      <c r="CT76" s="219"/>
      <c r="CU76" s="219"/>
      <c r="CV76" s="219"/>
      <c r="CW76" s="219"/>
      <c r="CX76" s="219"/>
      <c r="CY76" s="219"/>
      <c r="CZ76" s="219"/>
      <c r="DA76" s="219"/>
      <c r="DB76" s="219"/>
      <c r="DC76" s="219"/>
      <c r="DD76" s="219"/>
      <c r="DE76" s="219"/>
      <c r="DF76" s="219"/>
      <c r="DG76" s="219"/>
      <c r="DH76" s="219"/>
      <c r="DI76" s="219"/>
      <c r="DJ76" s="219"/>
      <c r="DK76" s="219"/>
      <c r="DL76" s="219"/>
      <c r="DM76" s="219"/>
      <c r="DN76" s="219"/>
      <c r="DO76" s="219"/>
      <c r="DP76" s="219"/>
      <c r="DQ76" s="219"/>
      <c r="DR76" s="219"/>
      <c r="DS76" s="219"/>
      <c r="DT76" s="219"/>
      <c r="DU76" s="219"/>
      <c r="DV76" s="219"/>
      <c r="DW76" s="219"/>
      <c r="DX76" s="219"/>
      <c r="DY76" s="219"/>
      <c r="DZ76" s="219"/>
      <c r="EA76" s="219"/>
      <c r="EB76" s="219"/>
      <c r="EC76" s="219"/>
      <c r="ED76" s="219"/>
      <c r="EE76" s="219"/>
      <c r="EF76" s="219"/>
      <c r="EG76" s="219"/>
      <c r="EH76" s="219"/>
      <c r="EI76" s="219"/>
      <c r="EJ76" s="219"/>
      <c r="EK76" s="219"/>
      <c r="EL76" s="219"/>
      <c r="EM76" s="219"/>
      <c r="EN76" s="219"/>
      <c r="EO76" s="219"/>
      <c r="EP76" s="219"/>
      <c r="EQ76" s="219"/>
      <c r="ER76" s="219"/>
      <c r="ES76" s="219"/>
      <c r="ET76" s="219"/>
      <c r="EU76" s="219"/>
      <c r="EV76" s="219"/>
      <c r="EW76" s="219"/>
      <c r="EX76" s="219"/>
      <c r="EY76" s="219"/>
      <c r="EZ76" s="219"/>
      <c r="FA76" s="219"/>
      <c r="FB76" s="219"/>
      <c r="FC76" s="219"/>
      <c r="FD76" s="219"/>
      <c r="FE76" s="219"/>
      <c r="FF76" s="219"/>
      <c r="FG76" s="219"/>
      <c r="FH76" s="219"/>
      <c r="FI76" s="219"/>
      <c r="FJ76" s="219"/>
      <c r="FK76" s="219"/>
      <c r="FL76" s="219"/>
      <c r="FM76" s="219"/>
      <c r="FN76" s="219"/>
      <c r="FO76" s="219"/>
      <c r="FP76" s="219"/>
      <c r="FQ76" s="219"/>
      <c r="FR76" s="219"/>
      <c r="FS76" s="219"/>
      <c r="FT76" s="219"/>
      <c r="FU76" s="219"/>
      <c r="FV76" s="219"/>
      <c r="FW76" s="219"/>
      <c r="FX76" s="219"/>
      <c r="FY76" s="219"/>
      <c r="FZ76" s="219"/>
      <c r="GA76" s="219"/>
      <c r="GB76" s="219"/>
      <c r="GC76" s="219"/>
      <c r="GD76" s="219"/>
      <c r="GE76" s="219"/>
      <c r="GF76" s="219"/>
      <c r="GG76" s="219"/>
      <c r="GH76" s="219"/>
      <c r="GI76" s="219"/>
      <c r="GJ76" s="219"/>
      <c r="GK76" s="219"/>
      <c r="GL76" s="219"/>
      <c r="GM76" s="219"/>
      <c r="GN76" s="219"/>
      <c r="GO76" s="219"/>
      <c r="GP76" s="219"/>
      <c r="GQ76" s="219"/>
      <c r="GR76" s="219"/>
      <c r="GS76" s="219"/>
      <c r="GT76" s="219"/>
      <c r="GU76" s="219"/>
      <c r="GV76" s="219"/>
      <c r="GW76" s="219"/>
      <c r="GX76" s="219"/>
      <c r="GY76" s="219"/>
      <c r="GZ76" s="219"/>
      <c r="HA76" s="219"/>
      <c r="HB76" s="219"/>
      <c r="HC76" s="219"/>
      <c r="HD76" s="219"/>
      <c r="HE76" s="219"/>
      <c r="HF76" s="219"/>
      <c r="HG76" s="219"/>
      <c r="HH76" s="219"/>
      <c r="HI76" s="219"/>
      <c r="HJ76" s="219"/>
      <c r="HK76" s="219"/>
      <c r="HL76" s="219"/>
      <c r="HM76" s="219"/>
      <c r="HN76" s="219"/>
      <c r="HO76" s="219"/>
      <c r="HP76" s="219"/>
      <c r="HQ76" s="219"/>
      <c r="HR76" s="219"/>
      <c r="HS76" s="219"/>
      <c r="HT76" s="219"/>
      <c r="HU76" s="219"/>
      <c r="HV76" s="219"/>
      <c r="HW76" s="219"/>
      <c r="HX76" s="219"/>
      <c r="HY76" s="219"/>
      <c r="HZ76" s="219"/>
      <c r="IA76" s="219"/>
      <c r="IB76" s="219"/>
      <c r="IC76" s="219"/>
      <c r="ID76" s="219"/>
      <c r="IE76" s="219"/>
      <c r="IF76" s="219"/>
      <c r="IG76" s="219"/>
      <c r="IH76" s="219"/>
      <c r="II76" s="219"/>
      <c r="IJ76" s="219"/>
      <c r="IK76" s="219"/>
      <c r="IL76" s="219"/>
      <c r="IM76" s="219"/>
      <c r="IN76" s="219"/>
      <c r="IO76" s="219"/>
      <c r="IP76" s="219"/>
      <c r="IQ76" s="219"/>
      <c r="IR76" s="219"/>
      <c r="IS76" s="219"/>
      <c r="IT76" s="219"/>
      <c r="IU76" s="219"/>
      <c r="IV76" s="219"/>
      <c r="IW76" s="219"/>
      <c r="IX76" s="219"/>
      <c r="IY76" s="219"/>
      <c r="IZ76" s="219"/>
      <c r="JA76" s="219"/>
      <c r="JB76" s="219"/>
      <c r="JC76" s="219"/>
      <c r="JD76" s="219"/>
      <c r="JE76" s="219"/>
      <c r="JF76" s="219"/>
      <c r="JG76" s="219"/>
      <c r="JH76" s="219"/>
      <c r="JI76" s="219"/>
      <c r="JJ76" s="219"/>
      <c r="JK76" s="219"/>
      <c r="JL76" s="219"/>
      <c r="JM76" s="219"/>
      <c r="JN76" s="219"/>
      <c r="JO76" s="219"/>
      <c r="JP76" s="219"/>
      <c r="JQ76" s="219"/>
      <c r="JR76" s="219"/>
      <c r="JS76" s="219"/>
      <c r="JT76" s="219"/>
      <c r="JU76" s="219"/>
      <c r="JV76" s="219"/>
      <c r="JW76" s="219"/>
      <c r="JX76" s="219"/>
      <c r="JY76" s="219"/>
      <c r="JZ76" s="219"/>
      <c r="KA76" s="219"/>
      <c r="KB76" s="219"/>
      <c r="KC76" s="219"/>
      <c r="KD76" s="219"/>
      <c r="KE76" s="219"/>
      <c r="KF76" s="219"/>
      <c r="KG76" s="219"/>
      <c r="KH76" s="219"/>
      <c r="KI76" s="219"/>
      <c r="KJ76" s="219"/>
      <c r="KK76" s="219"/>
      <c r="KL76" s="219"/>
      <c r="KM76" s="219"/>
      <c r="KN76" s="219"/>
      <c r="KO76" s="219"/>
      <c r="KP76" s="219"/>
      <c r="KQ76" s="219"/>
      <c r="KR76" s="219"/>
      <c r="KS76" s="219"/>
      <c r="KT76" s="219"/>
      <c r="KU76" s="219"/>
      <c r="KV76" s="219"/>
      <c r="KW76" s="219"/>
      <c r="KX76" s="219"/>
      <c r="KY76" s="219"/>
      <c r="KZ76" s="219"/>
      <c r="LA76" s="219"/>
      <c r="LB76" s="219"/>
      <c r="LC76" s="219"/>
      <c r="LD76" s="219"/>
      <c r="LE76" s="219"/>
      <c r="LF76" s="219"/>
      <c r="LG76" s="219"/>
      <c r="LH76" s="219"/>
      <c r="LI76" s="219"/>
      <c r="LJ76" s="219"/>
      <c r="LK76" s="219"/>
      <c r="LL76" s="219"/>
      <c r="LM76" s="219"/>
      <c r="LN76" s="219"/>
      <c r="LO76" s="219"/>
      <c r="LP76" s="219"/>
      <c r="LQ76" s="219"/>
      <c r="LR76" s="219"/>
      <c r="LS76" s="219"/>
      <c r="LT76" s="219"/>
      <c r="LU76" s="219"/>
      <c r="LV76" s="219"/>
      <c r="LW76" s="219"/>
      <c r="LX76" s="219"/>
      <c r="LY76" s="219"/>
      <c r="LZ76" s="219"/>
      <c r="MA76" s="219"/>
      <c r="MB76" s="219"/>
      <c r="MC76" s="219"/>
      <c r="MD76" s="219"/>
      <c r="ME76" s="219"/>
      <c r="MF76" s="219"/>
      <c r="MG76" s="219"/>
      <c r="MH76" s="219"/>
      <c r="MI76" s="219"/>
      <c r="MJ76" s="219"/>
      <c r="MK76" s="219"/>
      <c r="ML76" s="219"/>
      <c r="MM76" s="219"/>
      <c r="MN76" s="219"/>
      <c r="MO76" s="219"/>
      <c r="MP76" s="219"/>
      <c r="MQ76" s="219"/>
      <c r="MR76" s="219"/>
      <c r="MS76" s="219"/>
      <c r="MT76" s="219"/>
      <c r="MU76" s="219"/>
      <c r="MV76" s="219"/>
      <c r="MW76" s="219"/>
      <c r="MX76" s="219"/>
      <c r="MY76" s="219"/>
      <c r="MZ76" s="219"/>
      <c r="NA76" s="219"/>
      <c r="NB76" s="219"/>
      <c r="NC76" s="219"/>
      <c r="ND76" s="219"/>
      <c r="NE76" s="219"/>
      <c r="NF76" s="219"/>
      <c r="NG76" s="219"/>
      <c r="NH76" s="219"/>
      <c r="NI76" s="219"/>
      <c r="NJ76" s="219"/>
      <c r="NK76" s="219"/>
      <c r="NL76" s="219"/>
      <c r="NM76" s="219"/>
      <c r="NN76" s="219"/>
      <c r="NO76" s="219"/>
      <c r="NP76" s="219"/>
      <c r="NQ76" s="219"/>
      <c r="NR76" s="219"/>
      <c r="NS76" s="219"/>
      <c r="NT76" s="219"/>
      <c r="NU76" s="219"/>
      <c r="NV76" s="219"/>
      <c r="NW76" s="219"/>
      <c r="NX76" s="219"/>
      <c r="NY76" s="219"/>
      <c r="NZ76" s="219"/>
      <c r="OA76" s="219"/>
      <c r="OB76" s="219"/>
      <c r="OC76" s="219"/>
      <c r="OD76" s="219"/>
      <c r="OE76" s="219"/>
      <c r="OF76" s="219"/>
      <c r="OG76" s="219"/>
      <c r="OH76" s="219"/>
      <c r="OI76" s="219"/>
      <c r="OJ76" s="219"/>
      <c r="OK76" s="219"/>
      <c r="OL76" s="219"/>
      <c r="OM76" s="219"/>
      <c r="ON76" s="219"/>
      <c r="OO76" s="219"/>
      <c r="OP76" s="219"/>
      <c r="OQ76" s="219"/>
      <c r="OR76" s="219"/>
      <c r="OS76" s="219"/>
      <c r="OT76" s="219"/>
      <c r="OU76" s="219"/>
      <c r="OV76" s="219"/>
      <c r="OW76" s="219"/>
      <c r="OX76" s="219"/>
      <c r="OY76" s="219"/>
      <c r="OZ76" s="219"/>
      <c r="PA76" s="219"/>
      <c r="PB76" s="219"/>
      <c r="PC76" s="219"/>
      <c r="PD76" s="219"/>
      <c r="PE76" s="219"/>
      <c r="PF76" s="219"/>
      <c r="PG76" s="219"/>
      <c r="PH76" s="219"/>
      <c r="PI76" s="219"/>
      <c r="PJ76" s="219"/>
      <c r="PK76" s="219"/>
      <c r="PL76" s="219"/>
      <c r="PM76" s="219"/>
      <c r="PN76" s="219"/>
      <c r="PO76" s="219"/>
      <c r="PP76" s="219"/>
      <c r="PQ76" s="219"/>
      <c r="PR76" s="219"/>
      <c r="PS76" s="219"/>
      <c r="PT76" s="219"/>
      <c r="PU76" s="219"/>
      <c r="PV76" s="219"/>
      <c r="PW76" s="219"/>
      <c r="PX76" s="219"/>
      <c r="PY76" s="219"/>
      <c r="PZ76" s="219"/>
      <c r="QA76" s="219"/>
      <c r="QB76" s="219"/>
      <c r="QC76" s="219"/>
      <c r="QD76" s="219"/>
      <c r="QE76" s="219"/>
      <c r="QF76" s="219"/>
      <c r="QG76" s="219"/>
      <c r="QH76" s="219"/>
      <c r="QI76" s="219"/>
      <c r="QJ76" s="219"/>
      <c r="QK76" s="219"/>
      <c r="QL76" s="219"/>
      <c r="QM76" s="219"/>
      <c r="QN76" s="219"/>
      <c r="QO76" s="219"/>
      <c r="QP76" s="219"/>
      <c r="QQ76" s="219"/>
      <c r="QR76" s="219"/>
      <c r="QS76" s="219"/>
      <c r="QT76" s="219"/>
      <c r="QU76" s="219"/>
      <c r="QV76" s="219"/>
      <c r="QW76" s="219"/>
      <c r="QX76" s="219"/>
      <c r="QY76" s="219"/>
      <c r="QZ76" s="219"/>
      <c r="RA76" s="219"/>
      <c r="RB76" s="219"/>
      <c r="RC76" s="219"/>
      <c r="RD76" s="219"/>
      <c r="RE76" s="219"/>
      <c r="RF76" s="219"/>
      <c r="RG76" s="219"/>
      <c r="RH76" s="219"/>
      <c r="RI76" s="219"/>
      <c r="RJ76" s="219"/>
      <c r="RK76" s="219"/>
      <c r="RL76" s="219"/>
      <c r="RM76" s="219"/>
      <c r="RN76" s="219"/>
      <c r="RO76" s="219"/>
      <c r="RP76" s="219"/>
      <c r="RQ76" s="219"/>
      <c r="RR76" s="219"/>
      <c r="RS76" s="219"/>
      <c r="RT76" s="219"/>
      <c r="RU76" s="219"/>
      <c r="RV76" s="219"/>
      <c r="RW76" s="219"/>
      <c r="RX76" s="219"/>
      <c r="RY76" s="219"/>
      <c r="RZ76" s="219"/>
      <c r="SA76" s="219"/>
      <c r="SB76" s="219"/>
      <c r="SC76" s="219"/>
      <c r="SD76" s="219"/>
      <c r="SE76" s="219"/>
      <c r="SF76" s="219"/>
      <c r="SG76" s="219"/>
      <c r="SH76" s="219"/>
      <c r="SI76" s="219"/>
      <c r="SJ76" s="219"/>
      <c r="SK76" s="219"/>
      <c r="SL76" s="219"/>
      <c r="SM76" s="219"/>
      <c r="SN76" s="219"/>
      <c r="SO76" s="219"/>
      <c r="SP76" s="219"/>
      <c r="SQ76" s="219"/>
      <c r="SR76" s="219"/>
      <c r="SS76" s="219"/>
      <c r="ST76" s="219"/>
      <c r="SU76" s="219"/>
      <c r="SV76" s="219"/>
      <c r="SW76" s="219"/>
      <c r="SX76" s="219"/>
      <c r="SY76" s="219"/>
      <c r="SZ76" s="219"/>
      <c r="TA76" s="219"/>
      <c r="TB76" s="219"/>
      <c r="TC76" s="219"/>
      <c r="TD76" s="219"/>
      <c r="TE76" s="219"/>
      <c r="TF76" s="219"/>
      <c r="TG76" s="219"/>
      <c r="TH76" s="219"/>
      <c r="TI76" s="219"/>
      <c r="TJ76" s="219"/>
      <c r="TK76" s="219"/>
      <c r="TL76" s="219"/>
      <c r="TM76" s="219"/>
      <c r="TN76" s="219"/>
      <c r="TO76" s="219"/>
      <c r="TP76" s="219"/>
      <c r="TQ76" s="219"/>
      <c r="TR76" s="219"/>
      <c r="TS76" s="219"/>
      <c r="TT76" s="219"/>
      <c r="TU76" s="219"/>
      <c r="TV76" s="219"/>
      <c r="TW76" s="219"/>
      <c r="TX76" s="219"/>
      <c r="TY76" s="219"/>
      <c r="TZ76" s="219"/>
      <c r="UA76" s="219"/>
      <c r="UB76" s="219"/>
      <c r="UC76" s="219"/>
      <c r="UD76" s="219"/>
      <c r="UE76" s="219"/>
      <c r="UF76" s="219"/>
      <c r="UG76" s="219"/>
      <c r="UH76" s="219"/>
      <c r="UI76" s="219"/>
      <c r="UJ76" s="219"/>
      <c r="UK76" s="219"/>
      <c r="UL76" s="219"/>
      <c r="UM76" s="219"/>
      <c r="UN76" s="219"/>
      <c r="UO76" s="219"/>
      <c r="UP76" s="219"/>
      <c r="UQ76" s="219"/>
      <c r="UR76" s="219"/>
      <c r="US76" s="219"/>
      <c r="UT76" s="219"/>
      <c r="UU76" s="219"/>
      <c r="UV76" s="219"/>
      <c r="UW76" s="219"/>
      <c r="UX76" s="219"/>
      <c r="UY76" s="219"/>
      <c r="UZ76" s="219"/>
      <c r="VA76" s="219"/>
      <c r="VB76" s="219"/>
      <c r="VC76" s="219"/>
      <c r="VD76" s="219"/>
      <c r="VE76" s="219"/>
      <c r="VF76" s="219"/>
      <c r="VG76" s="219"/>
      <c r="VH76" s="219"/>
      <c r="VI76" s="219"/>
      <c r="VJ76" s="219"/>
      <c r="VK76" s="219"/>
      <c r="VL76" s="219"/>
      <c r="VM76" s="219"/>
      <c r="VN76" s="219"/>
      <c r="VO76" s="219"/>
      <c r="VP76" s="219"/>
      <c r="VQ76" s="219"/>
      <c r="VR76" s="219"/>
      <c r="VS76" s="219"/>
      <c r="VT76" s="219"/>
      <c r="VU76" s="219"/>
      <c r="VV76" s="219"/>
      <c r="VW76" s="219"/>
      <c r="VX76" s="219"/>
      <c r="VY76" s="219"/>
      <c r="VZ76" s="219"/>
      <c r="WA76" s="219"/>
      <c r="WB76" s="219"/>
      <c r="WC76" s="219"/>
      <c r="WD76" s="219"/>
      <c r="WE76" s="219"/>
      <c r="WF76" s="219"/>
      <c r="WG76" s="219"/>
      <c r="WH76" s="219"/>
      <c r="WI76" s="219"/>
      <c r="WJ76" s="219"/>
      <c r="WK76" s="219"/>
      <c r="WL76" s="219"/>
      <c r="WM76" s="219"/>
      <c r="WN76" s="219"/>
      <c r="WO76" s="219"/>
      <c r="WP76" s="219"/>
      <c r="WQ76" s="219"/>
      <c r="WR76" s="219"/>
      <c r="WS76" s="219"/>
      <c r="WT76" s="219"/>
      <c r="WU76" s="219"/>
      <c r="WV76" s="219"/>
      <c r="WW76" s="219"/>
      <c r="WX76" s="219"/>
      <c r="WY76" s="219"/>
      <c r="WZ76" s="219"/>
      <c r="XA76" s="219"/>
      <c r="XB76" s="219"/>
      <c r="XC76" s="219"/>
      <c r="XD76" s="219"/>
      <c r="XE76" s="219"/>
      <c r="XF76" s="219"/>
      <c r="XG76" s="219"/>
      <c r="XH76" s="219"/>
      <c r="XI76" s="219"/>
      <c r="XJ76" s="219"/>
      <c r="XK76" s="219"/>
      <c r="XL76" s="219"/>
      <c r="XM76" s="219"/>
      <c r="XN76" s="219"/>
      <c r="XO76" s="219"/>
      <c r="XP76" s="219"/>
      <c r="XQ76" s="219"/>
      <c r="XR76" s="219"/>
      <c r="XS76" s="219"/>
      <c r="XT76" s="219"/>
      <c r="XU76" s="219"/>
      <c r="XV76" s="219"/>
      <c r="XW76" s="219"/>
      <c r="XX76" s="219"/>
      <c r="XY76" s="219"/>
      <c r="XZ76" s="219"/>
      <c r="YA76" s="219"/>
      <c r="YB76" s="219"/>
      <c r="YC76" s="219"/>
      <c r="YD76" s="219"/>
      <c r="YE76" s="219"/>
      <c r="YF76" s="219"/>
      <c r="YG76" s="219"/>
      <c r="YH76" s="219"/>
      <c r="YI76" s="219"/>
      <c r="YJ76" s="219"/>
      <c r="YK76" s="219"/>
      <c r="YL76" s="219"/>
      <c r="YM76" s="219"/>
      <c r="YN76" s="219"/>
      <c r="YO76" s="219"/>
      <c r="YP76" s="219"/>
      <c r="YQ76" s="219"/>
      <c r="YR76" s="219"/>
      <c r="YS76" s="219"/>
      <c r="YT76" s="219"/>
      <c r="YU76" s="219"/>
      <c r="YV76" s="219"/>
      <c r="YW76" s="219"/>
      <c r="YX76" s="219"/>
      <c r="YY76" s="219"/>
      <c r="YZ76" s="219"/>
      <c r="ZA76" s="219"/>
      <c r="ZB76" s="219"/>
      <c r="ZC76" s="219"/>
      <c r="ZD76" s="219"/>
      <c r="ZE76" s="219"/>
      <c r="ZF76" s="219"/>
      <c r="ZG76" s="219"/>
      <c r="ZH76" s="219"/>
      <c r="ZI76" s="219"/>
      <c r="ZJ76" s="219"/>
      <c r="ZK76" s="219"/>
      <c r="ZL76" s="219"/>
      <c r="ZM76" s="219"/>
      <c r="ZN76" s="219"/>
      <c r="ZO76" s="219"/>
      <c r="ZP76" s="219"/>
      <c r="ZQ76" s="219"/>
      <c r="ZR76" s="219"/>
      <c r="ZS76" s="219"/>
      <c r="ZT76" s="219"/>
      <c r="ZU76" s="219"/>
      <c r="ZV76" s="219"/>
      <c r="ZW76" s="219"/>
      <c r="ZX76" s="219"/>
      <c r="ZY76" s="219"/>
      <c r="ZZ76" s="219"/>
      <c r="AAA76" s="219"/>
      <c r="AAB76" s="219"/>
      <c r="AAC76" s="219"/>
      <c r="AAD76" s="219"/>
      <c r="AAE76" s="219"/>
      <c r="AAF76" s="219"/>
      <c r="AAG76" s="219"/>
      <c r="AAH76" s="219"/>
      <c r="AAI76" s="219"/>
      <c r="AAJ76" s="219"/>
      <c r="AAK76" s="219"/>
      <c r="AAL76" s="219"/>
      <c r="AAM76" s="219"/>
      <c r="AAN76" s="219"/>
      <c r="AAO76" s="219"/>
      <c r="AAP76" s="219"/>
      <c r="AAQ76" s="219"/>
      <c r="AAR76" s="219"/>
      <c r="AAS76" s="219"/>
      <c r="AAT76" s="219"/>
      <c r="AAU76" s="219"/>
      <c r="AAV76" s="219"/>
      <c r="AAW76" s="219"/>
      <c r="AAX76" s="219"/>
      <c r="AAY76" s="219"/>
      <c r="AAZ76" s="219"/>
      <c r="ABA76" s="219"/>
      <c r="ABB76" s="219"/>
      <c r="ABC76" s="219"/>
      <c r="ABD76" s="219"/>
      <c r="ABE76" s="219"/>
      <c r="ABF76" s="219"/>
      <c r="ABG76" s="219"/>
      <c r="ABH76" s="219"/>
      <c r="ABI76" s="219"/>
      <c r="ABJ76" s="219"/>
      <c r="ABK76" s="219"/>
      <c r="ABL76" s="219"/>
      <c r="ABM76" s="219"/>
      <c r="ABN76" s="219"/>
      <c r="ABO76" s="219"/>
      <c r="ABP76" s="219"/>
      <c r="ABQ76" s="219"/>
      <c r="ABR76" s="219"/>
      <c r="ABS76" s="219"/>
      <c r="ABT76" s="219"/>
      <c r="ABU76" s="219"/>
      <c r="ABV76" s="219"/>
      <c r="ABW76" s="219"/>
      <c r="ABX76" s="219"/>
      <c r="ABY76" s="219"/>
      <c r="ABZ76" s="219"/>
      <c r="ACA76" s="219"/>
      <c r="ACB76" s="219"/>
      <c r="ACC76" s="219"/>
      <c r="ACD76" s="219"/>
      <c r="ACE76" s="219"/>
      <c r="ACF76" s="219"/>
      <c r="ACG76" s="219"/>
      <c r="ACH76" s="219"/>
      <c r="ACI76" s="219"/>
      <c r="ACJ76" s="219"/>
      <c r="ACK76" s="219"/>
      <c r="ACL76" s="219"/>
      <c r="ACM76" s="219"/>
      <c r="ACN76" s="219"/>
      <c r="ACO76" s="219"/>
      <c r="ACP76" s="219"/>
      <c r="ACQ76" s="219"/>
      <c r="ACR76" s="219"/>
      <c r="ACS76" s="219"/>
      <c r="ACT76" s="219"/>
      <c r="ACU76" s="219"/>
      <c r="ACV76" s="219"/>
      <c r="ACW76" s="219"/>
      <c r="ACX76" s="219"/>
      <c r="ACY76" s="219"/>
      <c r="ACZ76" s="219"/>
      <c r="ADA76" s="219"/>
      <c r="ADB76" s="219"/>
      <c r="ADC76" s="219"/>
      <c r="ADD76" s="219"/>
      <c r="ADE76" s="219"/>
      <c r="ADF76" s="219"/>
      <c r="ADG76" s="219"/>
      <c r="ADH76" s="219"/>
      <c r="ADI76" s="219"/>
      <c r="ADJ76" s="219"/>
      <c r="ADK76" s="219"/>
      <c r="ADL76" s="219"/>
      <c r="ADM76" s="219"/>
      <c r="ADN76" s="219"/>
      <c r="ADO76" s="219"/>
      <c r="ADP76" s="219"/>
      <c r="ADQ76" s="219"/>
      <c r="ADR76" s="219"/>
      <c r="ADS76" s="219"/>
      <c r="ADT76" s="219"/>
      <c r="ADU76" s="219"/>
      <c r="ADV76" s="219"/>
      <c r="ADW76" s="219"/>
      <c r="ADX76" s="219"/>
      <c r="ADY76" s="219"/>
      <c r="ADZ76" s="219"/>
      <c r="AEA76" s="219"/>
      <c r="AEB76" s="219"/>
      <c r="AEC76" s="219"/>
      <c r="AED76" s="219"/>
      <c r="AEE76" s="219"/>
      <c r="AEF76" s="219"/>
      <c r="AEG76" s="219"/>
      <c r="AEH76" s="219"/>
      <c r="AEI76" s="219"/>
      <c r="AEJ76" s="219"/>
      <c r="AEK76" s="219"/>
      <c r="AEL76" s="219"/>
      <c r="AEM76" s="219"/>
      <c r="AEN76" s="219"/>
      <c r="AEO76" s="219"/>
    </row>
  </sheetData>
  <mergeCells count="13">
    <mergeCell ref="J27:K27"/>
    <mergeCell ref="J35:K35"/>
    <mergeCell ref="J23:K23"/>
    <mergeCell ref="J6:K6"/>
    <mergeCell ref="J4:K4"/>
    <mergeCell ref="J7:K7"/>
    <mergeCell ref="J8:K8"/>
    <mergeCell ref="J9:K9"/>
    <mergeCell ref="J11:K11"/>
    <mergeCell ref="J12:K12"/>
    <mergeCell ref="J13:K13"/>
    <mergeCell ref="J14:K14"/>
    <mergeCell ref="J21:K21"/>
  </mergeCells>
  <pageMargins left="0.7" right="0.7" top="0.75" bottom="0.75" header="0.3" footer="0.3"/>
  <pageSetup paperSize="9" orientation="portrait"/>
  <tableParts count="12">
    <tablePart r:id="rId1"/>
    <tablePart r:id="rId2"/>
    <tablePart r:id="rId3"/>
    <tablePart r:id="rId4"/>
    <tablePart r:id="rId5"/>
    <tablePart r:id="rId6"/>
    <tablePart r:id="rId7"/>
    <tablePart r:id="rId8"/>
    <tablePart r:id="rId9"/>
    <tablePart r:id="rId10"/>
    <tablePart r:id="rId11"/>
    <tablePart r:id="rId1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R37"/>
  <sheetViews>
    <sheetView showGridLines="0" topLeftCell="A7" zoomScale="80" zoomScaleNormal="80" zoomScalePageLayoutView="80" workbookViewId="0">
      <selection activeCell="H47" sqref="H47"/>
    </sheetView>
  </sheetViews>
  <sheetFormatPr baseColWidth="10" defaultColWidth="9.1796875" defaultRowHeight="14.5"/>
  <cols>
    <col min="8" max="8" width="13.453125" bestFit="1" customWidth="1"/>
    <col min="11" max="11" width="13.26953125" bestFit="1" customWidth="1"/>
    <col min="13" max="13" width="10" bestFit="1" customWidth="1"/>
  </cols>
  <sheetData>
    <row r="1" spans="3:18" ht="15" thickBot="1"/>
    <row r="2" spans="3:18" ht="46.5" customHeight="1" thickBot="1">
      <c r="H2" s="917" t="s">
        <v>23</v>
      </c>
      <c r="I2" s="918"/>
      <c r="J2" s="918"/>
      <c r="K2" s="919"/>
    </row>
    <row r="5" spans="3:18" ht="15" thickBot="1">
      <c r="C5" s="916" t="s">
        <v>1</v>
      </c>
      <c r="D5" s="916"/>
    </row>
    <row r="6" spans="3:18" ht="15" thickBot="1"/>
    <row r="7" spans="3:18" ht="15" thickBot="1">
      <c r="H7" s="2" t="s">
        <v>0</v>
      </c>
      <c r="K7" s="2" t="s">
        <v>6</v>
      </c>
    </row>
    <row r="10" spans="3:18" ht="15" thickBot="1"/>
    <row r="11" spans="3:18" ht="15" thickBot="1">
      <c r="K11" s="1" t="s">
        <v>4</v>
      </c>
      <c r="M11" t="s">
        <v>7</v>
      </c>
      <c r="O11" t="s">
        <v>11</v>
      </c>
      <c r="Q11" s="5">
        <v>0.4158</v>
      </c>
      <c r="R11" s="3"/>
    </row>
    <row r="12" spans="3:18" ht="15" thickBot="1"/>
    <row r="13" spans="3:18" ht="15" thickBot="1">
      <c r="H13" s="1" t="s">
        <v>2</v>
      </c>
    </row>
    <row r="14" spans="3:18" ht="15" thickBot="1"/>
    <row r="15" spans="3:18" ht="15" thickBot="1">
      <c r="K15" s="1" t="s">
        <v>3</v>
      </c>
      <c r="M15" t="s">
        <v>8</v>
      </c>
      <c r="O15" t="s">
        <v>10</v>
      </c>
      <c r="Q15" s="5">
        <v>0.1242</v>
      </c>
    </row>
    <row r="18" spans="3:17" ht="15" thickBot="1"/>
    <row r="19" spans="3:17" ht="15" thickBot="1">
      <c r="H19" s="1" t="s">
        <v>5</v>
      </c>
      <c r="K19" s="1" t="s">
        <v>17</v>
      </c>
      <c r="M19" t="s">
        <v>9</v>
      </c>
      <c r="O19" t="s">
        <v>12</v>
      </c>
      <c r="Q19" s="5">
        <v>0.46</v>
      </c>
    </row>
    <row r="25" spans="3:17" ht="15" thickBot="1">
      <c r="C25" s="916" t="s">
        <v>13</v>
      </c>
      <c r="D25" s="916"/>
    </row>
    <row r="26" spans="3:17" ht="15" thickBot="1">
      <c r="C26" s="4"/>
      <c r="D26" s="4"/>
    </row>
    <row r="27" spans="3:17" ht="15" thickBot="1">
      <c r="C27" s="4"/>
      <c r="D27" s="4"/>
      <c r="H27" s="2" t="s">
        <v>0</v>
      </c>
      <c r="K27" s="2" t="s">
        <v>6</v>
      </c>
    </row>
    <row r="28" spans="3:17" ht="15" thickBot="1">
      <c r="C28" s="4"/>
      <c r="D28" s="4"/>
    </row>
    <row r="29" spans="3:17" ht="15" thickBot="1">
      <c r="K29" s="1" t="s">
        <v>18</v>
      </c>
      <c r="M29" t="s">
        <v>7</v>
      </c>
      <c r="O29" t="s">
        <v>20</v>
      </c>
      <c r="Q29" s="5">
        <v>0.38190000000000002</v>
      </c>
    </row>
    <row r="31" spans="3:17" ht="15" thickBot="1"/>
    <row r="32" spans="3:17" ht="15" thickBot="1">
      <c r="H32" s="1" t="s">
        <v>14</v>
      </c>
    </row>
    <row r="33" spans="8:17" ht="15" thickBot="1"/>
    <row r="34" spans="8:17" ht="15" thickBot="1">
      <c r="K34" s="1" t="s">
        <v>19</v>
      </c>
      <c r="M34" t="s">
        <v>8</v>
      </c>
      <c r="O34" t="s">
        <v>21</v>
      </c>
      <c r="Q34" s="5">
        <v>0.18410000000000001</v>
      </c>
    </row>
    <row r="36" spans="8:17" ht="15" thickBot="1"/>
    <row r="37" spans="8:17" ht="15" thickBot="1">
      <c r="H37" s="1" t="s">
        <v>15</v>
      </c>
      <c r="K37" s="1" t="s">
        <v>16</v>
      </c>
      <c r="M37" t="s">
        <v>9</v>
      </c>
      <c r="O37" t="s">
        <v>22</v>
      </c>
      <c r="Q37" s="5">
        <v>0.43</v>
      </c>
    </row>
  </sheetData>
  <mergeCells count="3">
    <mergeCell ref="C5:D5"/>
    <mergeCell ref="C25:D25"/>
    <mergeCell ref="H2:K2"/>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208"/>
  <sheetViews>
    <sheetView showGridLines="0" topLeftCell="E1" workbookViewId="0">
      <selection activeCell="L18" sqref="L18"/>
    </sheetView>
  </sheetViews>
  <sheetFormatPr baseColWidth="10" defaultColWidth="11.453125" defaultRowHeight="14.5"/>
  <cols>
    <col min="1" max="1" width="16.453125" style="13" customWidth="1"/>
    <col min="2" max="2" width="14.453125" style="13" customWidth="1"/>
    <col min="3" max="5" width="13.7265625" style="13" customWidth="1"/>
    <col min="6" max="6" width="5.453125" style="13" customWidth="1"/>
    <col min="7" max="7" width="20.81640625" style="13" bestFit="1" customWidth="1"/>
    <col min="8" max="8" width="26" style="13" bestFit="1" customWidth="1"/>
    <col min="9" max="9" width="26" style="13" customWidth="1"/>
    <col min="11" max="11" width="27.26953125" bestFit="1" customWidth="1"/>
    <col min="12" max="12" width="26.7265625" customWidth="1"/>
    <col min="13" max="13" width="27.1796875" customWidth="1"/>
    <col min="15" max="15" width="14.81640625" customWidth="1"/>
    <col min="16" max="16" width="13.81640625" bestFit="1" customWidth="1"/>
    <col min="18" max="18" width="19.453125" customWidth="1"/>
    <col min="19" max="19" width="19.81640625" customWidth="1"/>
    <col min="20" max="20" width="10.81640625" customWidth="1"/>
    <col min="23" max="23" width="12.1796875" bestFit="1" customWidth="1"/>
  </cols>
  <sheetData>
    <row r="1" spans="1:23" s="42" customFormat="1" ht="29">
      <c r="A1" s="112" t="s">
        <v>59</v>
      </c>
      <c r="B1" s="112" t="s">
        <v>60</v>
      </c>
      <c r="C1" s="113" t="s">
        <v>61</v>
      </c>
      <c r="D1" s="113" t="s">
        <v>769</v>
      </c>
      <c r="E1" s="113" t="s">
        <v>770</v>
      </c>
      <c r="F1" s="113" t="s">
        <v>382</v>
      </c>
      <c r="G1" s="114" t="s">
        <v>62</v>
      </c>
      <c r="H1" s="114" t="s">
        <v>63</v>
      </c>
      <c r="I1" s="114"/>
    </row>
    <row r="2" spans="1:23">
      <c r="A2" s="13" t="s">
        <v>64</v>
      </c>
      <c r="B2" s="105">
        <v>2864.73</v>
      </c>
      <c r="C2" s="106">
        <v>28.638498005163108</v>
      </c>
      <c r="D2" s="675">
        <f>(Table2[[#This Row],[SBF 120 Cours ajusté*]]-$B$2)/$B$2</f>
        <v>0</v>
      </c>
      <c r="E2" s="675">
        <f>(Table2[[#This Row],[Hormopharm Cours ajusté]]-$C$2)/$C$2</f>
        <v>0</v>
      </c>
      <c r="F2" s="106"/>
      <c r="V2" s="12"/>
      <c r="W2" s="12"/>
    </row>
    <row r="3" spans="1:23" ht="17">
      <c r="A3" s="13" t="s">
        <v>65</v>
      </c>
      <c r="B3" s="105">
        <v>2876.4</v>
      </c>
      <c r="C3" s="106">
        <v>29.029467261206293</v>
      </c>
      <c r="D3" s="675">
        <f>(Table2[[#This Row],[SBF 120 Cours ajusté*]]-$B$2)/$B$2</f>
        <v>4.0736823365553031E-3</v>
      </c>
      <c r="E3" s="675">
        <f>(Table2[[#This Row],[Hormopharm Cours ajusté]]-$C$2)/$C$2</f>
        <v>1.3651877133105894E-2</v>
      </c>
      <c r="F3" s="106"/>
      <c r="G3" s="107">
        <f t="shared" ref="G3:G34" si="0">(B3-B2)/B2</f>
        <v>4.0736823365553031E-3</v>
      </c>
      <c r="H3" s="108">
        <f t="shared" ref="H3:H34" si="1">(C3-C2)/C2</f>
        <v>1.3651877133105894E-2</v>
      </c>
      <c r="I3" s="108"/>
      <c r="K3" s="98" t="s">
        <v>381</v>
      </c>
      <c r="V3" s="12"/>
      <c r="W3" s="12"/>
    </row>
    <row r="4" spans="1:23">
      <c r="A4" s="13" t="s">
        <v>66</v>
      </c>
      <c r="B4" s="105">
        <v>2878.62</v>
      </c>
      <c r="C4" s="106">
        <v>29.725881248533206</v>
      </c>
      <c r="D4" s="675">
        <f>(Table2[[#This Row],[SBF 120 Cours ajusté*]]-$B$2)/$B$2</f>
        <v>4.8486244776994245E-3</v>
      </c>
      <c r="E4" s="675">
        <f>(Table2[[#This Row],[Hormopharm Cours ajusté]]-$C$2)/$C$2</f>
        <v>3.7969283276450418E-2</v>
      </c>
      <c r="F4" s="106"/>
      <c r="G4" s="108">
        <f t="shared" si="0"/>
        <v>7.7179808093443187E-4</v>
      </c>
      <c r="H4" s="109">
        <f t="shared" si="1"/>
        <v>2.3989898989898804E-2</v>
      </c>
      <c r="I4" s="109"/>
      <c r="V4" s="12"/>
      <c r="W4" s="12"/>
    </row>
    <row r="5" spans="1:23">
      <c r="A5" s="13" t="s">
        <v>67</v>
      </c>
      <c r="B5" s="105">
        <v>2913.79</v>
      </c>
      <c r="C5" s="106">
        <v>31.558549636235625</v>
      </c>
      <c r="D5" s="675">
        <f>(Table2[[#This Row],[SBF 120 Cours ajusté*]]-$B$2)/$B$2</f>
        <v>1.7125523173213513E-2</v>
      </c>
      <c r="E5" s="675">
        <f>(Table2[[#This Row],[Hormopharm Cours ajusté]]-$C$2)/$C$2</f>
        <v>0.10196245733788395</v>
      </c>
      <c r="F5" s="106"/>
      <c r="G5" s="108">
        <f t="shared" si="0"/>
        <v>1.2217659850900805E-2</v>
      </c>
      <c r="H5" s="108">
        <f t="shared" si="1"/>
        <v>6.1652281134402048E-2</v>
      </c>
      <c r="I5" s="108"/>
      <c r="K5" s="42" t="s">
        <v>375</v>
      </c>
      <c r="L5" s="42" t="s">
        <v>68</v>
      </c>
      <c r="M5" s="42" t="s">
        <v>69</v>
      </c>
      <c r="O5" s="99" t="s">
        <v>72</v>
      </c>
      <c r="P5" s="99" t="s">
        <v>75</v>
      </c>
      <c r="V5" s="12"/>
      <c r="W5" s="12"/>
    </row>
    <row r="6" spans="1:23">
      <c r="A6" s="110">
        <v>38418</v>
      </c>
      <c r="B6" s="105">
        <v>2884.17</v>
      </c>
      <c r="C6" s="106">
        <v>30.843808965031688</v>
      </c>
      <c r="D6" s="675">
        <f>(Table2[[#This Row],[SBF 120 Cours ajusté*]]-$B$2)/$B$2</f>
        <v>6.7859798305599673E-3</v>
      </c>
      <c r="E6" s="675">
        <f>(Table2[[#This Row],[Hormopharm Cours ajusté]]-$C$2)/$C$2</f>
        <v>7.7005119453925075E-2</v>
      </c>
      <c r="F6" s="106"/>
      <c r="G6" s="108">
        <f t="shared" si="0"/>
        <v>-1.0165454614093634E-2</v>
      </c>
      <c r="H6" s="108">
        <f t="shared" si="1"/>
        <v>-2.2648083623693221E-2</v>
      </c>
      <c r="I6" s="108"/>
      <c r="K6" t="s">
        <v>70</v>
      </c>
      <c r="L6" s="8">
        <f>VAR(G3:G208)</f>
        <v>9.8279343499860683E-4</v>
      </c>
      <c r="M6" s="8">
        <f>VAR(H3:H208)</f>
        <v>1.7090678894549846E-3</v>
      </c>
      <c r="O6" s="100">
        <f t="array" ref="O6:P8">LINEST(H3:H208,G3:G208,TRUE,TRUE)</f>
        <v>0.8929652659093521</v>
      </c>
      <c r="P6" s="100">
        <v>8.9087193486753571E-4</v>
      </c>
      <c r="V6" s="12"/>
      <c r="W6" s="12"/>
    </row>
    <row r="7" spans="1:23">
      <c r="A7" s="110">
        <v>38425</v>
      </c>
      <c r="B7" s="105">
        <v>2884.52</v>
      </c>
      <c r="C7" s="106">
        <v>31.314193851208636</v>
      </c>
      <c r="D7" s="675">
        <f>(Table2[[#This Row],[SBF 120 Cours ajusté*]]-$B$2)/$B$2</f>
        <v>6.9081553933529388E-3</v>
      </c>
      <c r="E7" s="675">
        <f>(Table2[[#This Row],[Hormopharm Cours ajusté]]-$C$2)/$C$2</f>
        <v>9.3430034129692793E-2</v>
      </c>
      <c r="F7" s="106"/>
      <c r="G7" s="108">
        <f t="shared" si="0"/>
        <v>1.2135207009292415E-4</v>
      </c>
      <c r="H7" s="108">
        <f t="shared" si="1"/>
        <v>1.5250544662309178E-2</v>
      </c>
      <c r="I7" s="108"/>
      <c r="K7" t="s">
        <v>71</v>
      </c>
      <c r="L7" s="8"/>
      <c r="M7" s="8">
        <f>COVAR(G3:G208,H3:H208)</f>
        <v>8.7334020489605326E-4</v>
      </c>
      <c r="O7" s="101">
        <v>6.7938949189024198E-2</v>
      </c>
      <c r="P7" s="101">
        <v>2.1249861839437059E-3</v>
      </c>
      <c r="V7" s="12"/>
      <c r="W7" s="12"/>
    </row>
    <row r="8" spans="1:23">
      <c r="A8" s="110">
        <v>38429</v>
      </c>
      <c r="B8" s="105">
        <v>2884.52</v>
      </c>
      <c r="C8" s="106">
        <v>32.878070875381368</v>
      </c>
      <c r="D8" s="675">
        <f>(Table2[[#This Row],[SBF 120 Cours ajusté*]]-$B$2)/$B$2</f>
        <v>6.9081553933529388E-3</v>
      </c>
      <c r="E8" s="675">
        <f>(Table2[[#This Row],[Hormopharm Cours ajusté]]-$C$2)/$C$2</f>
        <v>0.14803754266211611</v>
      </c>
      <c r="F8" s="106"/>
      <c r="G8" s="108">
        <f t="shared" si="0"/>
        <v>0</v>
      </c>
      <c r="H8" s="108">
        <f t="shared" si="1"/>
        <v>4.9941474834178809E-2</v>
      </c>
      <c r="I8" s="108"/>
      <c r="K8" t="s">
        <v>72</v>
      </c>
      <c r="L8" s="8"/>
      <c r="M8" s="8">
        <f>M7/L6</f>
        <v>0.88863048306513293</v>
      </c>
      <c r="O8" s="100">
        <v>0.45853454990992359</v>
      </c>
      <c r="P8" s="100">
        <v>3.0494876528017231E-2</v>
      </c>
      <c r="V8" s="12"/>
      <c r="W8" s="12"/>
    </row>
    <row r="9" spans="1:23">
      <c r="A9" s="110">
        <v>38432</v>
      </c>
      <c r="B9" s="105">
        <v>2900.92</v>
      </c>
      <c r="C9" s="106">
        <v>34.050978643510916</v>
      </c>
      <c r="D9" s="675">
        <f>(Table2[[#This Row],[SBF 120 Cours ajusté*]]-$B$2)/$B$2</f>
        <v>1.2632953192796548E-2</v>
      </c>
      <c r="E9" s="675">
        <f>(Table2[[#This Row],[Hormopharm Cours ajusté]]-$C$2)/$C$2</f>
        <v>0.18899317406143357</v>
      </c>
      <c r="F9" s="106"/>
      <c r="G9" s="108">
        <f t="shared" si="0"/>
        <v>5.6855213345721614E-3</v>
      </c>
      <c r="H9" s="108">
        <f t="shared" si="1"/>
        <v>3.5674470457079173E-2</v>
      </c>
      <c r="I9" s="108"/>
      <c r="O9" s="99" t="s">
        <v>78</v>
      </c>
      <c r="P9" s="99" t="s">
        <v>79</v>
      </c>
      <c r="V9" s="12"/>
      <c r="W9" s="12"/>
    </row>
    <row r="10" spans="1:23">
      <c r="A10" s="110">
        <v>38439</v>
      </c>
      <c r="B10" s="105">
        <v>2905.81</v>
      </c>
      <c r="C10" s="106">
        <v>34.075414222013613</v>
      </c>
      <c r="D10" s="675">
        <f>(Table2[[#This Row],[SBF 120 Cours ajusté*]]-$B$2)/$B$2</f>
        <v>1.4339920341533034E-2</v>
      </c>
      <c r="E10" s="675">
        <f>(Table2[[#This Row],[Hormopharm Cours ajusté]]-$C$2)/$C$2</f>
        <v>0.18984641638225261</v>
      </c>
      <c r="F10" s="106"/>
      <c r="G10" s="108">
        <f t="shared" si="0"/>
        <v>1.6856721315995865E-3</v>
      </c>
      <c r="H10" s="108">
        <f t="shared" si="1"/>
        <v>7.1761750986718031E-4</v>
      </c>
      <c r="I10" s="108"/>
      <c r="V10" s="12"/>
      <c r="W10" s="12"/>
    </row>
    <row r="11" spans="1:23">
      <c r="A11" s="13" t="s">
        <v>73</v>
      </c>
      <c r="B11" s="111">
        <v>2937.29</v>
      </c>
      <c r="C11" s="106">
        <v>35.144470781506691</v>
      </c>
      <c r="D11" s="675">
        <f>(Table2[[#This Row],[SBF 120 Cours ajusté*]]-$B$2)/$B$2</f>
        <v>2.5328739532172299E-2</v>
      </c>
      <c r="E11" s="675">
        <f>(Table2[[#This Row],[Hormopharm Cours ajusté]]-$C$2)/$C$2</f>
        <v>0.2271757679180888</v>
      </c>
      <c r="F11" s="106"/>
      <c r="G11" s="108">
        <f t="shared" si="0"/>
        <v>1.0833468120764956E-2</v>
      </c>
      <c r="H11" s="108">
        <f t="shared" si="1"/>
        <v>3.1373252061670867E-2</v>
      </c>
      <c r="I11" s="108"/>
      <c r="K11" s="42" t="s">
        <v>80</v>
      </c>
      <c r="L11" s="42" t="s">
        <v>81</v>
      </c>
      <c r="V11" s="12"/>
      <c r="W11" s="12"/>
    </row>
    <row r="12" spans="1:23">
      <c r="A12" s="13" t="s">
        <v>74</v>
      </c>
      <c r="B12" s="105">
        <v>2872.88</v>
      </c>
      <c r="C12" s="106">
        <v>35.535440037549868</v>
      </c>
      <c r="D12" s="675">
        <f>(Table2[[#This Row],[SBF 120 Cours ajusté*]]-$B$2)/$B$2</f>
        <v>2.8449452478942487E-3</v>
      </c>
      <c r="E12" s="675">
        <f>(Table2[[#This Row],[Hormopharm Cours ajusté]]-$C$2)/$C$2</f>
        <v>0.24082764505119444</v>
      </c>
      <c r="F12" s="106"/>
      <c r="G12" s="108">
        <f t="shared" si="0"/>
        <v>-2.1928376156252823E-2</v>
      </c>
      <c r="H12" s="108">
        <f t="shared" si="1"/>
        <v>1.1124630627498569E-2</v>
      </c>
      <c r="I12" s="108"/>
      <c r="K12" s="240">
        <f>AVERAGE(G3:G156)</f>
        <v>2.2361359996120782E-3</v>
      </c>
      <c r="L12" s="241">
        <f>(1+K12)^52-1</f>
        <v>0.12316350026230793</v>
      </c>
      <c r="V12" s="12"/>
      <c r="W12" s="12"/>
    </row>
    <row r="13" spans="1:23">
      <c r="A13" s="13" t="s">
        <v>76</v>
      </c>
      <c r="B13" s="105">
        <v>2836.73</v>
      </c>
      <c r="C13" s="106">
        <v>34.857352734099983</v>
      </c>
      <c r="D13" s="675">
        <f>(Table2[[#This Row],[SBF 120 Cours ajusté*]]-$B$2)/$B$2</f>
        <v>-9.7740450234402535E-3</v>
      </c>
      <c r="E13" s="675">
        <f>(Table2[[#This Row],[Hormopharm Cours ajusté]]-$C$2)/$C$2</f>
        <v>0.2171501706484644</v>
      </c>
      <c r="F13" s="106"/>
      <c r="G13" s="108">
        <f t="shared" si="0"/>
        <v>-1.2583191779677568E-2</v>
      </c>
      <c r="H13" s="108">
        <f t="shared" si="1"/>
        <v>-1.908200103145926E-2</v>
      </c>
      <c r="I13" s="108"/>
      <c r="V13" s="12"/>
      <c r="W13" s="12"/>
    </row>
    <row r="14" spans="1:23">
      <c r="A14" s="13" t="s">
        <v>77</v>
      </c>
      <c r="B14" s="105">
        <v>2789.31</v>
      </c>
      <c r="C14" s="106">
        <v>35.614855667683642</v>
      </c>
      <c r="D14" s="675">
        <f>(Table2[[#This Row],[SBF 120 Cours ajusté*]]-$B$2)/$B$2</f>
        <v>-2.6327088416709454E-2</v>
      </c>
      <c r="E14" s="675">
        <f>(Table2[[#This Row],[Hormopharm Cours ajusté]]-$C$2)/$C$2</f>
        <v>0.24360068259385664</v>
      </c>
      <c r="F14" s="106"/>
      <c r="G14" s="108">
        <f t="shared" si="0"/>
        <v>-1.6716430537978614E-2</v>
      </c>
      <c r="H14" s="108">
        <f t="shared" si="1"/>
        <v>2.1731510690501027E-2</v>
      </c>
      <c r="I14" s="108"/>
      <c r="V14" s="12"/>
      <c r="W14" s="12"/>
    </row>
    <row r="15" spans="1:23">
      <c r="A15" s="110">
        <v>38474</v>
      </c>
      <c r="B15" s="105">
        <v>2870.65</v>
      </c>
      <c r="C15" s="106">
        <v>36.653367754048347</v>
      </c>
      <c r="D15" s="675">
        <f>(Table2[[#This Row],[SBF 120 Cours ajusté*]]-$B$2)/$B$2</f>
        <v>2.0665123763845363E-3</v>
      </c>
      <c r="E15" s="675">
        <f>(Table2[[#This Row],[Hormopharm Cours ajusté]]-$C$2)/$C$2</f>
        <v>0.279863481228669</v>
      </c>
      <c r="F15" s="106"/>
      <c r="G15" s="108">
        <f t="shared" si="0"/>
        <v>2.9161333806568702E-2</v>
      </c>
      <c r="H15" s="108">
        <f t="shared" si="1"/>
        <v>2.9159519725557505E-2</v>
      </c>
      <c r="I15" s="108"/>
      <c r="K15" s="116" t="s">
        <v>82</v>
      </c>
      <c r="L15" s="104">
        <f>'[1]Tx actualisation'!K2</f>
        <v>2.7040666666666668E-2</v>
      </c>
      <c r="V15" s="12"/>
      <c r="W15" s="12"/>
    </row>
    <row r="16" spans="1:23">
      <c r="A16" s="110">
        <v>38481</v>
      </c>
      <c r="B16" s="105">
        <v>2860.74</v>
      </c>
      <c r="C16" s="106">
        <v>36.421229758272709</v>
      </c>
      <c r="D16" s="675">
        <f>(Table2[[#This Row],[SBF 120 Cours ajusté*]]-$B$2)/$B$2</f>
        <v>-1.3928014158403187E-3</v>
      </c>
      <c r="E16" s="675">
        <f>(Table2[[#This Row],[Hormopharm Cours ajusté]]-$C$2)/$C$2</f>
        <v>0.27175767918088745</v>
      </c>
      <c r="F16" s="106"/>
      <c r="G16" s="108">
        <f t="shared" si="0"/>
        <v>-3.4521798199015235E-3</v>
      </c>
      <c r="H16" s="108">
        <f t="shared" si="1"/>
        <v>-6.3333333333332855E-3</v>
      </c>
      <c r="I16" s="108"/>
      <c r="K16" s="117" t="s">
        <v>84</v>
      </c>
      <c r="L16" s="103">
        <f>L12</f>
        <v>0.12316350026230793</v>
      </c>
      <c r="N16" s="13"/>
      <c r="V16" s="12"/>
      <c r="W16" s="12"/>
    </row>
    <row r="17" spans="1:23">
      <c r="A17" s="110">
        <v>38488</v>
      </c>
      <c r="B17" s="105">
        <v>2916.08</v>
      </c>
      <c r="C17" s="106">
        <v>36.916050222952357</v>
      </c>
      <c r="D17" s="675">
        <f>(Table2[[#This Row],[SBF 120 Cours ajusté*]]-$B$2)/$B$2</f>
        <v>1.7924900426916291E-2</v>
      </c>
      <c r="E17" s="675">
        <f>(Table2[[#This Row],[Hormopharm Cours ajusté]]-$C$2)/$C$2</f>
        <v>0.28903583617747436</v>
      </c>
      <c r="F17" s="106"/>
      <c r="G17" s="108">
        <f t="shared" si="0"/>
        <v>1.934464509182944E-2</v>
      </c>
      <c r="H17" s="108">
        <f t="shared" si="1"/>
        <v>1.3586044951358485E-2</v>
      </c>
      <c r="I17" s="108"/>
      <c r="K17" s="116" t="s">
        <v>72</v>
      </c>
      <c r="L17" s="102">
        <f>M8</f>
        <v>0.88863048306513293</v>
      </c>
      <c r="V17" s="12"/>
      <c r="W17" s="12"/>
    </row>
    <row r="18" spans="1:23">
      <c r="A18" s="110">
        <v>38495</v>
      </c>
      <c r="B18" s="105">
        <v>2942.05</v>
      </c>
      <c r="C18" s="106">
        <v>37.722424313541424</v>
      </c>
      <c r="D18" s="675">
        <f>(Table2[[#This Row],[SBF 120 Cours ajusté*]]-$B$2)/$B$2</f>
        <v>2.6990327186157216E-2</v>
      </c>
      <c r="E18" s="675">
        <f>(Table2[[#This Row],[Hormopharm Cours ajusté]]-$C$2)/$C$2</f>
        <v>0.31719283276450516</v>
      </c>
      <c r="F18" s="106"/>
      <c r="G18" s="108">
        <f t="shared" si="0"/>
        <v>8.9057913363145922E-3</v>
      </c>
      <c r="H18" s="108">
        <f t="shared" si="1"/>
        <v>2.1843455237464924E-2</v>
      </c>
      <c r="I18" s="108"/>
      <c r="K18" s="117" t="s">
        <v>87</v>
      </c>
      <c r="L18" s="103">
        <f>L15+L17*(L16-L15)</f>
        <v>0.11245834671835075</v>
      </c>
      <c r="V18" s="12"/>
      <c r="W18" s="12"/>
    </row>
    <row r="19" spans="1:23">
      <c r="A19" s="110">
        <v>38502</v>
      </c>
      <c r="B19" s="105">
        <v>2969.48</v>
      </c>
      <c r="C19" s="106">
        <v>38.369967143862944</v>
      </c>
      <c r="D19" s="675">
        <f>(Table2[[#This Row],[SBF 120 Cours ajusté*]]-$B$2)/$B$2</f>
        <v>3.6565400578763091E-2</v>
      </c>
      <c r="E19" s="675">
        <f>(Table2[[#This Row],[Hormopharm Cours ajusté]]-$C$2)/$C$2</f>
        <v>0.33980375426621162</v>
      </c>
      <c r="F19" s="106"/>
      <c r="G19" s="108">
        <f t="shared" si="0"/>
        <v>9.3234309410104629E-3</v>
      </c>
      <c r="H19" s="108">
        <f t="shared" si="1"/>
        <v>1.7165991902833976E-2</v>
      </c>
      <c r="I19" s="108"/>
      <c r="V19" s="12"/>
      <c r="W19" s="12"/>
    </row>
    <row r="20" spans="1:23">
      <c r="A20" s="110">
        <v>38509</v>
      </c>
      <c r="B20" s="105">
        <v>2989.42</v>
      </c>
      <c r="C20" s="106">
        <v>37.765186575921149</v>
      </c>
      <c r="D20" s="675">
        <f>(Table2[[#This Row],[SBF 120 Cours ajusté*]]-$B$2)/$B$2</f>
        <v>4.352591692759878E-2</v>
      </c>
      <c r="E20" s="675">
        <f>(Table2[[#This Row],[Hormopharm Cours ajusté]]-$C$2)/$C$2</f>
        <v>0.31868600682593867</v>
      </c>
      <c r="F20" s="106"/>
      <c r="G20" s="108">
        <f t="shared" si="0"/>
        <v>6.7149804006088791E-3</v>
      </c>
      <c r="H20" s="108">
        <f t="shared" si="1"/>
        <v>-1.5761821366024442E-2</v>
      </c>
      <c r="I20" s="108"/>
      <c r="V20" s="12"/>
      <c r="W20" s="12"/>
    </row>
    <row r="21" spans="1:23">
      <c r="A21" s="110">
        <v>38516</v>
      </c>
      <c r="B21" s="105">
        <v>3018.06</v>
      </c>
      <c r="C21" s="106">
        <v>36.525080966909172</v>
      </c>
      <c r="D21" s="675">
        <f>(Table2[[#This Row],[SBF 120 Cours ajusté*]]-$B$2)/$B$2</f>
        <v>5.352336869443191E-2</v>
      </c>
      <c r="E21" s="675">
        <f>(Table2[[#This Row],[Hormopharm Cours ajusté]]-$C$2)/$C$2</f>
        <v>0.27538395904436846</v>
      </c>
      <c r="F21" s="106"/>
      <c r="G21" s="108">
        <f t="shared" si="0"/>
        <v>9.5804537335001019E-3</v>
      </c>
      <c r="H21" s="108">
        <f t="shared" si="1"/>
        <v>-3.283726949207396E-2</v>
      </c>
      <c r="I21" s="108"/>
      <c r="V21" s="12"/>
      <c r="W21" s="12"/>
    </row>
    <row r="22" spans="1:23">
      <c r="A22" s="110">
        <v>38523</v>
      </c>
      <c r="B22" s="105">
        <v>3002.46</v>
      </c>
      <c r="C22" s="106">
        <v>35.914191504341701</v>
      </c>
      <c r="D22" s="675">
        <f>(Table2[[#This Row],[SBF 120 Cours ajusté*]]-$B$2)/$B$2</f>
        <v>4.8077829324229514E-2</v>
      </c>
      <c r="E22" s="675">
        <f>(Table2[[#This Row],[Hormopharm Cours ajusté]]-$C$2)/$C$2</f>
        <v>0.25405290102389066</v>
      </c>
      <c r="F22" s="106"/>
      <c r="G22" s="108">
        <f t="shared" si="0"/>
        <v>-5.1688833223991273E-3</v>
      </c>
      <c r="H22" s="108">
        <f t="shared" si="1"/>
        <v>-1.6725204883759785E-2</v>
      </c>
      <c r="I22" s="108"/>
      <c r="V22" s="12"/>
      <c r="W22" s="12"/>
    </row>
    <row r="23" spans="1:23">
      <c r="A23" s="110">
        <v>38530</v>
      </c>
      <c r="B23" s="105">
        <v>3053.02</v>
      </c>
      <c r="C23" s="106">
        <v>36.525080966909172</v>
      </c>
      <c r="D23" s="675">
        <f>(Table2[[#This Row],[SBF 120 Cours ajusté*]]-$B$2)/$B$2</f>
        <v>6.5726962052270188E-2</v>
      </c>
      <c r="E23" s="675">
        <f>(Table2[[#This Row],[Hormopharm Cours ajusté]]-$C$2)/$C$2</f>
        <v>0.27538395904436846</v>
      </c>
      <c r="F23" s="106"/>
      <c r="G23" s="108">
        <f t="shared" si="0"/>
        <v>1.6839524922896539E-2</v>
      </c>
      <c r="H23" s="108">
        <f t="shared" si="1"/>
        <v>1.7009695526450031E-2</v>
      </c>
      <c r="I23" s="108"/>
      <c r="V23" s="12"/>
      <c r="W23" s="12"/>
    </row>
    <row r="24" spans="1:23">
      <c r="A24" s="13" t="s">
        <v>83</v>
      </c>
      <c r="B24" s="105">
        <v>3079.36</v>
      </c>
      <c r="C24" s="106">
        <v>36.708347805679423</v>
      </c>
      <c r="D24" s="675">
        <f>(Table2[[#This Row],[SBF 120 Cours ajusté*]]-$B$2)/$B$2</f>
        <v>7.4921545835035103E-2</v>
      </c>
      <c r="E24" s="675">
        <f>(Table2[[#This Row],[Hormopharm Cours ajusté]]-$C$2)/$C$2</f>
        <v>0.2817832764505121</v>
      </c>
      <c r="F24" s="106"/>
      <c r="G24" s="108">
        <f t="shared" si="0"/>
        <v>8.6275229117398992E-3</v>
      </c>
      <c r="H24" s="108">
        <f t="shared" si="1"/>
        <v>5.017561465128207E-3</v>
      </c>
      <c r="I24" s="108"/>
      <c r="V24" s="12"/>
      <c r="W24" s="12"/>
    </row>
    <row r="25" spans="1:23">
      <c r="A25" s="13" t="s">
        <v>85</v>
      </c>
      <c r="B25" s="105">
        <v>3129.44</v>
      </c>
      <c r="C25" s="106">
        <v>37.557484158648208</v>
      </c>
      <c r="D25" s="675">
        <f>(Table2[[#This Row],[SBF 120 Cours ajusté*]]-$B$2)/$B$2</f>
        <v>9.2403123505531079E-2</v>
      </c>
      <c r="E25" s="675">
        <f>(Table2[[#This Row],[Hormopharm Cours ajusté]]-$C$2)/$C$2</f>
        <v>0.31143344709897619</v>
      </c>
      <c r="F25" s="106"/>
      <c r="G25" s="108">
        <f t="shared" si="0"/>
        <v>1.6263119609269433E-2</v>
      </c>
      <c r="H25" s="108">
        <f t="shared" si="1"/>
        <v>2.3131968713596209E-2</v>
      </c>
      <c r="I25" s="108"/>
      <c r="V25" s="12"/>
      <c r="W25" s="12"/>
    </row>
    <row r="26" spans="1:23">
      <c r="A26" s="13" t="s">
        <v>86</v>
      </c>
      <c r="B26" s="111">
        <v>3155.2</v>
      </c>
      <c r="C26" s="106">
        <v>37.050445904717201</v>
      </c>
      <c r="D26" s="675">
        <f>(Table2[[#This Row],[SBF 120 Cours ajusté*]]-$B$2)/$B$2</f>
        <v>0.10139524492709602</v>
      </c>
      <c r="E26" s="675">
        <f>(Table2[[#This Row],[Hormopharm Cours ajusté]]-$C$2)/$C$2</f>
        <v>0.29372866894197946</v>
      </c>
      <c r="F26" s="106"/>
      <c r="G26" s="108">
        <f t="shared" si="0"/>
        <v>8.2315046781532043E-3</v>
      </c>
      <c r="H26" s="108">
        <f t="shared" si="1"/>
        <v>-1.3500325309043732E-2</v>
      </c>
      <c r="I26" s="108"/>
      <c r="V26" s="12"/>
      <c r="W26" s="12"/>
    </row>
    <row r="27" spans="1:23">
      <c r="A27" s="13" t="s">
        <v>88</v>
      </c>
      <c r="B27" s="105">
        <v>3186.31</v>
      </c>
      <c r="C27" s="106">
        <v>37.765186575921149</v>
      </c>
      <c r="D27" s="675">
        <f>(Table2[[#This Row],[SBF 120 Cours ajusté*]]-$B$2)/$B$2</f>
        <v>0.11225490709421129</v>
      </c>
      <c r="E27" s="675">
        <f>(Table2[[#This Row],[Hormopharm Cours ajusté]]-$C$2)/$C$2</f>
        <v>0.31868600682593867</v>
      </c>
      <c r="F27" s="106"/>
      <c r="G27" s="108">
        <f t="shared" si="0"/>
        <v>9.8599137931034888E-3</v>
      </c>
      <c r="H27" s="108">
        <f t="shared" si="1"/>
        <v>1.9291014014839396E-2</v>
      </c>
      <c r="I27" s="108"/>
      <c r="V27" s="12"/>
      <c r="W27" s="12"/>
    </row>
    <row r="28" spans="1:23">
      <c r="A28" s="110">
        <v>38565</v>
      </c>
      <c r="B28" s="105">
        <v>3167.45</v>
      </c>
      <c r="C28" s="106">
        <v>37.184841586482044</v>
      </c>
      <c r="D28" s="675">
        <f>(Table2[[#This Row],[SBF 120 Cours ajusté*]]-$B$2)/$B$2</f>
        <v>0.10567138962485113</v>
      </c>
      <c r="E28" s="675">
        <f>(Table2[[#This Row],[Hormopharm Cours ajusté]]-$C$2)/$C$2</f>
        <v>0.29842150170648452</v>
      </c>
      <c r="F28" s="106"/>
      <c r="G28" s="108">
        <f t="shared" si="0"/>
        <v>-5.9190725321767584E-3</v>
      </c>
      <c r="H28" s="108">
        <f t="shared" si="1"/>
        <v>-1.5367195082497738E-2</v>
      </c>
      <c r="I28" s="108"/>
      <c r="V28" s="12"/>
      <c r="W28" s="12"/>
    </row>
    <row r="29" spans="1:23">
      <c r="A29" s="110">
        <v>38572</v>
      </c>
      <c r="B29" s="105">
        <v>3203.86</v>
      </c>
      <c r="C29" s="106">
        <v>37.398652898380661</v>
      </c>
      <c r="D29" s="675">
        <f>(Table2[[#This Row],[SBF 120 Cours ajusté*]]-$B$2)/$B$2</f>
        <v>0.11838113888568909</v>
      </c>
      <c r="E29" s="675">
        <f>(Table2[[#This Row],[Hormopharm Cours ajusté]]-$C$2)/$C$2</f>
        <v>0.30588737201365185</v>
      </c>
      <c r="F29" s="106"/>
      <c r="G29" s="108">
        <f t="shared" si="0"/>
        <v>1.149505122417096E-2</v>
      </c>
      <c r="H29" s="108">
        <f t="shared" si="1"/>
        <v>5.7499589288648361E-3</v>
      </c>
      <c r="I29" s="108"/>
      <c r="V29" s="12"/>
      <c r="W29" s="12"/>
    </row>
    <row r="30" spans="1:23">
      <c r="A30" s="110">
        <v>38579</v>
      </c>
      <c r="B30" s="105">
        <v>3207.27</v>
      </c>
      <c r="C30" s="106">
        <v>38.47992724712509</v>
      </c>
      <c r="D30" s="675">
        <f>(Table2[[#This Row],[SBF 120 Cours ajusté*]]-$B$2)/$B$2</f>
        <v>0.11957147794032943</v>
      </c>
      <c r="E30" s="675">
        <f>(Table2[[#This Row],[Hormopharm Cours ajusté]]-$C$2)/$C$2</f>
        <v>0.34364334470989766</v>
      </c>
      <c r="F30" s="106"/>
      <c r="G30" s="108">
        <f t="shared" si="0"/>
        <v>1.0643411385016369E-3</v>
      </c>
      <c r="H30" s="108">
        <f t="shared" si="1"/>
        <v>2.8912120222149711E-2</v>
      </c>
      <c r="I30" s="108"/>
      <c r="V30" s="12"/>
      <c r="W30" s="12"/>
    </row>
    <row r="31" spans="1:23">
      <c r="A31" s="110">
        <v>38586</v>
      </c>
      <c r="B31" s="105">
        <v>3115.76</v>
      </c>
      <c r="C31" s="106">
        <v>36.580061018540256</v>
      </c>
      <c r="D31" s="675">
        <f>(Table2[[#This Row],[SBF 120 Cours ajusté*]]-$B$2)/$B$2</f>
        <v>8.7627804365507461E-2</v>
      </c>
      <c r="E31" s="675">
        <f>(Table2[[#This Row],[Hormopharm Cours ajusté]]-$C$2)/$C$2</f>
        <v>0.27730375426621184</v>
      </c>
      <c r="F31" s="106"/>
      <c r="G31" s="108">
        <f t="shared" si="0"/>
        <v>-2.8532053740408434E-2</v>
      </c>
      <c r="H31" s="108">
        <f t="shared" si="1"/>
        <v>-4.9372916335926199E-2</v>
      </c>
      <c r="I31" s="108"/>
      <c r="V31" s="12"/>
      <c r="W31" s="12"/>
    </row>
    <row r="32" spans="1:23">
      <c r="A32" s="110">
        <v>38593</v>
      </c>
      <c r="B32" s="105">
        <v>3164.79</v>
      </c>
      <c r="C32" s="106">
        <v>36.366249706641632</v>
      </c>
      <c r="D32" s="675">
        <f>(Table2[[#This Row],[SBF 120 Cours ajusté*]]-$B$2)/$B$2</f>
        <v>0.10474285534762437</v>
      </c>
      <c r="E32" s="675">
        <f>(Table2[[#This Row],[Hormopharm Cours ajusté]]-$C$2)/$C$2</f>
        <v>0.26983788395904429</v>
      </c>
      <c r="F32" s="106"/>
      <c r="G32" s="108">
        <f t="shared" si="0"/>
        <v>1.5736128585000047E-2</v>
      </c>
      <c r="H32" s="108">
        <f t="shared" si="1"/>
        <v>-5.8450233800937564E-3</v>
      </c>
      <c r="I32" s="108"/>
      <c r="V32" s="12"/>
      <c r="W32" s="12"/>
    </row>
    <row r="33" spans="1:23">
      <c r="A33" s="13" t="s">
        <v>89</v>
      </c>
      <c r="B33" s="105">
        <v>3225.53</v>
      </c>
      <c r="C33" s="106">
        <v>35.517113353672848</v>
      </c>
      <c r="D33" s="675">
        <f>(Table2[[#This Row],[SBF 120 Cours ajusté*]]-$B$2)/$B$2</f>
        <v>0.12594555158775878</v>
      </c>
      <c r="E33" s="675">
        <f>(Table2[[#This Row],[Hormopharm Cours ajusté]]-$C$2)/$C$2</f>
        <v>0.24018771331058023</v>
      </c>
      <c r="F33" s="106"/>
      <c r="G33" s="108">
        <f t="shared" si="0"/>
        <v>1.9192426669700117E-2</v>
      </c>
      <c r="H33" s="108">
        <f t="shared" si="1"/>
        <v>-2.334957164454891E-2</v>
      </c>
      <c r="I33" s="108"/>
      <c r="V33" s="12"/>
      <c r="W33" s="12"/>
    </row>
    <row r="34" spans="1:23">
      <c r="A34" s="13" t="s">
        <v>90</v>
      </c>
      <c r="B34" s="105">
        <v>3244.5</v>
      </c>
      <c r="C34" s="106">
        <v>34.991748415864826</v>
      </c>
      <c r="D34" s="675">
        <f>(Table2[[#This Row],[SBF 120 Cours ajusté*]]-$B$2)/$B$2</f>
        <v>0.13256746709113948</v>
      </c>
      <c r="E34" s="675">
        <f>(Table2[[#This Row],[Hormopharm Cours ajusté]]-$C$2)/$C$2</f>
        <v>0.22184300341296948</v>
      </c>
      <c r="F34" s="106"/>
      <c r="G34" s="108">
        <f t="shared" si="0"/>
        <v>5.8812040191843816E-3</v>
      </c>
      <c r="H34" s="108">
        <f t="shared" si="1"/>
        <v>-1.4791881664946537E-2</v>
      </c>
      <c r="I34" s="108"/>
      <c r="V34" s="12"/>
      <c r="W34" s="12"/>
    </row>
    <row r="35" spans="1:23">
      <c r="A35" s="13" t="s">
        <v>91</v>
      </c>
      <c r="B35" s="105">
        <v>3222.23</v>
      </c>
      <c r="C35" s="106">
        <v>35.254430884768837</v>
      </c>
      <c r="D35" s="675">
        <f>(Table2[[#This Row],[SBF 120 Cours ajusté*]]-$B$2)/$B$2</f>
        <v>0.12479361056713896</v>
      </c>
      <c r="E35" s="675">
        <f>(Table2[[#This Row],[Hormopharm Cours ajusté]]-$C$2)/$C$2</f>
        <v>0.23101535836177486</v>
      </c>
      <c r="F35" s="106"/>
      <c r="G35" s="108">
        <f t="shared" ref="G35:G67" si="2">(B35-B34)/B34</f>
        <v>-6.8639235629526837E-3</v>
      </c>
      <c r="H35" s="108">
        <f t="shared" ref="H35:H67" si="3">(C35-C34)/C34</f>
        <v>7.5069832402233898E-3</v>
      </c>
      <c r="I35" s="108"/>
      <c r="V35" s="12"/>
      <c r="W35" s="12"/>
    </row>
    <row r="36" spans="1:23">
      <c r="A36" s="13" t="s">
        <v>92</v>
      </c>
      <c r="B36" s="105">
        <v>3309.31</v>
      </c>
      <c r="C36" s="106">
        <v>36.390685285144329</v>
      </c>
      <c r="D36" s="675">
        <f>(Table2[[#This Row],[SBF 120 Cours ajusté*]]-$B$2)/$B$2</f>
        <v>0.15519089059003813</v>
      </c>
      <c r="E36" s="675">
        <f>(Table2[[#This Row],[Hormopharm Cours ajusté]]-$C$2)/$C$2</f>
        <v>0.27069112627986336</v>
      </c>
      <c r="F36" s="106"/>
      <c r="G36" s="108">
        <f t="shared" si="2"/>
        <v>2.7024762354021882E-2</v>
      </c>
      <c r="H36" s="108">
        <f t="shared" si="3"/>
        <v>3.2230116097729834E-2</v>
      </c>
      <c r="I36" s="108"/>
      <c r="V36" s="12"/>
      <c r="W36" s="12"/>
    </row>
    <row r="37" spans="1:23">
      <c r="A37" s="13" t="s">
        <v>93</v>
      </c>
      <c r="B37" s="105">
        <v>3255.99</v>
      </c>
      <c r="C37" s="106">
        <v>36.842743487444267</v>
      </c>
      <c r="D37" s="675">
        <f>(Table2[[#This Row],[SBF 120 Cours ajusté*]]-$B$2)/$B$2</f>
        <v>0.13657831628111541</v>
      </c>
      <c r="E37" s="675">
        <f>(Table2[[#This Row],[Hormopharm Cours ajusté]]-$C$2)/$C$2</f>
        <v>0.28647610921501721</v>
      </c>
      <c r="F37" s="106"/>
      <c r="G37" s="108">
        <f t="shared" si="2"/>
        <v>-1.6112120049194593E-2</v>
      </c>
      <c r="H37" s="108">
        <f t="shared" si="3"/>
        <v>1.2422360248447431E-2</v>
      </c>
      <c r="I37" s="108"/>
      <c r="V37" s="12"/>
      <c r="W37" s="12"/>
    </row>
    <row r="38" spans="1:23">
      <c r="A38" s="13" t="s">
        <v>94</v>
      </c>
      <c r="B38" s="105">
        <v>3216.36</v>
      </c>
      <c r="C38" s="106">
        <v>36.341814128138935</v>
      </c>
      <c r="D38" s="675">
        <f>(Table2[[#This Row],[SBF 120 Cours ajusté*]]-$B$2)/$B$2</f>
        <v>0.12274455184258207</v>
      </c>
      <c r="E38" s="675">
        <f>(Table2[[#This Row],[Hormopharm Cours ajusté]]-$C$2)/$C$2</f>
        <v>0.26898464163822527</v>
      </c>
      <c r="F38" s="106"/>
      <c r="G38" s="108">
        <f t="shared" si="2"/>
        <v>-1.2171413302866304E-2</v>
      </c>
      <c r="H38" s="108">
        <f t="shared" si="3"/>
        <v>-1.3596418504394072E-2</v>
      </c>
      <c r="I38" s="108"/>
      <c r="V38" s="12"/>
      <c r="W38" s="12"/>
    </row>
    <row r="39" spans="1:23">
      <c r="A39" s="13" t="s">
        <v>95</v>
      </c>
      <c r="B39" s="105">
        <v>3134.65</v>
      </c>
      <c r="C39" s="106">
        <v>35.706489087068768</v>
      </c>
      <c r="D39" s="675">
        <f>(Table2[[#This Row],[SBF 120 Cours ajusté*]]-$B$2)/$B$2</f>
        <v>9.4221794025964076E-2</v>
      </c>
      <c r="E39" s="675">
        <f>(Table2[[#This Row],[Hormopharm Cours ajusté]]-$C$2)/$C$2</f>
        <v>0.24680034129692846</v>
      </c>
      <c r="F39" s="106"/>
      <c r="G39" s="108">
        <f t="shared" si="2"/>
        <v>-2.5404494521757526E-2</v>
      </c>
      <c r="H39" s="108">
        <f t="shared" si="3"/>
        <v>-1.7481929736089998E-2</v>
      </c>
      <c r="I39" s="108"/>
      <c r="V39" s="12"/>
      <c r="W39" s="12"/>
    </row>
    <row r="40" spans="1:23">
      <c r="A40" s="13" t="s">
        <v>96</v>
      </c>
      <c r="B40" s="105">
        <v>3107.01</v>
      </c>
      <c r="C40" s="106">
        <v>34.564125792067593</v>
      </c>
      <c r="D40" s="675">
        <f>(Table2[[#This Row],[SBF 120 Cours ajusté*]]-$B$2)/$B$2</f>
        <v>8.457341529568238E-2</v>
      </c>
      <c r="E40" s="675">
        <f>(Table2[[#This Row],[Hormopharm Cours ajusté]]-$C$2)/$C$2</f>
        <v>0.20691126279863489</v>
      </c>
      <c r="F40" s="106"/>
      <c r="G40" s="108">
        <f t="shared" si="2"/>
        <v>-8.8175713397029565E-3</v>
      </c>
      <c r="H40" s="108">
        <f t="shared" si="3"/>
        <v>-3.1993156544054789E-2</v>
      </c>
      <c r="I40" s="108"/>
      <c r="V40" s="12"/>
      <c r="W40" s="12"/>
    </row>
    <row r="41" spans="1:23">
      <c r="A41" s="13" t="s">
        <v>97</v>
      </c>
      <c r="B41" s="105">
        <v>3231.51</v>
      </c>
      <c r="C41" s="106">
        <v>35.468242196667454</v>
      </c>
      <c r="D41" s="675">
        <f>(Table2[[#This Row],[SBF 120 Cours ajusté*]]-$B$2)/$B$2</f>
        <v>0.12803300834633638</v>
      </c>
      <c r="E41" s="675">
        <f>(Table2[[#This Row],[Hormopharm Cours ajusté]]-$C$2)/$C$2</f>
        <v>0.23848122866894214</v>
      </c>
      <c r="F41" s="106"/>
      <c r="G41" s="108">
        <f t="shared" si="2"/>
        <v>4.0070678884200565E-2</v>
      </c>
      <c r="H41" s="108">
        <f t="shared" si="3"/>
        <v>2.6157652880876694E-2</v>
      </c>
      <c r="I41" s="108"/>
      <c r="V41" s="12"/>
      <c r="W41" s="12"/>
    </row>
    <row r="42" spans="1:23">
      <c r="A42" s="13" t="s">
        <v>98</v>
      </c>
      <c r="B42" s="105">
        <v>3253.9</v>
      </c>
      <c r="C42" s="106">
        <v>36.708347805679423</v>
      </c>
      <c r="D42" s="675">
        <f>(Table2[[#This Row],[SBF 120 Cours ajusté*]]-$B$2)/$B$2</f>
        <v>0.13584875363472301</v>
      </c>
      <c r="E42" s="675">
        <f>(Table2[[#This Row],[Hormopharm Cours ajusté]]-$C$2)/$C$2</f>
        <v>0.2817832764505121</v>
      </c>
      <c r="F42" s="106"/>
      <c r="G42" s="108">
        <f t="shared" si="2"/>
        <v>6.9286494548987535E-3</v>
      </c>
      <c r="H42" s="108">
        <f t="shared" si="3"/>
        <v>3.4963830520151576E-2</v>
      </c>
      <c r="I42" s="108"/>
      <c r="V42" s="12"/>
      <c r="W42" s="12"/>
    </row>
    <row r="43" spans="1:23">
      <c r="A43" s="13" t="s">
        <v>99</v>
      </c>
      <c r="B43" s="105">
        <v>3272.1</v>
      </c>
      <c r="C43" s="106">
        <v>36.68391222717672</v>
      </c>
      <c r="D43" s="675">
        <f>(Table2[[#This Row],[SBF 120 Cours ajusté*]]-$B$2)/$B$2</f>
        <v>0.14220188289995911</v>
      </c>
      <c r="E43" s="675">
        <f>(Table2[[#This Row],[Hormopharm Cours ajusté]]-$C$2)/$C$2</f>
        <v>0.28093003412969286</v>
      </c>
      <c r="F43" s="106"/>
      <c r="G43" s="108">
        <f t="shared" si="2"/>
        <v>5.5932880543347425E-3</v>
      </c>
      <c r="H43" s="108">
        <f t="shared" si="3"/>
        <v>-6.656681644201741E-4</v>
      </c>
      <c r="I43" s="108"/>
      <c r="V43" s="12"/>
      <c r="W43" s="12"/>
    </row>
    <row r="44" spans="1:23">
      <c r="A44" s="13" t="s">
        <v>100</v>
      </c>
      <c r="B44" s="105">
        <v>3305.6</v>
      </c>
      <c r="C44" s="106">
        <v>36.73278338418212</v>
      </c>
      <c r="D44" s="675">
        <f>(Table2[[#This Row],[SBF 120 Cours ajusté*]]-$B$2)/$B$2</f>
        <v>0.15389582962443227</v>
      </c>
      <c r="E44" s="675">
        <f>(Table2[[#This Row],[Hormopharm Cours ajusté]]-$C$2)/$C$2</f>
        <v>0.28263651877133117</v>
      </c>
      <c r="F44" s="106"/>
      <c r="G44" s="108">
        <f t="shared" si="2"/>
        <v>1.023807340851441E-2</v>
      </c>
      <c r="H44" s="108">
        <f t="shared" si="3"/>
        <v>1.3322231473772673E-3</v>
      </c>
      <c r="I44" s="108"/>
      <c r="V44" s="12"/>
      <c r="W44" s="12"/>
    </row>
    <row r="45" spans="1:23">
      <c r="A45" s="13" t="s">
        <v>101</v>
      </c>
      <c r="B45" s="105">
        <v>3353.14</v>
      </c>
      <c r="C45" s="106">
        <v>37.423088476883365</v>
      </c>
      <c r="D45" s="675">
        <f>(Table2[[#This Row],[SBF 120 Cours ajusté*]]-$B$2)/$B$2</f>
        <v>0.17049076178208761</v>
      </c>
      <c r="E45" s="675">
        <f>(Table2[[#This Row],[Hormopharm Cours ajusté]]-$C$2)/$C$2</f>
        <v>0.30674061433447114</v>
      </c>
      <c r="F45" s="106"/>
      <c r="G45" s="108">
        <f t="shared" si="2"/>
        <v>1.438165537270086E-2</v>
      </c>
      <c r="H45" s="108">
        <f t="shared" si="3"/>
        <v>1.8792615998669562E-2</v>
      </c>
      <c r="I45" s="108"/>
      <c r="V45" s="12"/>
      <c r="W45" s="12"/>
    </row>
    <row r="46" spans="1:23">
      <c r="A46" s="13" t="s">
        <v>102</v>
      </c>
      <c r="B46" s="105">
        <v>3359.38</v>
      </c>
      <c r="C46" s="106">
        <v>37.423088476883365</v>
      </c>
      <c r="D46" s="675">
        <f>(Table2[[#This Row],[SBF 120 Cours ajusté*]]-$B$2)/$B$2</f>
        <v>0.17266897753016866</v>
      </c>
      <c r="E46" s="675">
        <f>(Table2[[#This Row],[Hormopharm Cours ajusté]]-$C$2)/$C$2</f>
        <v>0.30674061433447114</v>
      </c>
      <c r="F46" s="106"/>
      <c r="G46" s="108">
        <f t="shared" si="2"/>
        <v>1.8609422809665677E-3</v>
      </c>
      <c r="H46" s="108">
        <f t="shared" si="3"/>
        <v>0</v>
      </c>
      <c r="I46" s="108"/>
      <c r="V46" s="12"/>
      <c r="W46" s="12"/>
    </row>
    <row r="47" spans="1:23">
      <c r="A47" s="13" t="s">
        <v>103</v>
      </c>
      <c r="B47" s="105">
        <v>3387.84</v>
      </c>
      <c r="C47" s="106">
        <v>38.003433466322463</v>
      </c>
      <c r="D47" s="675">
        <f>(Table2[[#This Row],[SBF 120 Cours ajusté*]]-$B$2)/$B$2</f>
        <v>0.1826035961504226</v>
      </c>
      <c r="E47" s="675">
        <f>(Table2[[#This Row],[Hormopharm Cours ajusté]]-$C$2)/$C$2</f>
        <v>0.32700511945392502</v>
      </c>
      <c r="F47" s="106"/>
      <c r="G47" s="108">
        <f t="shared" si="2"/>
        <v>8.471801344295685E-3</v>
      </c>
      <c r="H47" s="108">
        <f t="shared" si="3"/>
        <v>1.5507672216780909E-2</v>
      </c>
      <c r="I47" s="108"/>
      <c r="V47" s="12"/>
      <c r="W47" s="12"/>
    </row>
    <row r="48" spans="1:23">
      <c r="A48" s="13" t="s">
        <v>104</v>
      </c>
      <c r="B48" s="105">
        <v>3423.06</v>
      </c>
      <c r="C48" s="106">
        <v>40.202635531565363</v>
      </c>
      <c r="D48" s="675">
        <f>(Table2[[#This Row],[SBF 120 Cours ajusté*]]-$B$2)/$B$2</f>
        <v>0.19489794849776415</v>
      </c>
      <c r="E48" s="675">
        <f>(Table2[[#This Row],[Hormopharm Cours ajusté]]-$C$2)/$C$2</f>
        <v>0.40379692832764513</v>
      </c>
      <c r="F48" s="106"/>
      <c r="G48" s="108">
        <f t="shared" si="2"/>
        <v>1.0396004533862224E-2</v>
      </c>
      <c r="H48" s="108">
        <f t="shared" si="3"/>
        <v>5.7868509885870431E-2</v>
      </c>
      <c r="I48" s="108"/>
      <c r="V48" s="12"/>
      <c r="W48" s="12"/>
    </row>
    <row r="49" spans="1:23">
      <c r="A49" s="13" t="s">
        <v>105</v>
      </c>
      <c r="B49" s="105">
        <v>3399</v>
      </c>
      <c r="C49" s="106">
        <v>39.170232339826342</v>
      </c>
      <c r="D49" s="675">
        <f>(Table2[[#This Row],[SBF 120 Cours ajusté*]]-$B$2)/$B$2</f>
        <v>0.18649925123833658</v>
      </c>
      <c r="E49" s="675">
        <f>(Table2[[#This Row],[Hormopharm Cours ajusté]]-$C$2)/$C$2</f>
        <v>0.36774744027303785</v>
      </c>
      <c r="F49" s="106"/>
      <c r="G49" s="108">
        <f t="shared" si="2"/>
        <v>-7.0287987940614383E-3</v>
      </c>
      <c r="H49" s="108">
        <f t="shared" si="3"/>
        <v>-2.5679987843792565E-2</v>
      </c>
      <c r="I49" s="108"/>
      <c r="V49" s="12"/>
      <c r="W49" s="12"/>
    </row>
    <row r="50" spans="1:23">
      <c r="A50" s="13" t="s">
        <v>106</v>
      </c>
      <c r="B50" s="105">
        <v>3507.25</v>
      </c>
      <c r="C50" s="106">
        <v>41.497721192208409</v>
      </c>
      <c r="D50" s="675">
        <f>(Table2[[#This Row],[SBF 120 Cours ajusté*]]-$B$2)/$B$2</f>
        <v>0.22428640744502973</v>
      </c>
      <c r="E50" s="675">
        <f>(Table2[[#This Row],[Hormopharm Cours ajusté]]-$C$2)/$C$2</f>
        <v>0.44901877133105828</v>
      </c>
      <c r="F50" s="106"/>
      <c r="G50" s="108">
        <f t="shared" si="2"/>
        <v>3.1847602235951754E-2</v>
      </c>
      <c r="H50" s="108">
        <f t="shared" si="3"/>
        <v>5.9419837804117213E-2</v>
      </c>
      <c r="I50" s="108"/>
      <c r="V50" s="12"/>
      <c r="W50" s="12"/>
    </row>
    <row r="51" spans="1:23">
      <c r="A51" s="13" t="s">
        <v>107</v>
      </c>
      <c r="B51" s="105">
        <v>3503.53</v>
      </c>
      <c r="C51" s="106">
        <v>41.131187514667921</v>
      </c>
      <c r="D51" s="675">
        <f>(Table2[[#This Row],[SBF 120 Cours ajusté*]]-$B$2)/$B$2</f>
        <v>0.22298785574905844</v>
      </c>
      <c r="E51" s="675">
        <f>(Table2[[#This Row],[Hormopharm Cours ajusté]]-$C$2)/$C$2</f>
        <v>0.43622013651877145</v>
      </c>
      <c r="F51" s="106"/>
      <c r="G51" s="108">
        <f t="shared" si="2"/>
        <v>-1.0606600613015326E-3</v>
      </c>
      <c r="H51" s="108">
        <f t="shared" si="3"/>
        <v>-8.8326218165759984E-3</v>
      </c>
      <c r="I51" s="108"/>
      <c r="V51" s="12"/>
      <c r="W51" s="12"/>
    </row>
    <row r="52" spans="1:23">
      <c r="A52" s="13" t="s">
        <v>108</v>
      </c>
      <c r="B52" s="105">
        <v>3457.25</v>
      </c>
      <c r="C52" s="106">
        <v>40.306486740201841</v>
      </c>
      <c r="D52" s="675">
        <f>(Table2[[#This Row],[SBF 120 Cours ajusté*]]-$B$2)/$B$2</f>
        <v>0.20683275561745784</v>
      </c>
      <c r="E52" s="675">
        <f>(Table2[[#This Row],[Hormopharm Cours ajusté]]-$C$2)/$C$2</f>
        <v>0.4074232081911266</v>
      </c>
      <c r="F52" s="106"/>
      <c r="G52" s="108">
        <f t="shared" si="2"/>
        <v>-1.3209534383892873E-2</v>
      </c>
      <c r="H52" s="108">
        <f t="shared" si="3"/>
        <v>-2.0050497549383456E-2</v>
      </c>
      <c r="I52" s="108"/>
      <c r="V52" s="12"/>
      <c r="W52" s="12"/>
    </row>
    <row r="53" spans="1:23">
      <c r="A53" s="13" t="s">
        <v>109</v>
      </c>
      <c r="B53" s="105">
        <v>3583.83</v>
      </c>
      <c r="C53" s="106">
        <v>40.043804271297816</v>
      </c>
      <c r="D53" s="675">
        <f>(Table2[[#This Row],[SBF 120 Cours ajusté*]]-$B$2)/$B$2</f>
        <v>0.25101842058413881</v>
      </c>
      <c r="E53" s="675">
        <f>(Table2[[#This Row],[Hormopharm Cours ajusté]]-$C$2)/$C$2</f>
        <v>0.39825085324232073</v>
      </c>
      <c r="F53" s="106"/>
      <c r="G53" s="108">
        <f t="shared" si="2"/>
        <v>3.6612914889001355E-2</v>
      </c>
      <c r="H53" s="108">
        <f t="shared" si="3"/>
        <v>-6.5171264019402691E-3</v>
      </c>
      <c r="I53" s="108"/>
      <c r="V53" s="12"/>
      <c r="W53" s="12"/>
    </row>
    <row r="54" spans="1:23">
      <c r="A54" s="13" t="s">
        <v>110</v>
      </c>
      <c r="B54" s="105">
        <v>3571.7</v>
      </c>
      <c r="C54" s="106">
        <v>40.098784322928893</v>
      </c>
      <c r="D54" s="675">
        <f>(Table2[[#This Row],[SBF 120 Cours ajusté*]]-$B$2)/$B$2</f>
        <v>0.2467841646507698</v>
      </c>
      <c r="E54" s="675">
        <f>(Table2[[#This Row],[Hormopharm Cours ajusté]]-$C$2)/$C$2</f>
        <v>0.40017064846416389</v>
      </c>
      <c r="F54" s="106"/>
      <c r="G54" s="108">
        <f t="shared" si="2"/>
        <v>-3.3846471512320921E-3</v>
      </c>
      <c r="H54" s="108">
        <f t="shared" si="3"/>
        <v>1.372997711670587E-3</v>
      </c>
      <c r="I54" s="108"/>
      <c r="V54" s="12"/>
      <c r="W54" s="12"/>
    </row>
    <row r="55" spans="1:23">
      <c r="A55" s="13" t="s">
        <v>111</v>
      </c>
      <c r="B55" s="105">
        <v>3558.83</v>
      </c>
      <c r="C55" s="106">
        <v>39.463459281858718</v>
      </c>
      <c r="D55" s="675">
        <f>(Table2[[#This Row],[SBF 120 Cours ajusté*]]-$B$2)/$B$2</f>
        <v>0.24229159467035286</v>
      </c>
      <c r="E55" s="675">
        <f>(Table2[[#This Row],[Hormopharm Cours ajusté]]-$C$2)/$C$2</f>
        <v>0.37798634812286686</v>
      </c>
      <c r="F55" s="106"/>
      <c r="G55" s="108">
        <f t="shared" si="2"/>
        <v>-3.6033261472127815E-3</v>
      </c>
      <c r="H55" s="108">
        <f t="shared" si="3"/>
        <v>-1.5843997562461999E-2</v>
      </c>
      <c r="I55" s="108"/>
      <c r="V55" s="12"/>
      <c r="W55" s="12"/>
    </row>
    <row r="56" spans="1:23">
      <c r="A56" s="13" t="s">
        <v>112</v>
      </c>
      <c r="B56" s="105">
        <v>3619.73</v>
      </c>
      <c r="C56" s="106">
        <v>39.115252288195258</v>
      </c>
      <c r="D56" s="675">
        <f>(Table2[[#This Row],[SBF 120 Cours ajusté*]]-$B$2)/$B$2</f>
        <v>0.26355014259633541</v>
      </c>
      <c r="E56" s="675">
        <f>(Table2[[#This Row],[Hormopharm Cours ajusté]]-$C$2)/$C$2</f>
        <v>0.36582764505119447</v>
      </c>
      <c r="F56" s="106"/>
      <c r="G56" s="108">
        <f t="shared" si="2"/>
        <v>1.7112365580822936E-2</v>
      </c>
      <c r="H56" s="108">
        <f t="shared" si="3"/>
        <v>-8.82352941176473E-3</v>
      </c>
      <c r="I56" s="108"/>
      <c r="V56" s="12"/>
      <c r="W56" s="12"/>
    </row>
    <row r="57" spans="1:23">
      <c r="A57" s="13" t="s">
        <v>113</v>
      </c>
      <c r="B57" s="105">
        <v>3668.06</v>
      </c>
      <c r="C57" s="106">
        <v>38.37607603848862</v>
      </c>
      <c r="D57" s="675">
        <f>(Table2[[#This Row],[SBF 120 Cours ajusté*]]-$B$2)/$B$2</f>
        <v>0.28042084245286636</v>
      </c>
      <c r="E57" s="675">
        <f>(Table2[[#This Row],[Hormopharm Cours ajusté]]-$C$2)/$C$2</f>
        <v>0.34001706484641642</v>
      </c>
      <c r="F57" s="106"/>
      <c r="G57" s="108">
        <f t="shared" si="2"/>
        <v>1.335182458360152E-2</v>
      </c>
      <c r="H57" s="108">
        <f t="shared" si="3"/>
        <v>-1.889739184757136E-2</v>
      </c>
      <c r="I57" s="108"/>
      <c r="V57" s="12"/>
      <c r="W57" s="12"/>
    </row>
    <row r="58" spans="1:23">
      <c r="A58" s="13" t="s">
        <v>114</v>
      </c>
      <c r="B58" s="105">
        <v>3620.85</v>
      </c>
      <c r="C58" s="106">
        <v>37.184841586482044</v>
      </c>
      <c r="D58" s="675">
        <f>(Table2[[#This Row],[SBF 120 Cours ajusté*]]-$B$2)/$B$2</f>
        <v>0.26394110439727297</v>
      </c>
      <c r="E58" s="675">
        <f>(Table2[[#This Row],[Hormopharm Cours ajusté]]-$C$2)/$C$2</f>
        <v>0.29842150170648452</v>
      </c>
      <c r="F58" s="106"/>
      <c r="G58" s="108">
        <f t="shared" si="2"/>
        <v>-1.2870563731236686E-2</v>
      </c>
      <c r="H58" s="108">
        <f t="shared" si="3"/>
        <v>-3.1041069723018264E-2</v>
      </c>
      <c r="I58" s="108"/>
      <c r="V58" s="12"/>
      <c r="W58" s="12"/>
    </row>
    <row r="59" spans="1:23">
      <c r="A59" s="110">
        <v>38782</v>
      </c>
      <c r="B59" s="105">
        <v>3671.6</v>
      </c>
      <c r="C59" s="106">
        <v>38.956421027927718</v>
      </c>
      <c r="D59" s="675">
        <f>(Table2[[#This Row],[SBF 120 Cours ajusté*]]-$B$2)/$B$2</f>
        <v>0.28165656100225844</v>
      </c>
      <c r="E59" s="675">
        <f>(Table2[[#This Row],[Hormopharm Cours ajusté]]-$C$2)/$C$2</f>
        <v>0.36028156996587035</v>
      </c>
      <c r="F59" s="106"/>
      <c r="G59" s="108">
        <f t="shared" si="2"/>
        <v>1.4016045956060041E-2</v>
      </c>
      <c r="H59" s="108">
        <f t="shared" si="3"/>
        <v>4.7642516839165538E-2</v>
      </c>
      <c r="I59" s="108"/>
      <c r="V59" s="12"/>
      <c r="W59" s="12"/>
    </row>
    <row r="60" spans="1:23">
      <c r="A60" s="110">
        <v>38789</v>
      </c>
      <c r="B60" s="105">
        <v>3733.52</v>
      </c>
      <c r="C60" s="106">
        <v>38.986965501056098</v>
      </c>
      <c r="D60" s="675">
        <f>(Table2[[#This Row],[SBF 120 Cours ajusté*]]-$B$2)/$B$2</f>
        <v>0.30327116342552352</v>
      </c>
      <c r="E60" s="675">
        <f>(Table2[[#This Row],[Hormopharm Cours ajusté]]-$C$2)/$C$2</f>
        <v>0.36134812286689444</v>
      </c>
      <c r="F60" s="106"/>
      <c r="G60" s="108">
        <f t="shared" si="2"/>
        <v>1.686458219849659E-2</v>
      </c>
      <c r="H60" s="108">
        <f t="shared" si="3"/>
        <v>7.8406774345319641E-4</v>
      </c>
      <c r="I60" s="108"/>
      <c r="V60" s="12"/>
      <c r="W60" s="12"/>
    </row>
    <row r="61" spans="1:23">
      <c r="A61" s="110">
        <v>38796</v>
      </c>
      <c r="B61" s="105">
        <v>3787.79</v>
      </c>
      <c r="C61" s="106">
        <v>40.996791832903078</v>
      </c>
      <c r="D61" s="675">
        <f>(Table2[[#This Row],[SBF 120 Cours ajusté*]]-$B$2)/$B$2</f>
        <v>0.32221535711917004</v>
      </c>
      <c r="E61" s="675">
        <f>(Table2[[#This Row],[Hormopharm Cours ajusté]]-$C$2)/$C$2</f>
        <v>0.43152730375426634</v>
      </c>
      <c r="F61" s="106"/>
      <c r="G61" s="108">
        <f t="shared" si="2"/>
        <v>1.4535880348839696E-2</v>
      </c>
      <c r="H61" s="108">
        <f t="shared" si="3"/>
        <v>5.155123785647122E-2</v>
      </c>
      <c r="I61" s="108"/>
      <c r="V61" s="12"/>
      <c r="W61" s="12"/>
    </row>
    <row r="62" spans="1:23">
      <c r="A62" s="110">
        <v>38803</v>
      </c>
      <c r="B62" s="105">
        <v>3792.14</v>
      </c>
      <c r="C62" s="106">
        <v>41.552701243839479</v>
      </c>
      <c r="D62" s="675">
        <f>(Table2[[#This Row],[SBF 120 Cours ajusté*]]-$B$2)/$B$2</f>
        <v>0.32373382482816876</v>
      </c>
      <c r="E62" s="675">
        <f>(Table2[[#This Row],[Hormopharm Cours ajusté]]-$C$2)/$C$2</f>
        <v>0.45093856655290115</v>
      </c>
      <c r="F62" s="106"/>
      <c r="G62" s="108">
        <f t="shared" si="2"/>
        <v>1.1484269191269604E-3</v>
      </c>
      <c r="H62" s="108">
        <f t="shared" si="3"/>
        <v>1.3559827149456145E-2</v>
      </c>
      <c r="I62" s="108"/>
      <c r="V62" s="12"/>
      <c r="W62" s="12"/>
    </row>
    <row r="63" spans="1:23">
      <c r="A63" s="13" t="s">
        <v>115</v>
      </c>
      <c r="B63" s="105">
        <v>3769.76</v>
      </c>
      <c r="C63" s="106">
        <v>39.512330438864119</v>
      </c>
      <c r="D63" s="675">
        <f>(Table2[[#This Row],[SBF 120 Cours ajusté*]]-$B$2)/$B$2</f>
        <v>0.31592157027014767</v>
      </c>
      <c r="E63" s="675">
        <f>(Table2[[#This Row],[Hormopharm Cours ajusté]]-$C$2)/$C$2</f>
        <v>0.37969283276450522</v>
      </c>
      <c r="F63" s="106"/>
      <c r="G63" s="108">
        <f t="shared" si="2"/>
        <v>-5.9016808451163869E-3</v>
      </c>
      <c r="H63" s="108">
        <f t="shared" si="3"/>
        <v>-4.9103204939723664E-2</v>
      </c>
      <c r="I63" s="108"/>
      <c r="V63" s="12"/>
      <c r="W63" s="12"/>
    </row>
    <row r="64" spans="1:23">
      <c r="A64" s="13" t="s">
        <v>116</v>
      </c>
      <c r="B64" s="105">
        <v>3714.93</v>
      </c>
      <c r="C64" s="106">
        <v>39.671161699131659</v>
      </c>
      <c r="D64" s="675">
        <f>(Table2[[#This Row],[SBF 120 Cours ajusté*]]-$B$2)/$B$2</f>
        <v>0.29678189567603225</v>
      </c>
      <c r="E64" s="675">
        <f>(Table2[[#This Row],[Hormopharm Cours ajusté]]-$C$2)/$C$2</f>
        <v>0.38523890784982934</v>
      </c>
      <c r="F64" s="106"/>
      <c r="G64" s="108">
        <f t="shared" si="2"/>
        <v>-1.4544692500318424E-2</v>
      </c>
      <c r="H64" s="108">
        <f t="shared" si="3"/>
        <v>4.0197897340753797E-3</v>
      </c>
      <c r="I64" s="108"/>
      <c r="V64" s="12"/>
      <c r="W64" s="12"/>
    </row>
    <row r="65" spans="1:23">
      <c r="A65" s="13" t="s">
        <v>117</v>
      </c>
      <c r="B65" s="105">
        <v>3822.54</v>
      </c>
      <c r="C65" s="106">
        <v>40.227071110068053</v>
      </c>
      <c r="D65" s="675">
        <f>(Table2[[#This Row],[SBF 120 Cours ajusté*]]-$B$2)/$B$2</f>
        <v>0.33434564513933246</v>
      </c>
      <c r="E65" s="675">
        <f>(Table2[[#This Row],[Hormopharm Cours ajusté]]-$C$2)/$C$2</f>
        <v>0.40465017064846392</v>
      </c>
      <c r="F65" s="106"/>
      <c r="G65" s="108">
        <f t="shared" si="2"/>
        <v>2.8966898434156264E-2</v>
      </c>
      <c r="H65" s="108">
        <f t="shared" si="3"/>
        <v>1.4012935016938564E-2</v>
      </c>
      <c r="I65" s="108"/>
      <c r="V65" s="12"/>
      <c r="W65" s="12"/>
    </row>
    <row r="66" spans="1:23">
      <c r="A66" s="13" t="s">
        <v>118</v>
      </c>
      <c r="B66" s="105">
        <v>3771.48</v>
      </c>
      <c r="C66" s="106">
        <v>39.567310490495188</v>
      </c>
      <c r="D66" s="675">
        <f>(Table2[[#This Row],[SBF 120 Cours ajusté*]]-$B$2)/$B$2</f>
        <v>0.31652197589301612</v>
      </c>
      <c r="E66" s="675">
        <f>(Table2[[#This Row],[Hormopharm Cours ajusté]]-$C$2)/$C$2</f>
        <v>0.3816126279863481</v>
      </c>
      <c r="F66" s="106"/>
      <c r="G66" s="108">
        <f t="shared" si="2"/>
        <v>-1.3357610384718001E-2</v>
      </c>
      <c r="H66" s="108">
        <f t="shared" si="3"/>
        <v>-1.6400911161731067E-2</v>
      </c>
      <c r="I66" s="108"/>
      <c r="V66" s="12"/>
      <c r="W66" s="12"/>
    </row>
    <row r="67" spans="1:23">
      <c r="A67" s="110">
        <v>38838</v>
      </c>
      <c r="B67" s="105">
        <v>3844.43</v>
      </c>
      <c r="C67" s="106">
        <v>40.178199953062659</v>
      </c>
      <c r="D67" s="675">
        <f>(Table2[[#This Row],[SBF 120 Cours ajusté*]]-$B$2)/$B$2</f>
        <v>0.34198685390944339</v>
      </c>
      <c r="E67" s="675">
        <f>(Table2[[#This Row],[Hormopharm Cours ajusté]]-$C$2)/$C$2</f>
        <v>0.40294368600682584</v>
      </c>
      <c r="F67" s="106"/>
      <c r="G67" s="108">
        <f t="shared" si="2"/>
        <v>1.9342539268403867E-2</v>
      </c>
      <c r="H67" s="108">
        <f t="shared" si="3"/>
        <v>1.5439246564767597E-2</v>
      </c>
      <c r="I67" s="108"/>
      <c r="V67" s="12"/>
      <c r="W67" s="12"/>
    </row>
    <row r="68" spans="1:23">
      <c r="A68" s="110">
        <v>38845</v>
      </c>
      <c r="B68" s="105">
        <v>3748.32</v>
      </c>
      <c r="C68" s="106">
        <v>39.384043651724944</v>
      </c>
      <c r="D68" s="675">
        <f>(Table2[[#This Row],[SBF 120 Cours ajusté*]]-$B$2)/$B$2</f>
        <v>0.30843744436648485</v>
      </c>
      <c r="E68" s="675">
        <f>(Table2[[#This Row],[Hormopharm Cours ajusté]]-$C$2)/$C$2</f>
        <v>0.37521331058020468</v>
      </c>
      <c r="F68" s="106"/>
      <c r="G68" s="108">
        <f t="shared" ref="G68:H131" si="4">(B68-B67)/B67</f>
        <v>-2.4999804912561725E-2</v>
      </c>
      <c r="H68" s="108">
        <f t="shared" si="4"/>
        <v>-1.9765850691804792E-2</v>
      </c>
      <c r="I68" s="108"/>
      <c r="V68" s="12"/>
      <c r="W68" s="12"/>
    </row>
    <row r="69" spans="1:23">
      <c r="A69" s="110">
        <v>38852</v>
      </c>
      <c r="B69" s="105">
        <v>3580.42</v>
      </c>
      <c r="C69" s="106">
        <v>38.79758976766017</v>
      </c>
      <c r="D69" s="675">
        <f>(Table2[[#This Row],[SBF 120 Cours ajusté*]]-$B$2)/$B$2</f>
        <v>0.24982808152949842</v>
      </c>
      <c r="E69" s="675">
        <f>(Table2[[#This Row],[Hormopharm Cours ajusté]]-$C$2)/$C$2</f>
        <v>0.35473549488054595</v>
      </c>
      <c r="F69" s="106"/>
      <c r="G69" s="108">
        <f t="shared" si="4"/>
        <v>-4.4793400776881397E-2</v>
      </c>
      <c r="H69" s="108">
        <f t="shared" si="4"/>
        <v>-1.4890646812470928E-2</v>
      </c>
      <c r="I69" s="108"/>
      <c r="V69" s="12"/>
      <c r="W69" s="12"/>
    </row>
    <row r="70" spans="1:23">
      <c r="A70" s="110">
        <v>38859</v>
      </c>
      <c r="B70" s="105">
        <v>3647.17</v>
      </c>
      <c r="C70" s="106">
        <v>40.306486740201841</v>
      </c>
      <c r="D70" s="675">
        <f>(Table2[[#This Row],[SBF 120 Cours ajusté*]]-$B$2)/$B$2</f>
        <v>0.27312870671930689</v>
      </c>
      <c r="E70" s="675">
        <f>(Table2[[#This Row],[Hormopharm Cours ajusté]]-$C$2)/$C$2</f>
        <v>0.4074232081911266</v>
      </c>
      <c r="F70" s="106"/>
      <c r="G70" s="108">
        <f t="shared" si="4"/>
        <v>1.8643064221515911E-2</v>
      </c>
      <c r="H70" s="108">
        <f t="shared" si="4"/>
        <v>3.8891513147536173E-2</v>
      </c>
      <c r="I70" s="108"/>
      <c r="V70" s="12"/>
      <c r="W70" s="12"/>
    </row>
    <row r="71" spans="1:23">
      <c r="A71" s="110">
        <v>38866</v>
      </c>
      <c r="B71" s="105">
        <v>3596.4</v>
      </c>
      <c r="C71" s="106">
        <v>39.225212391457397</v>
      </c>
      <c r="D71" s="675">
        <f>(Table2[[#This Row],[SBF 120 Cours ajusté*]]-$B$2)/$B$2</f>
        <v>0.2554062686535904</v>
      </c>
      <c r="E71" s="675">
        <f>(Table2[[#This Row],[Hormopharm Cours ajusté]]-$C$2)/$C$2</f>
        <v>0.36966723549488029</v>
      </c>
      <c r="F71" s="106"/>
      <c r="G71" s="108">
        <f t="shared" si="4"/>
        <v>-1.3920382104481004E-2</v>
      </c>
      <c r="H71" s="108">
        <f t="shared" si="4"/>
        <v>-2.6826311003334768E-2</v>
      </c>
      <c r="I71" s="108"/>
      <c r="V71" s="12"/>
      <c r="W71" s="12"/>
    </row>
    <row r="72" spans="1:23">
      <c r="A72" s="110">
        <v>38873</v>
      </c>
      <c r="B72" s="105">
        <v>3451.88</v>
      </c>
      <c r="C72" s="106">
        <v>38.846460924665578</v>
      </c>
      <c r="D72" s="675">
        <f>(Table2[[#This Row],[SBF 120 Cours ajusté*]]-$B$2)/$B$2</f>
        <v>0.20495823341117664</v>
      </c>
      <c r="E72" s="675">
        <f>(Table2[[#This Row],[Hormopharm Cours ajusté]]-$C$2)/$C$2</f>
        <v>0.35644197952218454</v>
      </c>
      <c r="F72" s="106"/>
      <c r="G72" s="108">
        <f t="shared" si="4"/>
        <v>-4.0184629073517955E-2</v>
      </c>
      <c r="H72" s="108">
        <f t="shared" si="4"/>
        <v>-9.6558168509574376E-3</v>
      </c>
      <c r="I72" s="108"/>
      <c r="V72" s="12"/>
      <c r="W72" s="12"/>
    </row>
    <row r="73" spans="1:23">
      <c r="A73" s="110">
        <v>38880</v>
      </c>
      <c r="B73" s="105">
        <v>3405.11</v>
      </c>
      <c r="C73" s="106">
        <v>39.060272236564188</v>
      </c>
      <c r="D73" s="675">
        <f>(Table2[[#This Row],[SBF 120 Cours ajusté*]]-$B$2)/$B$2</f>
        <v>0.18863208749166591</v>
      </c>
      <c r="E73" s="675">
        <f>(Table2[[#This Row],[Hormopharm Cours ajusté]]-$C$2)/$C$2</f>
        <v>0.36390784982935159</v>
      </c>
      <c r="F73" s="106"/>
      <c r="G73" s="108">
        <f t="shared" si="4"/>
        <v>-1.3549138440501981E-2</v>
      </c>
      <c r="H73" s="108">
        <f t="shared" si="4"/>
        <v>5.5040100644754026E-3</v>
      </c>
      <c r="I73" s="108"/>
      <c r="V73" s="12"/>
      <c r="W73" s="12"/>
    </row>
    <row r="74" spans="1:23">
      <c r="A74" s="110">
        <v>38887</v>
      </c>
      <c r="B74" s="105">
        <v>3491.99</v>
      </c>
      <c r="C74" s="106">
        <v>40.47142689509505</v>
      </c>
      <c r="D74" s="675">
        <f>(Table2[[#This Row],[SBF 120 Cours ajusté*]]-$B$2)/$B$2</f>
        <v>0.21895955290725469</v>
      </c>
      <c r="E74" s="675">
        <f>(Table2[[#This Row],[Hormopharm Cours ajusté]]-$C$2)/$C$2</f>
        <v>0.41318259385665534</v>
      </c>
      <c r="F74" s="106"/>
      <c r="G74" s="108">
        <f t="shared" si="4"/>
        <v>2.551459424218297E-2</v>
      </c>
      <c r="H74" s="108">
        <f t="shared" si="4"/>
        <v>3.6127619643415709E-2</v>
      </c>
      <c r="I74" s="108"/>
      <c r="V74" s="12"/>
      <c r="W74" s="12"/>
    </row>
    <row r="75" spans="1:23">
      <c r="A75" s="110">
        <v>38891</v>
      </c>
      <c r="B75" s="105">
        <v>3491.99</v>
      </c>
      <c r="C75" s="106">
        <v>38.541016193381836</v>
      </c>
      <c r="D75" s="675">
        <f>(Table2[[#This Row],[SBF 120 Cours ajusté*]]-$B$2)/$B$2</f>
        <v>0.21895955290725469</v>
      </c>
      <c r="E75" s="675">
        <f>(Table2[[#This Row],[Hormopharm Cours ajusté]]-$C$2)/$C$2</f>
        <v>0.34577645051194539</v>
      </c>
      <c r="F75" s="106"/>
      <c r="G75" s="108">
        <f t="shared" si="4"/>
        <v>0</v>
      </c>
      <c r="H75" s="108">
        <f t="shared" si="4"/>
        <v>-4.7698113207547195E-2</v>
      </c>
      <c r="I75" s="108"/>
      <c r="V75" s="12"/>
      <c r="W75" s="12"/>
    </row>
    <row r="76" spans="1:23">
      <c r="A76" s="110">
        <v>38894</v>
      </c>
      <c r="B76" s="105">
        <v>3600.61</v>
      </c>
      <c r="C76" s="106">
        <v>39.286301337714157</v>
      </c>
      <c r="D76" s="675">
        <f>(Table2[[#This Row],[SBF 120 Cours ajusté*]]-$B$2)/$B$2</f>
        <v>0.25687586613747199</v>
      </c>
      <c r="E76" s="675">
        <f>(Table2[[#This Row],[Hormopharm Cours ajusté]]-$C$2)/$C$2</f>
        <v>0.37180034129692852</v>
      </c>
      <c r="F76" s="106"/>
      <c r="G76" s="108">
        <f t="shared" si="4"/>
        <v>3.1105472810632435E-2</v>
      </c>
      <c r="H76" s="108">
        <f t="shared" si="4"/>
        <v>1.9337454430179233E-2</v>
      </c>
      <c r="I76" s="108"/>
      <c r="V76" s="12"/>
      <c r="W76" s="12"/>
    </row>
    <row r="77" spans="1:23">
      <c r="A77" s="13" t="s">
        <v>119</v>
      </c>
      <c r="B77" s="105">
        <v>3588.54</v>
      </c>
      <c r="C77" s="106">
        <v>39.933844168035677</v>
      </c>
      <c r="D77" s="675">
        <f>(Table2[[#This Row],[SBF 120 Cours ajusté*]]-$B$2)/$B$2</f>
        <v>0.25266255458629605</v>
      </c>
      <c r="E77" s="675">
        <f>(Table2[[#This Row],[Hormopharm Cours ajusté]]-$C$2)/$C$2</f>
        <v>0.39441126279863492</v>
      </c>
      <c r="F77" s="106"/>
      <c r="G77" s="108">
        <f t="shared" si="4"/>
        <v>-3.3522097644566235E-3</v>
      </c>
      <c r="H77" s="108">
        <f t="shared" si="4"/>
        <v>1.6482662105426808E-2</v>
      </c>
      <c r="I77" s="108"/>
      <c r="V77" s="12"/>
      <c r="W77" s="12"/>
    </row>
    <row r="78" spans="1:23">
      <c r="A78" s="13" t="s">
        <v>120</v>
      </c>
      <c r="B78" s="105">
        <v>3462.08</v>
      </c>
      <c r="C78" s="106">
        <v>38.925876554799345</v>
      </c>
      <c r="D78" s="675">
        <f>(Table2[[#This Row],[SBF 120 Cours ajusté*]]-$B$2)/$B$2</f>
        <v>0.20851877838400126</v>
      </c>
      <c r="E78" s="675">
        <f>(Table2[[#This Row],[Hormopharm Cours ajusté]]-$C$2)/$C$2</f>
        <v>0.35921501706484649</v>
      </c>
      <c r="F78" s="106"/>
      <c r="G78" s="108">
        <f t="shared" si="4"/>
        <v>-3.5239958311736819E-2</v>
      </c>
      <c r="H78" s="108">
        <f t="shared" si="4"/>
        <v>-2.524093620927036E-2</v>
      </c>
      <c r="I78" s="108"/>
      <c r="V78" s="12"/>
      <c r="W78" s="12"/>
    </row>
    <row r="79" spans="1:23">
      <c r="A79" s="13" t="s">
        <v>121</v>
      </c>
      <c r="B79" s="105">
        <v>3477.31</v>
      </c>
      <c r="C79" s="106">
        <v>39.750577329265425</v>
      </c>
      <c r="D79" s="675">
        <f>(Table2[[#This Row],[SBF 120 Cours ajusté*]]-$B$2)/$B$2</f>
        <v>0.21383516073067965</v>
      </c>
      <c r="E79" s="675">
        <f>(Table2[[#This Row],[Hormopharm Cours ajusté]]-$C$2)/$C$2</f>
        <v>0.38801194539249129</v>
      </c>
      <c r="F79" s="106"/>
      <c r="G79" s="108">
        <f t="shared" si="4"/>
        <v>4.3990895646547797E-3</v>
      </c>
      <c r="H79" s="108">
        <f t="shared" si="4"/>
        <v>2.1186440677965917E-2</v>
      </c>
      <c r="I79" s="108"/>
      <c r="V79" s="12"/>
      <c r="W79" s="12"/>
    </row>
    <row r="80" spans="1:23">
      <c r="A80" s="13" t="s">
        <v>122</v>
      </c>
      <c r="B80" s="105">
        <v>3628.76</v>
      </c>
      <c r="C80" s="106">
        <v>38.461600563248069</v>
      </c>
      <c r="D80" s="675">
        <f>(Table2[[#This Row],[SBF 120 Cours ajusté*]]-$B$2)/$B$2</f>
        <v>0.26670227211639497</v>
      </c>
      <c r="E80" s="675">
        <f>(Table2[[#This Row],[Hormopharm Cours ajusté]]-$C$2)/$C$2</f>
        <v>0.34300341296928344</v>
      </c>
      <c r="F80" s="106"/>
      <c r="G80" s="108">
        <f t="shared" si="4"/>
        <v>4.3553781515021747E-2</v>
      </c>
      <c r="H80" s="108">
        <f t="shared" si="4"/>
        <v>-3.242661748885789E-2</v>
      </c>
      <c r="I80" s="108"/>
      <c r="V80" s="12"/>
      <c r="W80" s="12"/>
    </row>
    <row r="81" spans="1:23">
      <c r="A81" s="13" t="s">
        <v>123</v>
      </c>
      <c r="B81" s="105">
        <v>3634.54</v>
      </c>
      <c r="C81" s="106">
        <v>36.586169913165925</v>
      </c>
      <c r="D81" s="675">
        <f>(Table2[[#This Row],[SBF 120 Cours ajusté*]]-$B$2)/$B$2</f>
        <v>0.26871991426766223</v>
      </c>
      <c r="E81" s="675">
        <f>(Table2[[#This Row],[Hormopharm Cours ajusté]]-$C$2)/$C$2</f>
        <v>0.27751706484641642</v>
      </c>
      <c r="F81" s="106"/>
      <c r="G81" s="108">
        <f t="shared" si="4"/>
        <v>1.5928306088029368E-3</v>
      </c>
      <c r="H81" s="108">
        <f t="shared" si="4"/>
        <v>-4.8761118170266932E-2</v>
      </c>
      <c r="I81" s="108"/>
      <c r="V81" s="12"/>
      <c r="W81" s="12"/>
    </row>
    <row r="82" spans="1:23">
      <c r="A82" s="110">
        <v>38936</v>
      </c>
      <c r="B82" s="105">
        <v>3594.94</v>
      </c>
      <c r="C82" s="106">
        <v>34.912332785731053</v>
      </c>
      <c r="D82" s="675">
        <f>(Table2[[#This Row],[SBF 120 Cours ajusté*]]-$B$2)/$B$2</f>
        <v>0.25489662202022528</v>
      </c>
      <c r="E82" s="675">
        <f>(Table2[[#This Row],[Hormopharm Cours ajusté]]-$C$2)/$C$2</f>
        <v>0.21906996587030728</v>
      </c>
      <c r="F82" s="106"/>
      <c r="G82" s="108">
        <f t="shared" si="4"/>
        <v>-1.0895464075233705E-2</v>
      </c>
      <c r="H82" s="108">
        <f t="shared" si="4"/>
        <v>-4.5750542661546108E-2</v>
      </c>
      <c r="I82" s="108"/>
      <c r="V82" s="12"/>
      <c r="W82" s="12"/>
    </row>
    <row r="83" spans="1:23">
      <c r="A83" s="110">
        <v>38943</v>
      </c>
      <c r="B83" s="105">
        <v>3704.52</v>
      </c>
      <c r="C83" s="106">
        <v>36.402903074395681</v>
      </c>
      <c r="D83" s="675">
        <f>(Table2[[#This Row],[SBF 120 Cours ajusté*]]-$B$2)/$B$2</f>
        <v>0.2931480453655318</v>
      </c>
      <c r="E83" s="675">
        <f>(Table2[[#This Row],[Hormopharm Cours ajusté]]-$C$2)/$C$2</f>
        <v>0.271117747440273</v>
      </c>
      <c r="F83" s="106"/>
      <c r="G83" s="108">
        <f t="shared" si="4"/>
        <v>3.0481732657568674E-2</v>
      </c>
      <c r="H83" s="108">
        <f t="shared" si="4"/>
        <v>4.2694663167103977E-2</v>
      </c>
      <c r="I83" s="108"/>
      <c r="V83" s="12"/>
      <c r="W83" s="12"/>
    </row>
    <row r="84" spans="1:23">
      <c r="A84" s="110">
        <v>38950</v>
      </c>
      <c r="B84" s="105">
        <v>3693.74</v>
      </c>
      <c r="C84" s="106">
        <v>35.633182351560663</v>
      </c>
      <c r="D84" s="675">
        <f>(Table2[[#This Row],[SBF 120 Cours ajusté*]]-$B$2)/$B$2</f>
        <v>0.28938503803150722</v>
      </c>
      <c r="E84" s="675">
        <f>(Table2[[#This Row],[Hormopharm Cours ajusté]]-$C$2)/$C$2</f>
        <v>0.24424061433447086</v>
      </c>
      <c r="F84" s="106"/>
      <c r="G84" s="108">
        <f t="shared" si="4"/>
        <v>-2.9099586451146707E-3</v>
      </c>
      <c r="H84" s="108">
        <f t="shared" si="4"/>
        <v>-2.1144487330089019E-2</v>
      </c>
      <c r="I84" s="108"/>
      <c r="V84" s="12"/>
      <c r="W84" s="12"/>
    </row>
    <row r="85" spans="1:23">
      <c r="A85" s="110">
        <v>38957</v>
      </c>
      <c r="B85" s="105">
        <v>3748.61</v>
      </c>
      <c r="C85" s="106">
        <v>36.402903074395681</v>
      </c>
      <c r="D85" s="675">
        <f>(Table2[[#This Row],[SBF 120 Cours ajusté*]]-$B$2)/$B$2</f>
        <v>0.30853867554708475</v>
      </c>
      <c r="E85" s="675">
        <f>(Table2[[#This Row],[Hormopharm Cours ajusté]]-$C$2)/$C$2</f>
        <v>0.271117747440273</v>
      </c>
      <c r="F85" s="106"/>
      <c r="G85" s="108">
        <f t="shared" si="4"/>
        <v>1.4854862551235427E-2</v>
      </c>
      <c r="H85" s="108">
        <f t="shared" si="4"/>
        <v>2.160123435624901E-2</v>
      </c>
      <c r="I85" s="108"/>
      <c r="V85" s="12"/>
      <c r="W85" s="12"/>
    </row>
    <row r="86" spans="1:23">
      <c r="A86" s="13" t="s">
        <v>124</v>
      </c>
      <c r="B86" s="105">
        <v>3670.79</v>
      </c>
      <c r="C86" s="106">
        <v>34.808481577094575</v>
      </c>
      <c r="D86" s="675">
        <f>(Table2[[#This Row],[SBF 120 Cours ajusté*]]-$B$2)/$B$2</f>
        <v>0.28137381184265181</v>
      </c>
      <c r="E86" s="675">
        <f>(Table2[[#This Row],[Hormopharm Cours ajusté]]-$C$2)/$C$2</f>
        <v>0.21544368600682581</v>
      </c>
      <c r="F86" s="106"/>
      <c r="G86" s="108">
        <f t="shared" si="4"/>
        <v>-2.075969492691962E-2</v>
      </c>
      <c r="H86" s="108">
        <f t="shared" si="4"/>
        <v>-4.3799295183755742E-2</v>
      </c>
      <c r="I86" s="108"/>
      <c r="V86" s="12"/>
      <c r="W86" s="12"/>
    </row>
    <row r="87" spans="1:23">
      <c r="A87" s="13" t="s">
        <v>125</v>
      </c>
      <c r="B87" s="105">
        <v>3721.76</v>
      </c>
      <c r="C87" s="106">
        <v>35.04061957287022</v>
      </c>
      <c r="D87" s="675">
        <f>(Table2[[#This Row],[SBF 120 Cours ajusté*]]-$B$2)/$B$2</f>
        <v>0.29916606451567868</v>
      </c>
      <c r="E87" s="675">
        <f>(Table2[[#This Row],[Hormopharm Cours ajusté]]-$C$2)/$C$2</f>
        <v>0.22354948805460756</v>
      </c>
      <c r="F87" s="106"/>
      <c r="G87" s="108">
        <f t="shared" si="4"/>
        <v>1.3885294446154712E-2</v>
      </c>
      <c r="H87" s="108">
        <f t="shared" si="4"/>
        <v>6.6690066690068229E-3</v>
      </c>
      <c r="I87" s="108"/>
      <c r="V87" s="12"/>
      <c r="W87" s="12"/>
    </row>
    <row r="88" spans="1:23">
      <c r="A88" s="13" t="s">
        <v>126</v>
      </c>
      <c r="B88" s="105">
        <v>3722.94</v>
      </c>
      <c r="C88" s="106">
        <v>35.346064304153956</v>
      </c>
      <c r="D88" s="675">
        <f>(Table2[[#This Row],[SBF 120 Cours ajusté*]]-$B$2)/$B$2</f>
        <v>0.29957797069880931</v>
      </c>
      <c r="E88" s="675">
        <f>(Table2[[#This Row],[Hormopharm Cours ajusté]]-$C$2)/$C$2</f>
        <v>0.23421501706484643</v>
      </c>
      <c r="F88" s="106"/>
      <c r="G88" s="108">
        <f t="shared" si="4"/>
        <v>3.1705429689174913E-4</v>
      </c>
      <c r="H88" s="108">
        <f t="shared" si="4"/>
        <v>8.7168758716875631E-3</v>
      </c>
      <c r="I88" s="108"/>
      <c r="V88" s="12"/>
      <c r="W88" s="12"/>
    </row>
    <row r="89" spans="1:23">
      <c r="A89" s="13" t="s">
        <v>127</v>
      </c>
      <c r="B89" s="105">
        <v>3800.78</v>
      </c>
      <c r="C89" s="106">
        <v>36.146329500117346</v>
      </c>
      <c r="D89" s="675">
        <f>(Table2[[#This Row],[SBF 120 Cours ajusté*]]-$B$2)/$B$2</f>
        <v>0.32674981586397328</v>
      </c>
      <c r="E89" s="675">
        <f>(Table2[[#This Row],[Hormopharm Cours ajusté]]-$C$2)/$C$2</f>
        <v>0.26215870307167244</v>
      </c>
      <c r="F89" s="106"/>
      <c r="G89" s="108">
        <f t="shared" si="4"/>
        <v>2.0908206954718622E-2</v>
      </c>
      <c r="H89" s="108">
        <f t="shared" si="4"/>
        <v>2.2640857241617754E-2</v>
      </c>
      <c r="I89" s="108"/>
      <c r="V89" s="12"/>
      <c r="W89" s="12"/>
    </row>
    <row r="90" spans="1:23">
      <c r="A90" s="13" t="s">
        <v>128</v>
      </c>
      <c r="B90" s="105">
        <v>3823.14</v>
      </c>
      <c r="C90" s="106">
        <v>35.529331142924192</v>
      </c>
      <c r="D90" s="675">
        <f>(Table2[[#This Row],[SBF 120 Cours ajusté*]]-$B$2)/$B$2</f>
        <v>0.33455508896126329</v>
      </c>
      <c r="E90" s="675">
        <f>(Table2[[#This Row],[Hormopharm Cours ajusté]]-$C$2)/$C$2</f>
        <v>0.24061433447098962</v>
      </c>
      <c r="F90" s="106"/>
      <c r="G90" s="108">
        <f t="shared" si="4"/>
        <v>5.8830029625497058E-3</v>
      </c>
      <c r="H90" s="108">
        <f t="shared" si="4"/>
        <v>-1.7069460875443823E-2</v>
      </c>
      <c r="I90" s="108"/>
      <c r="V90" s="12"/>
      <c r="W90" s="12"/>
    </row>
    <row r="91" spans="1:23">
      <c r="A91" s="13" t="s">
        <v>129</v>
      </c>
      <c r="B91" s="105">
        <v>3875.93</v>
      </c>
      <c r="C91" s="106">
        <v>35.5782022999296</v>
      </c>
      <c r="D91" s="675">
        <f>(Table2[[#This Row],[SBF 120 Cours ajusté*]]-$B$2)/$B$2</f>
        <v>0.35298265456081368</v>
      </c>
      <c r="E91" s="675">
        <f>(Table2[[#This Row],[Hormopharm Cours ajusté]]-$C$2)/$C$2</f>
        <v>0.24232081911262821</v>
      </c>
      <c r="F91" s="106"/>
      <c r="G91" s="108">
        <f t="shared" si="4"/>
        <v>1.3808021678515556E-2</v>
      </c>
      <c r="H91" s="108">
        <f t="shared" si="4"/>
        <v>1.3755158184321965E-3</v>
      </c>
      <c r="I91" s="108"/>
      <c r="V91" s="12"/>
      <c r="W91" s="12"/>
    </row>
    <row r="92" spans="1:23">
      <c r="A92" s="13" t="s">
        <v>130</v>
      </c>
      <c r="B92" s="105">
        <v>3895.79</v>
      </c>
      <c r="C92" s="106">
        <v>36.146329500117346</v>
      </c>
      <c r="D92" s="675">
        <f>(Table2[[#This Row],[SBF 120 Cours ajusté*]]-$B$2)/$B$2</f>
        <v>0.35991524506672529</v>
      </c>
      <c r="E92" s="675">
        <f>(Table2[[#This Row],[Hormopharm Cours ajusté]]-$C$2)/$C$2</f>
        <v>0.26215870307167244</v>
      </c>
      <c r="F92" s="106"/>
      <c r="G92" s="108">
        <f t="shared" si="4"/>
        <v>5.1239315467513933E-3</v>
      </c>
      <c r="H92" s="108">
        <f t="shared" si="4"/>
        <v>1.5968406593406495E-2</v>
      </c>
      <c r="I92" s="108"/>
      <c r="V92" s="12"/>
      <c r="W92" s="12"/>
    </row>
    <row r="93" spans="1:23">
      <c r="A93" s="13" t="s">
        <v>131</v>
      </c>
      <c r="B93" s="105">
        <v>3916.05</v>
      </c>
      <c r="C93" s="106">
        <v>35.346064304153956</v>
      </c>
      <c r="D93" s="675">
        <f>(Table2[[#This Row],[SBF 120 Cours ajusté*]]-$B$2)/$B$2</f>
        <v>0.36698746478725747</v>
      </c>
      <c r="E93" s="675">
        <f>(Table2[[#This Row],[Hormopharm Cours ajusté]]-$C$2)/$C$2</f>
        <v>0.23421501706484643</v>
      </c>
      <c r="F93" s="106"/>
      <c r="G93" s="108">
        <f t="shared" si="4"/>
        <v>5.2004856524607897E-3</v>
      </c>
      <c r="H93" s="108">
        <f t="shared" si="4"/>
        <v>-2.2139597769139818E-2</v>
      </c>
      <c r="I93" s="108"/>
      <c r="V93" s="12"/>
      <c r="W93" s="12"/>
    </row>
    <row r="94" spans="1:23">
      <c r="A94" s="13" t="s">
        <v>132</v>
      </c>
      <c r="B94" s="105">
        <v>3881.52</v>
      </c>
      <c r="C94" s="106">
        <v>33.959345224125791</v>
      </c>
      <c r="D94" s="675">
        <f>(Table2[[#This Row],[SBF 120 Cours ajusté*]]-$B$2)/$B$2</f>
        <v>0.35493397283513628</v>
      </c>
      <c r="E94" s="675">
        <f>(Table2[[#This Row],[Hormopharm Cours ajusté]]-$C$2)/$C$2</f>
        <v>0.18579351535836172</v>
      </c>
      <c r="F94" s="106"/>
      <c r="G94" s="108">
        <f t="shared" si="4"/>
        <v>-8.8175585092121391E-3</v>
      </c>
      <c r="H94" s="108">
        <f t="shared" si="4"/>
        <v>-3.9232630487383409E-2</v>
      </c>
      <c r="I94" s="108"/>
      <c r="V94" s="12"/>
      <c r="W94" s="12"/>
    </row>
    <row r="95" spans="1:23">
      <c r="A95" s="13" t="s">
        <v>133</v>
      </c>
      <c r="B95" s="105">
        <v>3969.35</v>
      </c>
      <c r="C95" s="106">
        <v>33.879929593992024</v>
      </c>
      <c r="D95" s="675">
        <f>(Table2[[#This Row],[SBF 120 Cours ajusté*]]-$B$2)/$B$2</f>
        <v>0.38559305763544904</v>
      </c>
      <c r="E95" s="675">
        <f>(Table2[[#This Row],[Hormopharm Cours ajusté]]-$C$2)/$C$2</f>
        <v>0.18302047781569977</v>
      </c>
      <c r="F95" s="106"/>
      <c r="G95" s="108">
        <f t="shared" si="4"/>
        <v>2.2627733465240402E-2</v>
      </c>
      <c r="H95" s="108">
        <f t="shared" si="4"/>
        <v>-2.3385500989385136E-3</v>
      </c>
      <c r="I95" s="108"/>
      <c r="V95" s="12"/>
      <c r="W95" s="12"/>
    </row>
    <row r="96" spans="1:23">
      <c r="A96" s="13" t="s">
        <v>134</v>
      </c>
      <c r="B96" s="105">
        <v>3964.81</v>
      </c>
      <c r="C96" s="106">
        <v>34.032651959633888</v>
      </c>
      <c r="D96" s="675">
        <f>(Table2[[#This Row],[SBF 120 Cours ajusté*]]-$B$2)/$B$2</f>
        <v>0.3840082660495055</v>
      </c>
      <c r="E96" s="675">
        <f>(Table2[[#This Row],[Hormopharm Cours ajusté]]-$C$2)/$C$2</f>
        <v>0.1883532423208191</v>
      </c>
      <c r="F96" s="106"/>
      <c r="G96" s="108">
        <f t="shared" si="4"/>
        <v>-1.1437640923576816E-3</v>
      </c>
      <c r="H96" s="108">
        <f t="shared" si="4"/>
        <v>4.5077533357373509E-3</v>
      </c>
      <c r="I96" s="108"/>
      <c r="V96" s="12"/>
      <c r="W96" s="12"/>
    </row>
    <row r="97" spans="1:23">
      <c r="A97" s="13" t="s">
        <v>135</v>
      </c>
      <c r="B97" s="105">
        <v>3937.06</v>
      </c>
      <c r="C97" s="106">
        <v>34.032651959633888</v>
      </c>
      <c r="D97" s="675">
        <f>(Table2[[#This Row],[SBF 120 Cours ajusté*]]-$B$2)/$B$2</f>
        <v>0.37432148928520309</v>
      </c>
      <c r="E97" s="675">
        <f>(Table2[[#This Row],[Hormopharm Cours ajusté]]-$C$2)/$C$2</f>
        <v>0.1883532423208191</v>
      </c>
      <c r="F97" s="106"/>
      <c r="G97" s="108">
        <f t="shared" si="4"/>
        <v>-6.999074356652652E-3</v>
      </c>
      <c r="H97" s="108">
        <f t="shared" si="4"/>
        <v>0</v>
      </c>
      <c r="I97" s="108"/>
      <c r="V97" s="12"/>
      <c r="W97" s="12"/>
    </row>
    <row r="98" spans="1:23">
      <c r="A98" s="13" t="s">
        <v>136</v>
      </c>
      <c r="B98" s="105">
        <v>3842.33</v>
      </c>
      <c r="C98" s="106">
        <v>33.776078385355554</v>
      </c>
      <c r="D98" s="675">
        <f>(Table2[[#This Row],[SBF 120 Cours ajusté*]]-$B$2)/$B$2</f>
        <v>0.34125380053268545</v>
      </c>
      <c r="E98" s="675">
        <f>(Table2[[#This Row],[Hormopharm Cours ajusté]]-$C$2)/$C$2</f>
        <v>0.17939419795221853</v>
      </c>
      <c r="F98" s="106"/>
      <c r="G98" s="108">
        <f t="shared" si="4"/>
        <v>-2.4061101431017057E-2</v>
      </c>
      <c r="H98" s="108">
        <f t="shared" si="4"/>
        <v>-7.5390414647279443E-3</v>
      </c>
      <c r="I98" s="108"/>
      <c r="V98" s="12"/>
      <c r="W98" s="12"/>
    </row>
    <row r="99" spans="1:23">
      <c r="A99" s="13" t="s">
        <v>137</v>
      </c>
      <c r="B99" s="105">
        <v>3933.41</v>
      </c>
      <c r="C99" s="106">
        <v>35.297193147148562</v>
      </c>
      <c r="D99" s="675">
        <f>(Table2[[#This Row],[SBF 120 Cours ajusté*]]-$B$2)/$B$2</f>
        <v>0.37304737270179034</v>
      </c>
      <c r="E99" s="675">
        <f>(Table2[[#This Row],[Hormopharm Cours ajusté]]-$C$2)/$C$2</f>
        <v>0.23250853242320835</v>
      </c>
      <c r="F99" s="106"/>
      <c r="G99" s="108">
        <f t="shared" si="4"/>
        <v>2.3704366881553623E-2</v>
      </c>
      <c r="H99" s="108">
        <f t="shared" si="4"/>
        <v>4.5035268583830758E-2</v>
      </c>
      <c r="I99" s="108"/>
      <c r="V99" s="12"/>
      <c r="W99" s="12"/>
    </row>
    <row r="100" spans="1:23">
      <c r="A100" s="13" t="s">
        <v>138</v>
      </c>
      <c r="B100" s="105">
        <v>4038.11</v>
      </c>
      <c r="C100" s="106">
        <v>36.12189392161465</v>
      </c>
      <c r="D100" s="675">
        <f>(Table2[[#This Row],[SBF 120 Cours ajusté*]]-$B$2)/$B$2</f>
        <v>0.40959531962872597</v>
      </c>
      <c r="E100" s="675">
        <f>(Table2[[#This Row],[Hormopharm Cours ajusté]]-$C$2)/$C$2</f>
        <v>0.26130546075085342</v>
      </c>
      <c r="F100" s="106"/>
      <c r="G100" s="108">
        <f t="shared" si="4"/>
        <v>2.6618125239931834E-2</v>
      </c>
      <c r="H100" s="108">
        <f t="shared" si="4"/>
        <v>2.3364485981308407E-2</v>
      </c>
      <c r="I100" s="108"/>
      <c r="V100" s="12"/>
      <c r="W100" s="12"/>
    </row>
    <row r="101" spans="1:23">
      <c r="A101" s="13" t="s">
        <v>139</v>
      </c>
      <c r="B101" s="105">
        <v>3984.07</v>
      </c>
      <c r="C101" s="106">
        <v>35.504895564421496</v>
      </c>
      <c r="D101" s="675">
        <f>(Table2[[#This Row],[SBF 120 Cours ajusté*]]-$B$2)/$B$2</f>
        <v>0.39073141273348627</v>
      </c>
      <c r="E101" s="675">
        <f>(Table2[[#This Row],[Hormopharm Cours ajusté]]-$C$2)/$C$2</f>
        <v>0.23976109215017058</v>
      </c>
      <c r="F101" s="106"/>
      <c r="G101" s="108">
        <f t="shared" si="4"/>
        <v>-1.3382498247942716E-2</v>
      </c>
      <c r="H101" s="108">
        <f t="shared" si="4"/>
        <v>-1.708100794858804E-2</v>
      </c>
      <c r="I101" s="108"/>
      <c r="V101" s="12"/>
      <c r="W101" s="12"/>
    </row>
    <row r="102" spans="1:23">
      <c r="A102" s="13" t="s">
        <v>140</v>
      </c>
      <c r="B102" s="105">
        <v>4046.56</v>
      </c>
      <c r="C102" s="106">
        <v>36.018042712978179</v>
      </c>
      <c r="D102" s="675">
        <f>(Table2[[#This Row],[SBF 120 Cours ajusté*]]-$B$2)/$B$2</f>
        <v>0.41254498678758555</v>
      </c>
      <c r="E102" s="675">
        <f>(Table2[[#This Row],[Hormopharm Cours ajusté]]-$C$2)/$C$2</f>
        <v>0.25767918088737218</v>
      </c>
      <c r="F102" s="106"/>
      <c r="G102" s="108">
        <f t="shared" si="4"/>
        <v>1.5684965374604308E-2</v>
      </c>
      <c r="H102" s="108">
        <f t="shared" si="4"/>
        <v>1.4452856159669835E-2</v>
      </c>
      <c r="I102" s="108"/>
      <c r="V102" s="12"/>
      <c r="W102" s="12"/>
    </row>
    <row r="103" spans="1:23">
      <c r="A103" s="13" t="s">
        <v>141</v>
      </c>
      <c r="B103" s="105">
        <v>4031.94</v>
      </c>
      <c r="C103" s="106">
        <v>36.097458343111946</v>
      </c>
      <c r="D103" s="675">
        <f>(Table2[[#This Row],[SBF 120 Cours ajusté*]]-$B$2)/$B$2</f>
        <v>0.40744153899320357</v>
      </c>
      <c r="E103" s="675">
        <f>(Table2[[#This Row],[Hormopharm Cours ajusté]]-$C$2)/$C$2</f>
        <v>0.26045221843003413</v>
      </c>
      <c r="F103" s="106"/>
      <c r="G103" s="108">
        <f t="shared" si="4"/>
        <v>-3.6129453165157296E-3</v>
      </c>
      <c r="H103" s="108">
        <f t="shared" si="4"/>
        <v>2.2048846675710985E-3</v>
      </c>
      <c r="I103" s="108"/>
      <c r="V103" s="12"/>
      <c r="W103" s="12"/>
    </row>
    <row r="104" spans="1:23">
      <c r="A104" s="13" t="s">
        <v>142</v>
      </c>
      <c r="B104" s="105">
        <v>4103.93</v>
      </c>
      <c r="C104" s="106">
        <v>36.274616287256521</v>
      </c>
      <c r="D104" s="675">
        <f>(Table2[[#This Row],[SBF 120 Cours ajusté*]]-$B$2)/$B$2</f>
        <v>0.43257130689454165</v>
      </c>
      <c r="E104" s="675">
        <f>(Table2[[#This Row],[Hormopharm Cours ajusté]]-$C$2)/$C$2</f>
        <v>0.26663822525597297</v>
      </c>
      <c r="F104" s="106"/>
      <c r="G104" s="108">
        <f t="shared" si="4"/>
        <v>1.7854928396751995E-2</v>
      </c>
      <c r="H104" s="108">
        <f t="shared" si="4"/>
        <v>4.9077678118127164E-3</v>
      </c>
      <c r="I104" s="108"/>
      <c r="V104" s="12"/>
      <c r="W104" s="12"/>
    </row>
    <row r="105" spans="1:23">
      <c r="A105" s="13" t="s">
        <v>143</v>
      </c>
      <c r="B105" s="105">
        <v>4101.1099999999997</v>
      </c>
      <c r="C105" s="106">
        <v>36.690021121802395</v>
      </c>
      <c r="D105" s="675">
        <f>(Table2[[#This Row],[SBF 120 Cours ajusté*]]-$B$2)/$B$2</f>
        <v>0.43158692093146639</v>
      </c>
      <c r="E105" s="675">
        <f>(Table2[[#This Row],[Hormopharm Cours ajusté]]-$C$2)/$C$2</f>
        <v>0.28114334470989766</v>
      </c>
      <c r="F105" s="106"/>
      <c r="G105" s="108">
        <f t="shared" si="4"/>
        <v>-6.8714622325444588E-4</v>
      </c>
      <c r="H105" s="108">
        <f t="shared" si="4"/>
        <v>1.1451667228022721E-2</v>
      </c>
      <c r="I105" s="108"/>
      <c r="V105" s="12"/>
      <c r="W105" s="12"/>
    </row>
    <row r="106" spans="1:23">
      <c r="A106" s="13" t="s">
        <v>144</v>
      </c>
      <c r="B106" s="105">
        <v>4079.56</v>
      </c>
      <c r="C106" s="106">
        <v>36.018042712978179</v>
      </c>
      <c r="D106" s="675">
        <f>(Table2[[#This Row],[SBF 120 Cours ajusté*]]-$B$2)/$B$2</f>
        <v>0.42406439699378295</v>
      </c>
      <c r="E106" s="675">
        <f>(Table2[[#This Row],[Hormopharm Cours ajusté]]-$C$2)/$C$2</f>
        <v>0.25767918088737218</v>
      </c>
      <c r="F106" s="106"/>
      <c r="G106" s="108">
        <f t="shared" si="4"/>
        <v>-5.2546749538538908E-3</v>
      </c>
      <c r="H106" s="108">
        <f t="shared" si="4"/>
        <v>-1.8315018315018226E-2</v>
      </c>
      <c r="I106" s="108"/>
      <c r="V106" s="12"/>
      <c r="W106" s="12"/>
    </row>
    <row r="107" spans="1:23">
      <c r="A107" s="13" t="s">
        <v>145</v>
      </c>
      <c r="B107" s="105">
        <v>4154.92</v>
      </c>
      <c r="C107" s="106">
        <v>34.832917155597279</v>
      </c>
      <c r="D107" s="675">
        <f>(Table2[[#This Row],[SBF 120 Cours ajusté*]]-$B$2)/$B$2</f>
        <v>0.45037054102829938</v>
      </c>
      <c r="E107" s="675">
        <f>(Table2[[#This Row],[Hormopharm Cours ajusté]]-$C$2)/$C$2</f>
        <v>0.2162969283276451</v>
      </c>
      <c r="F107" s="106"/>
      <c r="G107" s="108">
        <f t="shared" si="4"/>
        <v>1.8472580376315124E-2</v>
      </c>
      <c r="H107" s="108">
        <f t="shared" si="4"/>
        <v>-3.2903663500678512E-2</v>
      </c>
      <c r="I107" s="108"/>
      <c r="V107" s="12"/>
      <c r="W107" s="12"/>
    </row>
    <row r="108" spans="1:23">
      <c r="A108" s="13" t="s">
        <v>146</v>
      </c>
      <c r="B108" s="105">
        <v>4170.51</v>
      </c>
      <c r="C108" s="106">
        <v>34.753501525463506</v>
      </c>
      <c r="D108" s="675">
        <f>(Table2[[#This Row],[SBF 120 Cours ajusté*]]-$B$2)/$B$2</f>
        <v>0.45581258966813631</v>
      </c>
      <c r="E108" s="675">
        <f>(Table2[[#This Row],[Hormopharm Cours ajusté]]-$C$2)/$C$2</f>
        <v>0.21352389078498291</v>
      </c>
      <c r="F108" s="106"/>
      <c r="G108" s="108">
        <f t="shared" si="4"/>
        <v>3.7521781406140539E-3</v>
      </c>
      <c r="H108" s="108">
        <f t="shared" si="4"/>
        <v>-2.2799017888460822E-3</v>
      </c>
      <c r="I108" s="108"/>
      <c r="V108" s="12"/>
      <c r="W108" s="12"/>
    </row>
    <row r="109" spans="1:23">
      <c r="A109" s="13" t="s">
        <v>147</v>
      </c>
      <c r="B109" s="105">
        <v>4187.17</v>
      </c>
      <c r="C109" s="106">
        <v>34.264789955409533</v>
      </c>
      <c r="D109" s="675">
        <f>(Table2[[#This Row],[SBF 120 Cours ajusté*]]-$B$2)/$B$2</f>
        <v>0.46162814645708322</v>
      </c>
      <c r="E109" s="675">
        <f>(Table2[[#This Row],[Hormopharm Cours ajusté]]-$C$2)/$C$2</f>
        <v>0.19645904436860084</v>
      </c>
      <c r="F109" s="106"/>
      <c r="G109" s="108">
        <f t="shared" si="4"/>
        <v>3.9947152746306457E-3</v>
      </c>
      <c r="H109" s="108">
        <f t="shared" si="4"/>
        <v>-1.4062225347161028E-2</v>
      </c>
      <c r="I109" s="108"/>
      <c r="V109" s="12"/>
      <c r="W109" s="12"/>
    </row>
    <row r="110" spans="1:23">
      <c r="A110" s="13" t="s">
        <v>148</v>
      </c>
      <c r="B110" s="105">
        <v>4191.5</v>
      </c>
      <c r="C110" s="106">
        <v>34.301443323163582</v>
      </c>
      <c r="D110" s="675">
        <f>(Table2[[#This Row],[SBF 120 Cours ajusté*]]-$B$2)/$B$2</f>
        <v>0.46313963270535091</v>
      </c>
      <c r="E110" s="675">
        <f>(Table2[[#This Row],[Hormopharm Cours ajusté]]-$C$2)/$C$2</f>
        <v>0.19773890784982953</v>
      </c>
      <c r="F110" s="106"/>
      <c r="G110" s="108">
        <f t="shared" si="4"/>
        <v>1.0341113448940279E-3</v>
      </c>
      <c r="H110" s="108">
        <f t="shared" si="4"/>
        <v>1.0697093956142051E-3</v>
      </c>
      <c r="I110" s="108"/>
      <c r="V110" s="12"/>
      <c r="W110" s="12"/>
    </row>
    <row r="111" spans="1:23">
      <c r="A111" s="13" t="s">
        <v>149</v>
      </c>
      <c r="B111" s="105">
        <v>3977.49</v>
      </c>
      <c r="C111" s="106">
        <v>33.000248767894867</v>
      </c>
      <c r="D111" s="675">
        <f>(Table2[[#This Row],[SBF 120 Cours ajusté*]]-$B$2)/$B$2</f>
        <v>0.3884345121529777</v>
      </c>
      <c r="E111" s="675">
        <f>(Table2[[#This Row],[Hormopharm Cours ajusté]]-$C$2)/$C$2</f>
        <v>0.15230375426621182</v>
      </c>
      <c r="F111" s="106"/>
      <c r="G111" s="108">
        <f t="shared" si="4"/>
        <v>-5.10580937611834E-2</v>
      </c>
      <c r="H111" s="108">
        <f t="shared" si="4"/>
        <v>-3.7934105075690082E-2</v>
      </c>
      <c r="I111" s="108"/>
      <c r="V111" s="12"/>
      <c r="W111" s="12"/>
    </row>
    <row r="112" spans="1:23">
      <c r="A112" s="110">
        <v>39146</v>
      </c>
      <c r="B112" s="105">
        <v>4056.61</v>
      </c>
      <c r="C112" s="106">
        <v>33.72720722835016</v>
      </c>
      <c r="D112" s="675">
        <f>(Table2[[#This Row],[SBF 120 Cours ajusté*]]-$B$2)/$B$2</f>
        <v>0.41605317080492754</v>
      </c>
      <c r="E112" s="675">
        <f>(Table2[[#This Row],[Hormopharm Cours ajusté]]-$C$2)/$C$2</f>
        <v>0.17768771331058045</v>
      </c>
      <c r="F112" s="106"/>
      <c r="G112" s="108">
        <f t="shared" si="4"/>
        <v>1.9891941903059554E-2</v>
      </c>
      <c r="H112" s="108">
        <f t="shared" si="4"/>
        <v>2.2028878193261783E-2</v>
      </c>
      <c r="I112" s="108"/>
      <c r="V112" s="12"/>
      <c r="W112" s="12"/>
    </row>
    <row r="113" spans="1:23">
      <c r="A113" s="110">
        <v>39153</v>
      </c>
      <c r="B113" s="105">
        <v>3951.27</v>
      </c>
      <c r="C113" s="106">
        <v>32.566517249471964</v>
      </c>
      <c r="D113" s="675">
        <f>(Table2[[#This Row],[SBF 120 Cours ajusté*]]-$B$2)/$B$2</f>
        <v>0.37928181713459908</v>
      </c>
      <c r="E113" s="675">
        <f>(Table2[[#This Row],[Hormopharm Cours ajusté]]-$C$2)/$C$2</f>
        <v>0.13715870307167266</v>
      </c>
      <c r="F113" s="106"/>
      <c r="G113" s="108">
        <f t="shared" si="4"/>
        <v>-2.5967495026635576E-2</v>
      </c>
      <c r="H113" s="108">
        <f t="shared" si="4"/>
        <v>-3.4414055424741838E-2</v>
      </c>
      <c r="I113" s="108"/>
      <c r="V113" s="12"/>
      <c r="W113" s="12"/>
    </row>
    <row r="114" spans="1:23">
      <c r="A114" s="110">
        <v>39160</v>
      </c>
      <c r="B114" s="105">
        <v>4143.9799999999996</v>
      </c>
      <c r="C114" s="106">
        <v>33.64168270359071</v>
      </c>
      <c r="D114" s="675">
        <f>(Table2[[#This Row],[SBF 120 Cours ajusté*]]-$B$2)/$B$2</f>
        <v>0.44655168200842649</v>
      </c>
      <c r="E114" s="675">
        <f>(Table2[[#This Row],[Hormopharm Cours ajusté]]-$C$2)/$C$2</f>
        <v>0.17470136518771345</v>
      </c>
      <c r="F114" s="106"/>
      <c r="G114" s="108">
        <f t="shared" si="4"/>
        <v>4.8771660757174172E-2</v>
      </c>
      <c r="H114" s="108">
        <f t="shared" si="4"/>
        <v>3.3014443819170722E-2</v>
      </c>
      <c r="I114" s="108"/>
      <c r="V114" s="12"/>
      <c r="W114" s="12"/>
    </row>
    <row r="115" spans="1:23">
      <c r="A115" s="110">
        <v>39167</v>
      </c>
      <c r="B115" s="105">
        <v>4146.25</v>
      </c>
      <c r="C115" s="106">
        <v>33.519504811077212</v>
      </c>
      <c r="D115" s="675">
        <f>(Table2[[#This Row],[SBF 120 Cours ajusté*]]-$B$2)/$B$2</f>
        <v>0.4473440778013984</v>
      </c>
      <c r="E115" s="675">
        <f>(Table2[[#This Row],[Hormopharm Cours ajusté]]-$C$2)/$C$2</f>
        <v>0.17043515358361774</v>
      </c>
      <c r="F115" s="106"/>
      <c r="G115" s="108">
        <f t="shared" si="4"/>
        <v>5.4778256651828359E-4</v>
      </c>
      <c r="H115" s="108">
        <f t="shared" si="4"/>
        <v>-3.6317414200110116E-3</v>
      </c>
      <c r="I115" s="108"/>
      <c r="V115" s="12"/>
      <c r="W115" s="12"/>
    </row>
    <row r="116" spans="1:23">
      <c r="A116" s="13" t="s">
        <v>150</v>
      </c>
      <c r="B116" s="105">
        <v>4231.47</v>
      </c>
      <c r="C116" s="106">
        <v>33.739425017601505</v>
      </c>
      <c r="D116" s="675">
        <f>(Table2[[#This Row],[SBF 120 Cours ajusté*]]-$B$2)/$B$2</f>
        <v>0.47709208197631198</v>
      </c>
      <c r="E116" s="675">
        <f>(Table2[[#This Row],[Hormopharm Cours ajusté]]-$C$2)/$C$2</f>
        <v>0.17811433447098984</v>
      </c>
      <c r="F116" s="106"/>
      <c r="G116" s="108">
        <f t="shared" si="4"/>
        <v>2.055351220982822E-2</v>
      </c>
      <c r="H116" s="108">
        <f t="shared" si="4"/>
        <v>6.5609622744670056E-3</v>
      </c>
      <c r="I116" s="108"/>
      <c r="V116" s="12"/>
      <c r="W116" s="12"/>
    </row>
    <row r="117" spans="1:23">
      <c r="A117" s="13" t="s">
        <v>151</v>
      </c>
      <c r="B117" s="105">
        <v>4253.5600000000004</v>
      </c>
      <c r="C117" s="106">
        <v>34.72295705233514</v>
      </c>
      <c r="D117" s="675">
        <f>(Table2[[#This Row],[SBF 120 Cours ajusté*]]-$B$2)/$B$2</f>
        <v>0.48480310535373328</v>
      </c>
      <c r="E117" s="675">
        <f>(Table2[[#This Row],[Hormopharm Cours ajusté]]-$C$2)/$C$2</f>
        <v>0.21245733788395929</v>
      </c>
      <c r="F117" s="106"/>
      <c r="G117" s="108">
        <f t="shared" si="4"/>
        <v>5.220408037868671E-3</v>
      </c>
      <c r="H117" s="108">
        <f t="shared" si="4"/>
        <v>2.9150823827630037E-2</v>
      </c>
      <c r="I117" s="108"/>
      <c r="V117" s="12"/>
      <c r="W117" s="12"/>
    </row>
    <row r="118" spans="1:23">
      <c r="A118" s="13" t="s">
        <v>152</v>
      </c>
      <c r="B118" s="105">
        <v>4353.16</v>
      </c>
      <c r="C118" s="106">
        <v>34.851243839474307</v>
      </c>
      <c r="D118" s="675">
        <f>(Table2[[#This Row],[SBF 120 Cours ajusté*]]-$B$2)/$B$2</f>
        <v>0.51957077979425625</v>
      </c>
      <c r="E118" s="675">
        <f>(Table2[[#This Row],[Hormopharm Cours ajusté]]-$C$2)/$C$2</f>
        <v>0.21693686006825957</v>
      </c>
      <c r="F118" s="106"/>
      <c r="G118" s="108">
        <f t="shared" si="4"/>
        <v>2.3415680042129287E-2</v>
      </c>
      <c r="H118" s="108">
        <f t="shared" si="4"/>
        <v>3.6945812807881217E-3</v>
      </c>
      <c r="I118" s="108"/>
      <c r="V118" s="12"/>
      <c r="W118" s="12"/>
    </row>
    <row r="119" spans="1:23">
      <c r="A119" s="13" t="s">
        <v>153</v>
      </c>
      <c r="B119" s="105">
        <v>4342.46</v>
      </c>
      <c r="C119" s="106">
        <v>34.729065946960809</v>
      </c>
      <c r="D119" s="675">
        <f>(Table2[[#This Row],[SBF 120 Cours ajusté*]]-$B$2)/$B$2</f>
        <v>0.51583569830315601</v>
      </c>
      <c r="E119" s="675">
        <f>(Table2[[#This Row],[Hormopharm Cours ajusté]]-$C$2)/$C$2</f>
        <v>0.21267064846416386</v>
      </c>
      <c r="F119" s="106"/>
      <c r="G119" s="108">
        <f t="shared" si="4"/>
        <v>-2.4579845445606911E-3</v>
      </c>
      <c r="H119" s="108">
        <f t="shared" si="4"/>
        <v>-3.505696757230612E-3</v>
      </c>
      <c r="I119" s="108"/>
      <c r="V119" s="12"/>
      <c r="W119" s="12"/>
    </row>
    <row r="120" spans="1:23">
      <c r="A120" s="13" t="s">
        <v>154</v>
      </c>
      <c r="B120" s="105">
        <v>4438.08</v>
      </c>
      <c r="C120" s="106">
        <v>35.181124149260739</v>
      </c>
      <c r="D120" s="675">
        <f>(Table2[[#This Row],[SBF 120 Cours ajusté*]]-$B$2)/$B$2</f>
        <v>0.54921406205820444</v>
      </c>
      <c r="E120" s="675">
        <f>(Table2[[#This Row],[Hormopharm Cours ajusté]]-$C$2)/$C$2</f>
        <v>0.22845563139931749</v>
      </c>
      <c r="F120" s="106"/>
      <c r="G120" s="108">
        <f t="shared" si="4"/>
        <v>2.2019776808537072E-2</v>
      </c>
      <c r="H120" s="108">
        <f t="shared" si="4"/>
        <v>1.3016710642040488E-2</v>
      </c>
      <c r="I120" s="108"/>
      <c r="V120" s="12"/>
      <c r="W120" s="12"/>
    </row>
    <row r="121" spans="1:23">
      <c r="A121" s="110">
        <v>39209</v>
      </c>
      <c r="B121" s="105">
        <v>4418.4399999999996</v>
      </c>
      <c r="C121" s="106">
        <v>34.912332785731053</v>
      </c>
      <c r="D121" s="675">
        <f>(Table2[[#This Row],[SBF 120 Cours ajusté*]]-$B$2)/$B$2</f>
        <v>0.54235826762033401</v>
      </c>
      <c r="E121" s="675">
        <f>(Table2[[#This Row],[Hormopharm Cours ajusté]]-$C$2)/$C$2</f>
        <v>0.21906996587030728</v>
      </c>
      <c r="F121" s="106"/>
      <c r="G121" s="108">
        <f t="shared" si="4"/>
        <v>-4.4253370827025034E-3</v>
      </c>
      <c r="H121" s="108">
        <f t="shared" si="4"/>
        <v>-7.6402153151588449E-3</v>
      </c>
      <c r="I121" s="108"/>
      <c r="V121" s="12"/>
      <c r="W121" s="12"/>
    </row>
    <row r="122" spans="1:23">
      <c r="A122" s="110">
        <v>39216</v>
      </c>
      <c r="B122" s="105">
        <v>4452.2</v>
      </c>
      <c r="C122" s="106">
        <v>36.073022764609242</v>
      </c>
      <c r="D122" s="675">
        <f>(Table2[[#This Row],[SBF 120 Cours ajusté*]]-$B$2)/$B$2</f>
        <v>0.55414297333431062</v>
      </c>
      <c r="E122" s="675">
        <f>(Table2[[#This Row],[Hormopharm Cours ajusté]]-$C$2)/$C$2</f>
        <v>0.25959897610921484</v>
      </c>
      <c r="F122" s="106"/>
      <c r="G122" s="108">
        <f t="shared" si="4"/>
        <v>7.6407057694571432E-3</v>
      </c>
      <c r="H122" s="108">
        <f t="shared" si="4"/>
        <v>3.3245844269466064E-2</v>
      </c>
      <c r="I122" s="108"/>
      <c r="V122" s="12"/>
      <c r="W122" s="12"/>
    </row>
    <row r="123" spans="1:23">
      <c r="A123" s="110">
        <v>39223</v>
      </c>
      <c r="B123" s="105">
        <v>4430.5600000000004</v>
      </c>
      <c r="C123" s="106">
        <v>36.402903074395681</v>
      </c>
      <c r="D123" s="675">
        <f>(Table2[[#This Row],[SBF 120 Cours ajusté*]]-$B$2)/$B$2</f>
        <v>0.54658903282333771</v>
      </c>
      <c r="E123" s="675">
        <f>(Table2[[#This Row],[Hormopharm Cours ajusté]]-$C$2)/$C$2</f>
        <v>0.271117747440273</v>
      </c>
      <c r="F123" s="106"/>
      <c r="G123" s="108">
        <f t="shared" si="4"/>
        <v>-4.8605183953998963E-3</v>
      </c>
      <c r="H123" s="108">
        <f t="shared" si="4"/>
        <v>9.1447925486876722E-3</v>
      </c>
      <c r="I123" s="108"/>
      <c r="V123" s="12"/>
      <c r="W123" s="12"/>
    </row>
    <row r="124" spans="1:23">
      <c r="A124" s="110">
        <v>39230</v>
      </c>
      <c r="B124" s="105">
        <v>4507.1000000000004</v>
      </c>
      <c r="C124" s="106">
        <v>36.738892278807796</v>
      </c>
      <c r="D124" s="675">
        <f>(Table2[[#This Row],[SBF 120 Cours ajusté*]]-$B$2)/$B$2</f>
        <v>0.57330708304098477</v>
      </c>
      <c r="E124" s="675">
        <f>(Table2[[#This Row],[Hormopharm Cours ajusté]]-$C$2)/$C$2</f>
        <v>0.28284982935153596</v>
      </c>
      <c r="F124" s="106"/>
      <c r="G124" s="108">
        <f t="shared" si="4"/>
        <v>1.7275468563793282E-2</v>
      </c>
      <c r="H124" s="108">
        <f t="shared" si="4"/>
        <v>9.229736532975482E-3</v>
      </c>
      <c r="I124" s="108"/>
      <c r="V124" s="12"/>
      <c r="W124" s="12"/>
    </row>
    <row r="125" spans="1:23">
      <c r="A125" s="110">
        <v>39237</v>
      </c>
      <c r="B125" s="105">
        <v>4295.9399999999996</v>
      </c>
      <c r="C125" s="106">
        <v>35.68816240319174</v>
      </c>
      <c r="D125" s="675">
        <f>(Table2[[#This Row],[SBF 120 Cours ajusté*]]-$B$2)/$B$2</f>
        <v>0.49959682064278294</v>
      </c>
      <c r="E125" s="675">
        <f>(Table2[[#This Row],[Hormopharm Cours ajusté]]-$C$2)/$C$2</f>
        <v>0.24616040955631402</v>
      </c>
      <c r="F125" s="106"/>
      <c r="G125" s="108">
        <f t="shared" si="4"/>
        <v>-4.6850524727652096E-2</v>
      </c>
      <c r="H125" s="108">
        <f t="shared" si="4"/>
        <v>-2.8599933488526876E-2</v>
      </c>
      <c r="I125" s="108"/>
      <c r="V125" s="12"/>
      <c r="W125" s="12"/>
    </row>
    <row r="126" spans="1:23">
      <c r="A126" s="110">
        <v>39244</v>
      </c>
      <c r="B126" s="105">
        <v>4456.01</v>
      </c>
      <c r="C126" s="106">
        <v>33.091882187279985</v>
      </c>
      <c r="D126" s="675">
        <f>(Table2[[#This Row],[SBF 120 Cours ajusté*]]-$B$2)/$B$2</f>
        <v>0.55547294160357175</v>
      </c>
      <c r="E126" s="675">
        <f>(Table2[[#This Row],[Hormopharm Cours ajusté]]-$C$2)/$C$2</f>
        <v>0.15550341296928341</v>
      </c>
      <c r="F126" s="106"/>
      <c r="G126" s="108">
        <f t="shared" si="4"/>
        <v>3.7260762487371944E-2</v>
      </c>
      <c r="H126" s="108">
        <f t="shared" si="4"/>
        <v>-7.2749058541595246E-2</v>
      </c>
      <c r="I126" s="108"/>
      <c r="V126" s="12"/>
      <c r="W126" s="12"/>
    </row>
    <row r="127" spans="1:23">
      <c r="A127" s="110">
        <v>39251</v>
      </c>
      <c r="B127" s="105">
        <v>4389.29</v>
      </c>
      <c r="C127" s="106">
        <v>31.900647735273409</v>
      </c>
      <c r="D127" s="675">
        <f>(Table2[[#This Row],[SBF 120 Cours ajusté*]]-$B$2)/$B$2</f>
        <v>0.53218278860485979</v>
      </c>
      <c r="E127" s="675">
        <f>(Table2[[#This Row],[Hormopharm Cours ajusté]]-$C$2)/$C$2</f>
        <v>0.11390784982935151</v>
      </c>
      <c r="F127" s="106"/>
      <c r="G127" s="108">
        <f t="shared" si="4"/>
        <v>-1.4973036415986556E-2</v>
      </c>
      <c r="H127" s="108">
        <f t="shared" si="4"/>
        <v>-3.5997784751707722E-2</v>
      </c>
      <c r="I127" s="108"/>
      <c r="V127" s="12"/>
      <c r="W127" s="12"/>
    </row>
    <row r="128" spans="1:23">
      <c r="A128" s="110">
        <v>39258</v>
      </c>
      <c r="B128" s="105">
        <v>4412.76</v>
      </c>
      <c r="C128" s="106">
        <v>31.741816475005869</v>
      </c>
      <c r="D128" s="675">
        <f>(Table2[[#This Row],[SBF 120 Cours ajusté*]]-$B$2)/$B$2</f>
        <v>0.5403755327727221</v>
      </c>
      <c r="E128" s="675">
        <f>(Table2[[#This Row],[Hormopharm Cours ajusté]]-$C$2)/$C$2</f>
        <v>0.10836177474402738</v>
      </c>
      <c r="F128" s="106"/>
      <c r="G128" s="108">
        <f t="shared" si="4"/>
        <v>5.3471062518084369E-3</v>
      </c>
      <c r="H128" s="108">
        <f t="shared" si="4"/>
        <v>-4.9789352738413553E-3</v>
      </c>
      <c r="I128" s="108"/>
      <c r="V128" s="12"/>
      <c r="W128" s="12"/>
    </row>
    <row r="129" spans="1:23">
      <c r="A129" s="13" t="s">
        <v>155</v>
      </c>
      <c r="B129" s="105">
        <v>4447.68</v>
      </c>
      <c r="C129" s="106">
        <v>32.499319408589535</v>
      </c>
      <c r="D129" s="675">
        <f>(Table2[[#This Row],[SBF 120 Cours ajusté*]]-$B$2)/$B$2</f>
        <v>0.55256516320909832</v>
      </c>
      <c r="E129" s="675">
        <f>(Table2[[#This Row],[Hormopharm Cours ajusté]]-$C$2)/$C$2</f>
        <v>0.13481228668941986</v>
      </c>
      <c r="F129" s="106"/>
      <c r="G129" s="108">
        <f t="shared" si="4"/>
        <v>7.9134147336361073E-3</v>
      </c>
      <c r="H129" s="108">
        <f t="shared" si="4"/>
        <v>2.3864511162432645E-2</v>
      </c>
      <c r="I129" s="108"/>
      <c r="V129" s="12"/>
      <c r="W129" s="12"/>
    </row>
    <row r="130" spans="1:23">
      <c r="A130" s="13" t="s">
        <v>156</v>
      </c>
      <c r="B130" s="105">
        <v>4460.1099999999997</v>
      </c>
      <c r="C130" s="106">
        <v>32.639823984980055</v>
      </c>
      <c r="D130" s="675">
        <f>(Table2[[#This Row],[SBF 120 Cours ajusté*]]-$B$2)/$B$2</f>
        <v>0.55690414105343244</v>
      </c>
      <c r="E130" s="675">
        <f>(Table2[[#This Row],[Hormopharm Cours ajusté]]-$C$2)/$C$2</f>
        <v>0.13971843003412979</v>
      </c>
      <c r="F130" s="106"/>
      <c r="G130" s="108">
        <f t="shared" si="4"/>
        <v>2.7947154471543324E-3</v>
      </c>
      <c r="H130" s="108">
        <f t="shared" si="4"/>
        <v>4.3233082706767107E-3</v>
      </c>
      <c r="I130" s="108"/>
      <c r="V130" s="12"/>
      <c r="W130" s="12"/>
    </row>
    <row r="131" spans="1:23">
      <c r="A131" s="13" t="s">
        <v>157</v>
      </c>
      <c r="B131" s="105">
        <v>4349.0200000000004</v>
      </c>
      <c r="C131" s="106">
        <v>32.988030978643515</v>
      </c>
      <c r="D131" s="675">
        <f>(Table2[[#This Row],[SBF 120 Cours ajusté*]]-$B$2)/$B$2</f>
        <v>0.5181256174229335</v>
      </c>
      <c r="E131" s="675">
        <f>(Table2[[#This Row],[Hormopharm Cours ajusté]]-$C$2)/$C$2</f>
        <v>0.15187713310580217</v>
      </c>
      <c r="F131" s="106"/>
      <c r="G131" s="108">
        <f t="shared" si="4"/>
        <v>-2.4907457439390338E-2</v>
      </c>
      <c r="H131" s="108">
        <f t="shared" si="4"/>
        <v>1.0668163952835513E-2</v>
      </c>
      <c r="I131" s="108"/>
      <c r="V131" s="12"/>
      <c r="W131" s="12"/>
    </row>
    <row r="132" spans="1:23">
      <c r="A132" s="13" t="s">
        <v>158</v>
      </c>
      <c r="B132" s="105">
        <v>4120.5600000000004</v>
      </c>
      <c r="C132" s="106">
        <v>31.83955878901666</v>
      </c>
      <c r="D132" s="675">
        <f>(Table2[[#This Row],[SBF 120 Cours ajusté*]]-$B$2)/$B$2</f>
        <v>0.4383763914923921</v>
      </c>
      <c r="E132" s="675">
        <f>(Table2[[#This Row],[Hormopharm Cours ajusté]]-$C$2)/$C$2</f>
        <v>0.11177474402730365</v>
      </c>
      <c r="F132" s="106"/>
      <c r="G132" s="108">
        <f t="shared" ref="G132:H195" si="5">(B132-B131)/B131</f>
        <v>-5.2531374884456729E-2</v>
      </c>
      <c r="H132" s="108">
        <f t="shared" si="5"/>
        <v>-3.4814814814815007E-2</v>
      </c>
      <c r="I132" s="108"/>
      <c r="V132" s="12"/>
      <c r="W132" s="12"/>
    </row>
    <row r="133" spans="1:23">
      <c r="A133" s="13" t="s">
        <v>159</v>
      </c>
      <c r="B133" s="105">
        <v>4085.61</v>
      </c>
      <c r="C133" s="106">
        <v>31.582985214738329</v>
      </c>
      <c r="D133" s="675">
        <f>(Table2[[#This Row],[SBF 120 Cours ajusté*]]-$B$2)/$B$2</f>
        <v>0.42617628886491926</v>
      </c>
      <c r="E133" s="675">
        <f>(Table2[[#This Row],[Hormopharm Cours ajusté]]-$C$2)/$C$2</f>
        <v>0.10281569965870323</v>
      </c>
      <c r="F133" s="106"/>
      <c r="G133" s="108">
        <f t="shared" si="5"/>
        <v>-8.4818568349933673E-3</v>
      </c>
      <c r="H133" s="108">
        <f t="shared" si="5"/>
        <v>-8.0583269378355325E-3</v>
      </c>
      <c r="I133" s="108"/>
      <c r="V133" s="12"/>
      <c r="W133" s="12"/>
    </row>
    <row r="134" spans="1:23">
      <c r="A134" s="110">
        <v>39300</v>
      </c>
      <c r="B134" s="105">
        <v>3980.17</v>
      </c>
      <c r="C134" s="106">
        <v>30.972095752170855</v>
      </c>
      <c r="D134" s="675">
        <f>(Table2[[#This Row],[SBF 120 Cours ajusté*]]-$B$2)/$B$2</f>
        <v>0.38937002789093561</v>
      </c>
      <c r="E134" s="675">
        <f>(Table2[[#This Row],[Hormopharm Cours ajusté]]-$C$2)/$C$2</f>
        <v>8.1484641638225344E-2</v>
      </c>
      <c r="F134" s="106"/>
      <c r="G134" s="108">
        <f t="shared" si="5"/>
        <v>-2.5807651733768044E-2</v>
      </c>
      <c r="H134" s="108">
        <f t="shared" si="5"/>
        <v>-1.934235976789174E-2</v>
      </c>
      <c r="I134" s="108"/>
      <c r="V134" s="12"/>
      <c r="W134" s="12"/>
    </row>
    <row r="135" spans="1:23">
      <c r="A135" s="110">
        <v>39307</v>
      </c>
      <c r="B135" s="105">
        <v>3906.87</v>
      </c>
      <c r="C135" s="106">
        <v>30.593344285379018</v>
      </c>
      <c r="D135" s="675">
        <f>(Table2[[#This Row],[SBF 120 Cours ajusté*]]-$B$2)/$B$2</f>
        <v>0.36378297431171519</v>
      </c>
      <c r="E135" s="675">
        <f>(Table2[[#This Row],[Hormopharm Cours ajusté]]-$C$2)/$C$2</f>
        <v>6.8259385665528971E-2</v>
      </c>
      <c r="F135" s="106"/>
      <c r="G135" s="108">
        <f t="shared" si="5"/>
        <v>-1.8416298801307528E-2</v>
      </c>
      <c r="H135" s="108">
        <f t="shared" si="5"/>
        <v>-1.2228796844181577E-2</v>
      </c>
      <c r="I135" s="108"/>
      <c r="V135" s="12"/>
      <c r="W135" s="12"/>
    </row>
    <row r="136" spans="1:23">
      <c r="A136" s="110">
        <v>39314</v>
      </c>
      <c r="B136" s="105">
        <v>4059.31</v>
      </c>
      <c r="C136" s="106">
        <v>31.326411640459987</v>
      </c>
      <c r="D136" s="675">
        <f>(Table2[[#This Row],[SBF 120 Cours ajusté*]]-$B$2)/$B$2</f>
        <v>0.41699566800361637</v>
      </c>
      <c r="E136" s="675">
        <f>(Table2[[#This Row],[Hormopharm Cours ajusté]]-$C$2)/$C$2</f>
        <v>9.3856655290102439E-2</v>
      </c>
      <c r="F136" s="106"/>
      <c r="G136" s="108">
        <f t="shared" si="5"/>
        <v>3.9018446992093427E-2</v>
      </c>
      <c r="H136" s="108">
        <f t="shared" si="5"/>
        <v>2.396166134185311E-2</v>
      </c>
      <c r="I136" s="108"/>
      <c r="V136" s="12"/>
      <c r="W136" s="12"/>
    </row>
    <row r="137" spans="1:23">
      <c r="A137" s="110">
        <v>39321</v>
      </c>
      <c r="B137" s="105">
        <v>4127.58</v>
      </c>
      <c r="C137" s="106">
        <v>31.650183055620751</v>
      </c>
      <c r="D137" s="675">
        <f>(Table2[[#This Row],[SBF 120 Cours ajusté*]]-$B$2)/$B$2</f>
        <v>0.44082688420898303</v>
      </c>
      <c r="E137" s="675">
        <f>(Table2[[#This Row],[Hormopharm Cours ajusté]]-$C$2)/$C$2</f>
        <v>0.10516211604095578</v>
      </c>
      <c r="F137" s="106"/>
      <c r="G137" s="108">
        <f t="shared" si="5"/>
        <v>1.6818129189443521E-2</v>
      </c>
      <c r="H137" s="108">
        <f t="shared" si="5"/>
        <v>1.0335413416536756E-2</v>
      </c>
      <c r="I137" s="108"/>
      <c r="V137" s="12"/>
      <c r="W137" s="12"/>
    </row>
    <row r="138" spans="1:23">
      <c r="A138" s="13" t="s">
        <v>160</v>
      </c>
      <c r="B138" s="105">
        <v>3965.31</v>
      </c>
      <c r="C138" s="106">
        <v>31.509678479230228</v>
      </c>
      <c r="D138" s="675">
        <f>(Table2[[#This Row],[SBF 120 Cours ajusté*]]-$B$2)/$B$2</f>
        <v>0.38418280256778126</v>
      </c>
      <c r="E138" s="675">
        <f>(Table2[[#This Row],[Hormopharm Cours ajusté]]-$C$2)/$C$2</f>
        <v>0.10025597269624574</v>
      </c>
      <c r="F138" s="106"/>
      <c r="G138" s="108">
        <f t="shared" si="5"/>
        <v>-3.9313592952771356E-2</v>
      </c>
      <c r="H138" s="108">
        <f t="shared" si="5"/>
        <v>-4.439297432928137E-3</v>
      </c>
      <c r="I138" s="108"/>
      <c r="V138" s="12"/>
      <c r="W138" s="12"/>
    </row>
    <row r="139" spans="1:23">
      <c r="A139" s="13" t="s">
        <v>161</v>
      </c>
      <c r="B139" s="105">
        <v>4031.21</v>
      </c>
      <c r="C139" s="106">
        <v>32.480992724712515</v>
      </c>
      <c r="D139" s="675">
        <f>(Table2[[#This Row],[SBF 120 Cours ajusté*]]-$B$2)/$B$2</f>
        <v>0.40718671567652098</v>
      </c>
      <c r="E139" s="675">
        <f>(Table2[[#This Row],[Hormopharm Cours ajusté]]-$C$2)/$C$2</f>
        <v>0.13417235494880564</v>
      </c>
      <c r="F139" s="106"/>
      <c r="G139" s="108">
        <f t="shared" si="5"/>
        <v>1.6619129399719088E-2</v>
      </c>
      <c r="H139" s="108">
        <f t="shared" si="5"/>
        <v>3.0825901512214204E-2</v>
      </c>
      <c r="I139" s="108"/>
      <c r="V139" s="12"/>
      <c r="W139" s="12"/>
    </row>
    <row r="140" spans="1:23">
      <c r="A140" s="13" t="s">
        <v>162</v>
      </c>
      <c r="B140" s="105">
        <v>4143.08</v>
      </c>
      <c r="C140" s="106">
        <v>31.87010326214504</v>
      </c>
      <c r="D140" s="675">
        <f>(Table2[[#This Row],[SBF 120 Cours ajusté*]]-$B$2)/$B$2</f>
        <v>0.44623751627553032</v>
      </c>
      <c r="E140" s="675">
        <f>(Table2[[#This Row],[Hormopharm Cours ajusté]]-$C$2)/$C$2</f>
        <v>0.11284129692832777</v>
      </c>
      <c r="F140" s="106"/>
      <c r="G140" s="108">
        <f t="shared" si="5"/>
        <v>2.7750973032910686E-2</v>
      </c>
      <c r="H140" s="108">
        <f t="shared" si="5"/>
        <v>-1.8807598269701013E-2</v>
      </c>
      <c r="I140" s="108"/>
      <c r="V140" s="12"/>
      <c r="W140" s="12"/>
    </row>
    <row r="141" spans="1:23">
      <c r="A141" s="13" t="s">
        <v>163</v>
      </c>
      <c r="B141" s="105">
        <v>4155.26</v>
      </c>
      <c r="C141" s="106">
        <v>31.363065008214036</v>
      </c>
      <c r="D141" s="675">
        <f>(Table2[[#This Row],[SBF 120 Cours ajusté*]]-$B$2)/$B$2</f>
        <v>0.45048922586072693</v>
      </c>
      <c r="E141" s="675">
        <f>(Table2[[#This Row],[Hormopharm Cours ajusté]]-$C$2)/$C$2</f>
        <v>9.5136518771331113E-2</v>
      </c>
      <c r="F141" s="106"/>
      <c r="G141" s="108">
        <f t="shared" si="5"/>
        <v>2.939841856782947E-3</v>
      </c>
      <c r="H141" s="108">
        <f t="shared" si="5"/>
        <v>-1.5909526547824474E-2</v>
      </c>
      <c r="I141" s="108"/>
      <c r="V141" s="12"/>
      <c r="W141" s="12"/>
    </row>
    <row r="142" spans="1:23">
      <c r="A142" s="13" t="s">
        <v>164</v>
      </c>
      <c r="B142" s="105">
        <v>4155.26</v>
      </c>
      <c r="C142" s="106">
        <v>32.933050927012438</v>
      </c>
      <c r="D142" s="675">
        <f>(Table2[[#This Row],[SBF 120 Cours ajusté*]]-$B$2)/$B$2</f>
        <v>0.45048922586072693</v>
      </c>
      <c r="E142" s="675">
        <f>(Table2[[#This Row],[Hormopharm Cours ajusté]]-$C$2)/$C$2</f>
        <v>0.14995733788395901</v>
      </c>
      <c r="F142" s="106"/>
      <c r="G142" s="108">
        <f t="shared" si="5"/>
        <v>0</v>
      </c>
      <c r="H142" s="108">
        <f t="shared" si="5"/>
        <v>5.0058433969614256E-2</v>
      </c>
      <c r="I142" s="108"/>
      <c r="V142" s="12"/>
      <c r="W142" s="12"/>
    </row>
    <row r="143" spans="1:23">
      <c r="A143" s="13" t="s">
        <v>165</v>
      </c>
      <c r="B143" s="105">
        <v>4252.55</v>
      </c>
      <c r="C143" s="106">
        <v>33.873820699366348</v>
      </c>
      <c r="D143" s="675">
        <f>(Table2[[#This Row],[SBF 120 Cours ajusté*]]-$B$2)/$B$2</f>
        <v>0.48445054158681627</v>
      </c>
      <c r="E143" s="675">
        <f>(Table2[[#This Row],[Hormopharm Cours ajusté]]-$C$2)/$C$2</f>
        <v>0.18280716723549495</v>
      </c>
      <c r="F143" s="106"/>
      <c r="G143" s="108">
        <f t="shared" si="5"/>
        <v>2.3413697337832037E-2</v>
      </c>
      <c r="H143" s="108">
        <f t="shared" si="5"/>
        <v>2.8566128733073719E-2</v>
      </c>
      <c r="I143" s="108"/>
      <c r="V143" s="12"/>
      <c r="W143" s="12"/>
    </row>
    <row r="144" spans="1:23">
      <c r="A144" s="13" t="s">
        <v>166</v>
      </c>
      <c r="B144" s="105">
        <v>4264.5200000000004</v>
      </c>
      <c r="C144" s="106">
        <v>34.747392630837837</v>
      </c>
      <c r="D144" s="675">
        <f>(Table2[[#This Row],[SBF 120 Cours ajusté*]]-$B$2)/$B$2</f>
        <v>0.48862894583433708</v>
      </c>
      <c r="E144" s="675">
        <f>(Table2[[#This Row],[Hormopharm Cours ajusté]]-$C$2)/$C$2</f>
        <v>0.21331058020477833</v>
      </c>
      <c r="F144" s="106"/>
      <c r="G144" s="108">
        <f t="shared" si="5"/>
        <v>2.8147817192038316E-3</v>
      </c>
      <c r="H144" s="108">
        <f t="shared" si="5"/>
        <v>2.578899909828683E-2</v>
      </c>
      <c r="I144" s="108"/>
      <c r="V144" s="12"/>
      <c r="W144" s="12"/>
    </row>
    <row r="145" spans="1:23">
      <c r="A145" s="13" t="s">
        <v>167</v>
      </c>
      <c r="B145" s="105">
        <v>4186</v>
      </c>
      <c r="C145" s="106">
        <v>32.939159821638114</v>
      </c>
      <c r="D145" s="675">
        <f>(Table2[[#This Row],[SBF 120 Cours ajusté*]]-$B$2)/$B$2</f>
        <v>0.46121973100431801</v>
      </c>
      <c r="E145" s="675">
        <f>(Table2[[#This Row],[Hormopharm Cours ajusté]]-$C$2)/$C$2</f>
        <v>0.15017064846416384</v>
      </c>
      <c r="F145" s="106"/>
      <c r="G145" s="108">
        <f t="shared" si="5"/>
        <v>-1.8412388733081431E-2</v>
      </c>
      <c r="H145" s="108">
        <f t="shared" si="5"/>
        <v>-5.2039381153305315E-2</v>
      </c>
      <c r="I145" s="108"/>
      <c r="V145" s="12"/>
      <c r="W145" s="12"/>
    </row>
    <row r="146" spans="1:23">
      <c r="A146" s="13" t="s">
        <v>168</v>
      </c>
      <c r="B146" s="105">
        <v>4224.7</v>
      </c>
      <c r="C146" s="106">
        <v>33.195733395916456</v>
      </c>
      <c r="D146" s="675">
        <f>(Table2[[#This Row],[SBF 120 Cours ajusté*]]-$B$2)/$B$2</f>
        <v>0.47472885751885857</v>
      </c>
      <c r="E146" s="675">
        <f>(Table2[[#This Row],[Hormopharm Cours ajusté]]-$C$2)/$C$2</f>
        <v>0.15912969283276465</v>
      </c>
      <c r="F146" s="106"/>
      <c r="G146" s="108">
        <f t="shared" si="5"/>
        <v>9.2451027233635494E-3</v>
      </c>
      <c r="H146" s="108">
        <f t="shared" si="5"/>
        <v>7.7893175074184974E-3</v>
      </c>
      <c r="I146" s="108"/>
      <c r="V146" s="12"/>
      <c r="W146" s="12"/>
    </row>
    <row r="147" spans="1:23">
      <c r="A147" s="13" t="s">
        <v>169</v>
      </c>
      <c r="B147" s="105">
        <v>4167.53</v>
      </c>
      <c r="C147" s="106">
        <v>33.611138230462338</v>
      </c>
      <c r="D147" s="675">
        <f>(Table2[[#This Row],[SBF 120 Cours ajusté*]]-$B$2)/$B$2</f>
        <v>0.4547723520192129</v>
      </c>
      <c r="E147" s="675">
        <f>(Table2[[#This Row],[Hormopharm Cours ajusté]]-$C$2)/$C$2</f>
        <v>0.17363481228668959</v>
      </c>
      <c r="F147" s="106"/>
      <c r="G147" s="108">
        <f t="shared" si="5"/>
        <v>-1.3532321821667829E-2</v>
      </c>
      <c r="H147" s="108">
        <f t="shared" si="5"/>
        <v>1.2513801987486214E-2</v>
      </c>
      <c r="I147" s="108"/>
      <c r="V147" s="12"/>
      <c r="W147" s="12"/>
    </row>
    <row r="148" spans="1:23">
      <c r="A148" s="13" t="s">
        <v>170</v>
      </c>
      <c r="B148" s="105">
        <v>4020.29</v>
      </c>
      <c r="C148" s="106">
        <v>34.09984980051631</v>
      </c>
      <c r="D148" s="675">
        <f>(Table2[[#This Row],[SBF 120 Cours ajusté*]]-$B$2)/$B$2</f>
        <v>0.40337483811737929</v>
      </c>
      <c r="E148" s="675">
        <f>(Table2[[#This Row],[Hormopharm Cours ajusté]]-$C$2)/$C$2</f>
        <v>0.19069965870307162</v>
      </c>
      <c r="F148" s="106"/>
      <c r="G148" s="108">
        <f t="shared" si="5"/>
        <v>-3.5330279566073861E-2</v>
      </c>
      <c r="H148" s="108">
        <f t="shared" si="5"/>
        <v>1.4540167211922769E-2</v>
      </c>
      <c r="I148" s="108"/>
      <c r="V148" s="12"/>
      <c r="W148" s="12"/>
    </row>
    <row r="149" spans="1:23">
      <c r="A149" s="13" t="s">
        <v>171</v>
      </c>
      <c r="B149" s="105">
        <v>4004.98</v>
      </c>
      <c r="C149" s="106">
        <v>33.269040131424553</v>
      </c>
      <c r="D149" s="675">
        <f>(Table2[[#This Row],[SBF 120 Cours ajusté*]]-$B$2)/$B$2</f>
        <v>0.39803052992777677</v>
      </c>
      <c r="E149" s="675">
        <f>(Table2[[#This Row],[Hormopharm Cours ajusté]]-$C$2)/$C$2</f>
        <v>0.161689419795222</v>
      </c>
      <c r="F149" s="106"/>
      <c r="G149" s="108">
        <f t="shared" si="5"/>
        <v>-3.8081829917742116E-3</v>
      </c>
      <c r="H149" s="108">
        <f t="shared" si="5"/>
        <v>-2.4364027230383202E-2</v>
      </c>
      <c r="I149" s="108"/>
      <c r="V149" s="12"/>
      <c r="W149" s="12"/>
    </row>
    <row r="150" spans="1:23">
      <c r="A150" s="13" t="s">
        <v>172</v>
      </c>
      <c r="B150" s="105">
        <v>3993.3</v>
      </c>
      <c r="C150" s="106">
        <v>34.735174841586485</v>
      </c>
      <c r="D150" s="675">
        <f>(Table2[[#This Row],[SBF 120 Cours ajusté*]]-$B$2)/$B$2</f>
        <v>0.39395335686085603</v>
      </c>
      <c r="E150" s="675">
        <f>(Table2[[#This Row],[Hormopharm Cours ajusté]]-$C$2)/$C$2</f>
        <v>0.21288395904436869</v>
      </c>
      <c r="F150" s="106"/>
      <c r="G150" s="108">
        <f t="shared" si="5"/>
        <v>-2.9163691204450049E-3</v>
      </c>
      <c r="H150" s="108">
        <f t="shared" si="5"/>
        <v>4.4069041498347332E-2</v>
      </c>
      <c r="I150" s="108"/>
      <c r="V150" s="12"/>
      <c r="W150" s="12"/>
    </row>
    <row r="151" spans="1:23">
      <c r="A151" s="13" t="s">
        <v>173</v>
      </c>
      <c r="B151" s="105">
        <v>4105.41</v>
      </c>
      <c r="C151" s="106">
        <v>36.054696080732228</v>
      </c>
      <c r="D151" s="675">
        <f>(Table2[[#This Row],[SBF 120 Cours ajusté*]]-$B$2)/$B$2</f>
        <v>0.43308793498863762</v>
      </c>
      <c r="E151" s="675">
        <f>(Table2[[#This Row],[Hormopharm Cours ajusté]]-$C$2)/$C$2</f>
        <v>0.25895904436860084</v>
      </c>
      <c r="F151" s="106"/>
      <c r="G151" s="108">
        <f t="shared" si="5"/>
        <v>2.8074524829088641E-2</v>
      </c>
      <c r="H151" s="108">
        <f t="shared" si="5"/>
        <v>3.7988040801969825E-2</v>
      </c>
      <c r="I151" s="108"/>
      <c r="V151" s="12"/>
      <c r="W151" s="12"/>
    </row>
    <row r="152" spans="1:23">
      <c r="A152" s="13" t="s">
        <v>174</v>
      </c>
      <c r="B152" s="105">
        <v>4140.1899999999996</v>
      </c>
      <c r="C152" s="106">
        <v>36.43955644214973</v>
      </c>
      <c r="D152" s="675">
        <f>(Table2[[#This Row],[SBF 120 Cours ajusté*]]-$B$2)/$B$2</f>
        <v>0.44522869519989655</v>
      </c>
      <c r="E152" s="675">
        <f>(Table2[[#This Row],[Hormopharm Cours ajusté]]-$C$2)/$C$2</f>
        <v>0.27239761092150166</v>
      </c>
      <c r="F152" s="106"/>
      <c r="G152" s="108">
        <f t="shared" si="5"/>
        <v>8.4717482541328999E-3</v>
      </c>
      <c r="H152" s="108">
        <f t="shared" si="5"/>
        <v>1.0674347678752805E-2</v>
      </c>
      <c r="I152" s="108"/>
      <c r="V152" s="12"/>
      <c r="W152" s="12"/>
    </row>
    <row r="153" spans="1:23">
      <c r="A153" s="13" t="s">
        <v>175</v>
      </c>
      <c r="B153" s="105">
        <v>4061.11</v>
      </c>
      <c r="C153" s="106">
        <v>35.413262145036377</v>
      </c>
      <c r="D153" s="675">
        <f>(Table2[[#This Row],[SBF 120 Cours ajusté*]]-$B$2)/$B$2</f>
        <v>0.41762399946940904</v>
      </c>
      <c r="E153" s="675">
        <f>(Table2[[#This Row],[Hormopharm Cours ajusté]]-$C$2)/$C$2</f>
        <v>0.23656143344709898</v>
      </c>
      <c r="F153" s="106"/>
      <c r="G153" s="108">
        <f t="shared" si="5"/>
        <v>-1.9100572679031515E-2</v>
      </c>
      <c r="H153" s="108">
        <f t="shared" si="5"/>
        <v>-2.8164291701592594E-2</v>
      </c>
      <c r="I153" s="108"/>
      <c r="V153" s="12"/>
      <c r="W153" s="12"/>
    </row>
    <row r="154" spans="1:23">
      <c r="A154" s="13" t="s">
        <v>176</v>
      </c>
      <c r="B154" s="105">
        <v>4047.15</v>
      </c>
      <c r="C154" s="106">
        <v>36.042478291480876</v>
      </c>
      <c r="D154" s="675">
        <f>(Table2[[#This Row],[SBF 120 Cours ajusté*]]-$B$2)/$B$2</f>
        <v>0.41275093987915096</v>
      </c>
      <c r="E154" s="675">
        <f>(Table2[[#This Row],[Hormopharm Cours ajusté]]-$C$2)/$C$2</f>
        <v>0.2585324232081912</v>
      </c>
      <c r="F154" s="106"/>
      <c r="G154" s="108">
        <f t="shared" si="5"/>
        <v>-3.4374838406248625E-3</v>
      </c>
      <c r="H154" s="108">
        <f t="shared" si="5"/>
        <v>1.7767810936691452E-2</v>
      </c>
      <c r="I154" s="108"/>
      <c r="V154" s="12"/>
      <c r="W154" s="12"/>
    </row>
    <row r="155" spans="1:23">
      <c r="A155" s="13" t="s">
        <v>177</v>
      </c>
      <c r="B155" s="105">
        <v>4065.76</v>
      </c>
      <c r="C155" s="106">
        <v>35.229995306266133</v>
      </c>
      <c r="D155" s="675">
        <f>(Table2[[#This Row],[SBF 120 Cours ajusté*]]-$B$2)/$B$2</f>
        <v>0.41924718908937325</v>
      </c>
      <c r="E155" s="675">
        <f>(Table2[[#This Row],[Hormopharm Cours ajusté]]-$C$2)/$C$2</f>
        <v>0.23016211604095557</v>
      </c>
      <c r="F155" s="106"/>
      <c r="G155" s="108">
        <f t="shared" si="5"/>
        <v>4.5982975674240213E-3</v>
      </c>
      <c r="H155" s="108">
        <f t="shared" si="5"/>
        <v>-2.2542372881356056E-2</v>
      </c>
      <c r="I155" s="108"/>
      <c r="V155" s="12"/>
      <c r="W155" s="12"/>
    </row>
    <row r="156" spans="1:23">
      <c r="A156" s="13" t="s">
        <v>178</v>
      </c>
      <c r="B156" s="105">
        <v>3929.58</v>
      </c>
      <c r="C156" s="106">
        <v>33.8860384886177</v>
      </c>
      <c r="D156" s="675">
        <f>(Table2[[#This Row],[SBF 120 Cours ajusté*]]-$B$2)/$B$2</f>
        <v>0.37171042297179835</v>
      </c>
      <c r="E156" s="675">
        <f>(Table2[[#This Row],[Hormopharm Cours ajusté]]-$C$2)/$C$2</f>
        <v>0.1832337883959046</v>
      </c>
      <c r="F156" s="106"/>
      <c r="G156" s="108">
        <f t="shared" si="5"/>
        <v>-3.3494352839321624E-2</v>
      </c>
      <c r="H156" s="108">
        <f t="shared" si="5"/>
        <v>-3.8148083925784455E-2</v>
      </c>
      <c r="I156" s="108"/>
      <c r="V156" s="12"/>
      <c r="W156" s="12"/>
    </row>
    <row r="157" spans="1:23">
      <c r="A157" s="13" t="s">
        <v>179</v>
      </c>
      <c r="B157" s="105">
        <v>3853.03</v>
      </c>
      <c r="C157" s="106">
        <v>36.311269655010562</v>
      </c>
      <c r="D157" s="675">
        <f>(Table2[[#This Row],[SBF 120 Cours ajusté*]]-$B$2)/$B$2</f>
        <v>0.34498888202378591</v>
      </c>
      <c r="E157" s="675">
        <f>(Table2[[#This Row],[Hormopharm Cours ajusté]]-$C$2)/$C$2</f>
        <v>0.26791808873720141</v>
      </c>
      <c r="F157" s="106"/>
      <c r="G157" s="108">
        <f t="shared" si="5"/>
        <v>-1.9480453381786278E-2</v>
      </c>
      <c r="H157" s="108">
        <f t="shared" si="5"/>
        <v>7.1570218135929231E-2</v>
      </c>
      <c r="I157" s="108"/>
      <c r="V157" s="12"/>
      <c r="W157" s="12"/>
    </row>
    <row r="158" spans="1:23">
      <c r="A158" s="13" t="s">
        <v>180</v>
      </c>
      <c r="B158" s="105">
        <v>3650.55</v>
      </c>
      <c r="C158" s="106">
        <v>33.922691856371742</v>
      </c>
      <c r="D158" s="675">
        <f>(Table2[[#This Row],[SBF 120 Cours ajusté*]]-$B$2)/$B$2</f>
        <v>0.27430857358285077</v>
      </c>
      <c r="E158" s="675">
        <f>(Table2[[#This Row],[Hormopharm Cours ajusté]]-$C$2)/$C$2</f>
        <v>0.18451365187713303</v>
      </c>
      <c r="F158" s="106"/>
      <c r="G158" s="108">
        <f t="shared" si="5"/>
        <v>-5.2550849591101033E-2</v>
      </c>
      <c r="H158" s="108">
        <f t="shared" si="5"/>
        <v>-6.5780619111709376E-2</v>
      </c>
      <c r="I158" s="108"/>
      <c r="V158" s="12"/>
      <c r="W158" s="12"/>
    </row>
    <row r="159" spans="1:23">
      <c r="A159" s="13" t="s">
        <v>181</v>
      </c>
      <c r="B159" s="105">
        <v>3525.87</v>
      </c>
      <c r="C159" s="106">
        <v>30.782720018774938</v>
      </c>
      <c r="D159" s="675">
        <f>(Table2[[#This Row],[SBF 120 Cours ajusté*]]-$B$2)/$B$2</f>
        <v>0.23078614738561745</v>
      </c>
      <c r="E159" s="675">
        <f>(Table2[[#This Row],[Hormopharm Cours ajusté]]-$C$2)/$C$2</f>
        <v>7.487201365187722E-2</v>
      </c>
      <c r="F159" s="106"/>
      <c r="G159" s="108">
        <f t="shared" si="5"/>
        <v>-3.415375765295648E-2</v>
      </c>
      <c r="H159" s="108">
        <f t="shared" si="5"/>
        <v>-9.2562578786241537E-2</v>
      </c>
      <c r="I159" s="108"/>
      <c r="V159" s="12"/>
      <c r="W159" s="12"/>
    </row>
    <row r="160" spans="1:23">
      <c r="A160" s="13" t="s">
        <v>182</v>
      </c>
      <c r="B160" s="105">
        <v>3604.2</v>
      </c>
      <c r="C160" s="106">
        <v>30.006890401314244</v>
      </c>
      <c r="D160" s="675">
        <f>(Table2[[#This Row],[SBF 120 Cours ajusté*]]-$B$2)/$B$2</f>
        <v>0.25812903833869155</v>
      </c>
      <c r="E160" s="675">
        <f>(Table2[[#This Row],[Hormopharm Cours ajusté]]-$C$2)/$C$2</f>
        <v>4.7781569965870255E-2</v>
      </c>
      <c r="F160" s="106"/>
      <c r="G160" s="108">
        <f t="shared" si="5"/>
        <v>2.2215793548826229E-2</v>
      </c>
      <c r="H160" s="108">
        <f t="shared" si="5"/>
        <v>-2.5203413375669906E-2</v>
      </c>
      <c r="I160" s="108"/>
      <c r="V160" s="12"/>
      <c r="W160" s="12"/>
    </row>
    <row r="161" spans="1:23">
      <c r="A161" s="13" t="s">
        <v>183</v>
      </c>
      <c r="B161" s="105">
        <v>3411.55</v>
      </c>
      <c r="C161" s="106">
        <v>28.669042478291484</v>
      </c>
      <c r="D161" s="675">
        <f>(Table2[[#This Row],[SBF 120 Cours ajusté*]]-$B$2)/$B$2</f>
        <v>0.19088011784705719</v>
      </c>
      <c r="E161" s="675">
        <f>(Table2[[#This Row],[Hormopharm Cours ajusté]]-$C$2)/$C$2</f>
        <v>1.0665529010239871E-3</v>
      </c>
      <c r="F161" s="106"/>
      <c r="G161" s="108">
        <f t="shared" si="5"/>
        <v>-5.3451528771988138E-2</v>
      </c>
      <c r="H161" s="108">
        <f t="shared" si="5"/>
        <v>-4.4584690553745789E-2</v>
      </c>
      <c r="I161" s="108"/>
      <c r="V161" s="12"/>
      <c r="W161" s="12"/>
    </row>
    <row r="162" spans="1:23">
      <c r="A162" s="13" t="s">
        <v>184</v>
      </c>
      <c r="B162" s="105">
        <v>3460.21</v>
      </c>
      <c r="C162" s="106">
        <v>28.809547054681996</v>
      </c>
      <c r="D162" s="675">
        <f>(Table2[[#This Row],[SBF 120 Cours ajusté*]]-$B$2)/$B$2</f>
        <v>0.20786601180565009</v>
      </c>
      <c r="E162" s="675">
        <f>(Table2[[#This Row],[Hormopharm Cours ajusté]]-$C$2)/$C$2</f>
        <v>5.9726962457336578E-3</v>
      </c>
      <c r="F162" s="106"/>
      <c r="G162" s="108">
        <f t="shared" si="5"/>
        <v>1.4263311398044834E-2</v>
      </c>
      <c r="H162" s="108">
        <f t="shared" si="5"/>
        <v>4.9009162582567519E-3</v>
      </c>
      <c r="I162" s="108"/>
      <c r="V162" s="12"/>
      <c r="W162" s="12"/>
    </row>
    <row r="163" spans="1:23">
      <c r="A163" s="13" t="s">
        <v>185</v>
      </c>
      <c r="B163" s="105">
        <v>3499.3</v>
      </c>
      <c r="C163" s="106">
        <v>28.650715794414456</v>
      </c>
      <c r="D163" s="675">
        <f>(Table2[[#This Row],[SBF 120 Cours ajusté*]]-$B$2)/$B$2</f>
        <v>0.22151127680444585</v>
      </c>
      <c r="E163" s="675">
        <f>(Table2[[#This Row],[Hormopharm Cours ajusté]]-$C$2)/$C$2</f>
        <v>4.2662116040952043E-4</v>
      </c>
      <c r="F163" s="106"/>
      <c r="G163" s="108">
        <f t="shared" si="5"/>
        <v>1.129700220506852E-2</v>
      </c>
      <c r="H163" s="108">
        <f t="shared" si="5"/>
        <v>-5.5131467345206873E-3</v>
      </c>
      <c r="I163" s="108"/>
      <c r="V163" s="12"/>
      <c r="W163" s="12"/>
    </row>
    <row r="164" spans="1:23">
      <c r="A164" s="13" t="s">
        <v>186</v>
      </c>
      <c r="B164" s="105">
        <v>3473.43</v>
      </c>
      <c r="C164" s="106">
        <v>27.06240319173903</v>
      </c>
      <c r="D164" s="675">
        <f>(Table2[[#This Row],[SBF 120 Cours ajusté*]]-$B$2)/$B$2</f>
        <v>0.21248075734886004</v>
      </c>
      <c r="E164" s="675">
        <f>(Table2[[#This Row],[Hormopharm Cours ajusté]]-$C$2)/$C$2</f>
        <v>-5.5034129692832723E-2</v>
      </c>
      <c r="F164" s="106"/>
      <c r="G164" s="108">
        <f t="shared" si="5"/>
        <v>-7.3929071528592415E-3</v>
      </c>
      <c r="H164" s="108">
        <f t="shared" si="5"/>
        <v>-5.5437100213219542E-2</v>
      </c>
      <c r="I164" s="108"/>
      <c r="V164" s="12"/>
      <c r="W164" s="12"/>
    </row>
    <row r="165" spans="1:23">
      <c r="A165" s="110">
        <v>39511</v>
      </c>
      <c r="B165" s="105">
        <v>3350.18</v>
      </c>
      <c r="C165" s="106">
        <v>26.176613471016196</v>
      </c>
      <c r="D165" s="675">
        <f>(Table2[[#This Row],[SBF 120 Cours ajusté*]]-$B$2)/$B$2</f>
        <v>0.16945750559389536</v>
      </c>
      <c r="E165" s="675">
        <f>(Table2[[#This Row],[Hormopharm Cours ajusté]]-$C$2)/$C$2</f>
        <v>-8.5964163822525502E-2</v>
      </c>
      <c r="F165" s="106"/>
      <c r="G165" s="108">
        <f t="shared" si="5"/>
        <v>-3.5483657364622292E-2</v>
      </c>
      <c r="H165" s="108">
        <f t="shared" si="5"/>
        <v>-3.2731376975169237E-2</v>
      </c>
      <c r="I165" s="108"/>
      <c r="V165" s="12"/>
      <c r="W165" s="12"/>
    </row>
    <row r="166" spans="1:23">
      <c r="A166" s="110">
        <v>39517</v>
      </c>
      <c r="B166" s="105">
        <v>3329.61</v>
      </c>
      <c r="C166" s="106">
        <v>25.266388171790659</v>
      </c>
      <c r="D166" s="675">
        <f>(Table2[[#This Row],[SBF 120 Cours ajusté*]]-$B$2)/$B$2</f>
        <v>0.16227707323203239</v>
      </c>
      <c r="E166" s="675">
        <f>(Table2[[#This Row],[Hormopharm Cours ajusté]]-$C$2)/$C$2</f>
        <v>-0.11774744027303756</v>
      </c>
      <c r="F166" s="106"/>
      <c r="G166" s="108">
        <f t="shared" si="5"/>
        <v>-6.1399685987020723E-3</v>
      </c>
      <c r="H166" s="108">
        <f t="shared" si="5"/>
        <v>-3.4772462077012962E-2</v>
      </c>
      <c r="I166" s="108"/>
      <c r="V166" s="12"/>
      <c r="W166" s="12"/>
    </row>
    <row r="167" spans="1:23">
      <c r="A167" s="110">
        <v>39525</v>
      </c>
      <c r="B167" s="105">
        <v>3278.66</v>
      </c>
      <c r="C167" s="106">
        <v>25.626812954705471</v>
      </c>
      <c r="D167" s="675">
        <f>(Table2[[#This Row],[SBF 120 Cours ajusté*]]-$B$2)/$B$2</f>
        <v>0.14449180201973652</v>
      </c>
      <c r="E167" s="675">
        <f>(Table2[[#This Row],[Hormopharm Cours ajusté]]-$C$2)/$C$2</f>
        <v>-0.10516211604095553</v>
      </c>
      <c r="F167" s="106"/>
      <c r="G167" s="108">
        <f t="shared" si="5"/>
        <v>-1.5302092437252493E-2</v>
      </c>
      <c r="H167" s="108">
        <f t="shared" si="5"/>
        <v>1.4264990328820252E-2</v>
      </c>
      <c r="I167" s="108"/>
      <c r="V167" s="12"/>
      <c r="W167" s="12"/>
    </row>
    <row r="168" spans="1:23">
      <c r="A168" s="110">
        <v>39532</v>
      </c>
      <c r="B168" s="105">
        <v>3400.42</v>
      </c>
      <c r="C168" s="106">
        <v>26.262137995775642</v>
      </c>
      <c r="D168" s="675">
        <f>(Table2[[#This Row],[SBF 120 Cours ajusté*]]-$B$2)/$B$2</f>
        <v>0.18699493495023967</v>
      </c>
      <c r="E168" s="675">
        <f>(Table2[[#This Row],[Hormopharm Cours ajusté]]-$C$2)/$C$2</f>
        <v>-8.2977815699658605E-2</v>
      </c>
      <c r="F168" s="106"/>
      <c r="G168" s="108">
        <f t="shared" si="5"/>
        <v>3.7137123092970979E-2</v>
      </c>
      <c r="H168" s="108">
        <f t="shared" si="5"/>
        <v>2.4791418355184735E-2</v>
      </c>
      <c r="I168" s="108"/>
      <c r="V168" s="12"/>
      <c r="W168" s="12"/>
    </row>
    <row r="169" spans="1:23">
      <c r="A169" s="110">
        <v>39538</v>
      </c>
      <c r="B169" s="105">
        <v>3546.42</v>
      </c>
      <c r="C169" s="106">
        <v>27.410610185402486</v>
      </c>
      <c r="D169" s="675">
        <f>(Table2[[#This Row],[SBF 120 Cours ajusté*]]-$B$2)/$B$2</f>
        <v>0.23795959828674956</v>
      </c>
      <c r="E169" s="675">
        <f>(Table2[[#This Row],[Hormopharm Cours ajusté]]-$C$2)/$C$2</f>
        <v>-4.2875426621160465E-2</v>
      </c>
      <c r="F169" s="106"/>
      <c r="G169" s="108">
        <f t="shared" si="5"/>
        <v>4.2935872627498956E-2</v>
      </c>
      <c r="H169" s="108">
        <f t="shared" si="5"/>
        <v>4.3731100255873297E-2</v>
      </c>
      <c r="I169" s="108"/>
      <c r="V169" s="12"/>
      <c r="W169" s="12"/>
    </row>
    <row r="170" spans="1:23">
      <c r="A170" s="13" t="s">
        <v>187</v>
      </c>
      <c r="B170" s="105">
        <v>3471.62</v>
      </c>
      <c r="C170" s="106">
        <v>26.640889462567475</v>
      </c>
      <c r="D170" s="675">
        <f>(Table2[[#This Row],[SBF 120 Cours ajusté*]]-$B$2)/$B$2</f>
        <v>0.21184893515270195</v>
      </c>
      <c r="E170" s="675">
        <f>(Table2[[#This Row],[Hormopharm Cours ajusté]]-$C$2)/$C$2</f>
        <v>-6.9752559726962357E-2</v>
      </c>
      <c r="F170" s="106"/>
      <c r="G170" s="108">
        <f t="shared" si="5"/>
        <v>-2.1091692467333306E-2</v>
      </c>
      <c r="H170" s="108">
        <f t="shared" si="5"/>
        <v>-2.8081123244929639E-2</v>
      </c>
      <c r="I170" s="108"/>
      <c r="V170" s="12"/>
      <c r="W170" s="12"/>
    </row>
    <row r="171" spans="1:23">
      <c r="A171" s="13" t="s">
        <v>188</v>
      </c>
      <c r="B171" s="105">
        <v>3588.58</v>
      </c>
      <c r="C171" s="106">
        <v>27.154036611124155</v>
      </c>
      <c r="D171" s="675">
        <f>(Table2[[#This Row],[SBF 120 Cours ajusté*]]-$B$2)/$B$2</f>
        <v>0.2526765175077581</v>
      </c>
      <c r="E171" s="675">
        <f>(Table2[[#This Row],[Hormopharm Cours ajusté]]-$C$2)/$C$2</f>
        <v>-5.1834470989760885E-2</v>
      </c>
      <c r="F171" s="106"/>
      <c r="G171" s="108">
        <f t="shared" si="5"/>
        <v>3.3690323249664436E-2</v>
      </c>
      <c r="H171" s="108">
        <f t="shared" si="5"/>
        <v>1.9261637239165439E-2</v>
      </c>
      <c r="I171" s="108"/>
      <c r="V171" s="12"/>
      <c r="W171" s="12"/>
    </row>
    <row r="172" spans="1:23">
      <c r="A172" s="13" t="s">
        <v>189</v>
      </c>
      <c r="B172" s="105">
        <v>3600.85</v>
      </c>
      <c r="C172" s="106">
        <v>28.076479699601034</v>
      </c>
      <c r="D172" s="675">
        <f>(Table2[[#This Row],[SBF 120 Cours ajusté*]]-$B$2)/$B$2</f>
        <v>0.25695964366624424</v>
      </c>
      <c r="E172" s="675">
        <f>(Table2[[#This Row],[Hormopharm Cours ajusté]]-$C$2)/$C$2</f>
        <v>-1.9624573378839553E-2</v>
      </c>
      <c r="F172" s="106"/>
      <c r="G172" s="108">
        <f t="shared" si="5"/>
        <v>3.4191797312585989E-3</v>
      </c>
      <c r="H172" s="108">
        <f t="shared" si="5"/>
        <v>3.3970753655792843E-2</v>
      </c>
      <c r="I172" s="108"/>
      <c r="V172" s="12"/>
      <c r="W172" s="12"/>
    </row>
    <row r="173" spans="1:23">
      <c r="A173" s="13" t="s">
        <v>190</v>
      </c>
      <c r="B173" s="105">
        <v>3671.72</v>
      </c>
      <c r="C173" s="106">
        <v>28.326944379253696</v>
      </c>
      <c r="D173" s="675">
        <f>(Table2[[#This Row],[SBF 120 Cours ajusté*]]-$B$2)/$B$2</f>
        <v>0.2816984497666446</v>
      </c>
      <c r="E173" s="675">
        <f>(Table2[[#This Row],[Hormopharm Cours ajusté]]-$C$2)/$C$2</f>
        <v>-1.0878839590443702E-2</v>
      </c>
      <c r="F173" s="106"/>
      <c r="G173" s="108">
        <f t="shared" si="5"/>
        <v>1.9681464098754431E-2</v>
      </c>
      <c r="H173" s="108">
        <f t="shared" si="5"/>
        <v>8.9208006962575599E-3</v>
      </c>
      <c r="I173" s="108"/>
      <c r="V173" s="12"/>
      <c r="W173" s="12"/>
    </row>
    <row r="174" spans="1:23">
      <c r="A174" s="110">
        <v>39573</v>
      </c>
      <c r="B174" s="105">
        <v>3607.63</v>
      </c>
      <c r="C174" s="106">
        <v>26.341553625909413</v>
      </c>
      <c r="D174" s="675">
        <f>(Table2[[#This Row],[SBF 120 Cours ajusté*]]-$B$2)/$B$2</f>
        <v>0.25932635885406308</v>
      </c>
      <c r="E174" s="675">
        <f>(Table2[[#This Row],[Hormopharm Cours ajusté]]-$C$2)/$C$2</f>
        <v>-8.0204778156996545E-2</v>
      </c>
      <c r="F174" s="106"/>
      <c r="G174" s="108">
        <f t="shared" si="5"/>
        <v>-1.7455034697634812E-2</v>
      </c>
      <c r="H174" s="108">
        <f t="shared" si="5"/>
        <v>-7.0088419236575314E-2</v>
      </c>
      <c r="I174" s="108"/>
      <c r="V174" s="12"/>
      <c r="W174" s="12"/>
    </row>
    <row r="175" spans="1:23">
      <c r="A175" s="110">
        <v>39580</v>
      </c>
      <c r="B175" s="105">
        <v>3691.01</v>
      </c>
      <c r="C175" s="106">
        <v>27.496134710161936</v>
      </c>
      <c r="D175" s="675">
        <f>(Table2[[#This Row],[SBF 120 Cours ajusté*]]-$B$2)/$B$2</f>
        <v>0.28843206864172199</v>
      </c>
      <c r="E175" s="675">
        <f>(Table2[[#This Row],[Hormopharm Cours ajusté]]-$C$2)/$C$2</f>
        <v>-3.988907849829345E-2</v>
      </c>
      <c r="F175" s="106"/>
      <c r="G175" s="108">
        <f t="shared" si="5"/>
        <v>2.3112126243544962E-2</v>
      </c>
      <c r="H175" s="108">
        <f t="shared" si="5"/>
        <v>4.3831168831168853E-2</v>
      </c>
      <c r="I175" s="108"/>
      <c r="V175" s="12"/>
      <c r="W175" s="12"/>
    </row>
    <row r="176" spans="1:23">
      <c r="A176" s="110">
        <v>39587</v>
      </c>
      <c r="B176" s="105">
        <v>3581.15</v>
      </c>
      <c r="C176" s="106">
        <v>26.928007509974183</v>
      </c>
      <c r="D176" s="675">
        <f>(Table2[[#This Row],[SBF 120 Cours ajusté*]]-$B$2)/$B$2</f>
        <v>0.25008290484618101</v>
      </c>
      <c r="E176" s="675">
        <f>(Table2[[#This Row],[Hormopharm Cours ajusté]]-$C$2)/$C$2</f>
        <v>-5.9726962457337947E-2</v>
      </c>
      <c r="F176" s="106"/>
      <c r="G176" s="108">
        <f t="shared" si="5"/>
        <v>-2.976421087994888E-2</v>
      </c>
      <c r="H176" s="108">
        <f t="shared" si="5"/>
        <v>-2.0662075094423596E-2</v>
      </c>
      <c r="I176" s="108"/>
      <c r="V176" s="12"/>
      <c r="W176" s="12"/>
    </row>
    <row r="177" spans="1:23">
      <c r="A177" s="110">
        <v>39594</v>
      </c>
      <c r="B177" s="105">
        <v>3637.74</v>
      </c>
      <c r="C177" s="106">
        <v>27.758817179065943</v>
      </c>
      <c r="D177" s="675">
        <f>(Table2[[#This Row],[SBF 120 Cours ajusté*]]-$B$2)/$B$2</f>
        <v>0.26983694798462676</v>
      </c>
      <c r="E177" s="675">
        <f>(Table2[[#This Row],[Hormopharm Cours ajusté]]-$C$2)/$C$2</f>
        <v>-3.0716723549488199E-2</v>
      </c>
      <c r="F177" s="106"/>
      <c r="G177" s="108">
        <f t="shared" si="5"/>
        <v>1.5802186448487132E-2</v>
      </c>
      <c r="H177" s="108">
        <f t="shared" si="5"/>
        <v>3.0852994555353817E-2</v>
      </c>
      <c r="I177" s="108"/>
      <c r="V177" s="12"/>
      <c r="W177" s="12"/>
    </row>
    <row r="178" spans="1:23">
      <c r="A178" s="110">
        <v>39601</v>
      </c>
      <c r="B178" s="105">
        <v>3489.26</v>
      </c>
      <c r="C178" s="106">
        <v>25.987237737620276</v>
      </c>
      <c r="D178" s="675">
        <f>(Table2[[#This Row],[SBF 120 Cours ajusté*]]-$B$2)/$B$2</f>
        <v>0.21800658351746943</v>
      </c>
      <c r="E178" s="675">
        <f>(Table2[[#This Row],[Hormopharm Cours ajusté]]-$C$2)/$C$2</f>
        <v>-9.2576791808873751E-2</v>
      </c>
      <c r="F178" s="106"/>
      <c r="G178" s="108">
        <f t="shared" si="5"/>
        <v>-4.0816550935470805E-2</v>
      </c>
      <c r="H178" s="108">
        <f t="shared" si="5"/>
        <v>-6.3820422535211155E-2</v>
      </c>
      <c r="I178" s="108"/>
      <c r="V178" s="12"/>
      <c r="W178" s="12"/>
    </row>
    <row r="179" spans="1:23">
      <c r="A179" s="110">
        <v>39608</v>
      </c>
      <c r="B179" s="105">
        <v>3404.39</v>
      </c>
      <c r="C179" s="106">
        <v>24.960943440506924</v>
      </c>
      <c r="D179" s="675">
        <f>(Table2[[#This Row],[SBF 120 Cours ajusté*]]-$B$2)/$B$2</f>
        <v>0.18838075490534881</v>
      </c>
      <c r="E179" s="675">
        <f>(Table2[[#This Row],[Hormopharm Cours ajusté]]-$C$2)/$C$2</f>
        <v>-0.12841296928327645</v>
      </c>
      <c r="F179" s="106"/>
      <c r="G179" s="108">
        <f t="shared" si="5"/>
        <v>-2.4323208932553131E-2</v>
      </c>
      <c r="H179" s="108">
        <f t="shared" si="5"/>
        <v>-3.9492242595204473E-2</v>
      </c>
      <c r="I179" s="108"/>
      <c r="V179" s="12"/>
      <c r="W179" s="12"/>
    </row>
    <row r="180" spans="1:23">
      <c r="A180" s="110">
        <v>39615</v>
      </c>
      <c r="B180" s="105">
        <v>3278.86</v>
      </c>
      <c r="C180" s="106">
        <v>24.020173668153017</v>
      </c>
      <c r="D180" s="675">
        <f>(Table2[[#This Row],[SBF 120 Cours ajusté*]]-$B$2)/$B$2</f>
        <v>0.14456161662704692</v>
      </c>
      <c r="E180" s="675">
        <f>(Table2[[#This Row],[Hormopharm Cours ajusté]]-$C$2)/$C$2</f>
        <v>-0.16126279863481224</v>
      </c>
      <c r="F180" s="106"/>
      <c r="G180" s="108">
        <f t="shared" si="5"/>
        <v>-3.68729787127796E-2</v>
      </c>
      <c r="H180" s="108">
        <f t="shared" si="5"/>
        <v>-3.7689672050905489E-2</v>
      </c>
      <c r="I180" s="108"/>
      <c r="V180" s="12"/>
      <c r="W180" s="12"/>
    </row>
    <row r="181" spans="1:23">
      <c r="A181" s="110">
        <v>39622</v>
      </c>
      <c r="B181" s="105">
        <v>3190.89</v>
      </c>
      <c r="C181" s="106">
        <v>24.423360713447547</v>
      </c>
      <c r="D181" s="675">
        <f>(Table2[[#This Row],[SBF 120 Cours ajusté*]]-$B$2)/$B$2</f>
        <v>0.11385366160161685</v>
      </c>
      <c r="E181" s="675">
        <f>(Table2[[#This Row],[Hormopharm Cours ajusté]]-$C$2)/$C$2</f>
        <v>-0.14718430034129695</v>
      </c>
      <c r="F181" s="106"/>
      <c r="G181" s="108">
        <f t="shared" si="5"/>
        <v>-2.6829446819931393E-2</v>
      </c>
      <c r="H181" s="108">
        <f t="shared" si="5"/>
        <v>1.6785350966429215E-2</v>
      </c>
      <c r="I181" s="108"/>
      <c r="V181" s="12"/>
      <c r="W181" s="12"/>
    </row>
    <row r="182" spans="1:23">
      <c r="A182" s="110">
        <v>39629</v>
      </c>
      <c r="B182" s="105">
        <v>3085.75</v>
      </c>
      <c r="C182" s="106">
        <v>25.889495423609485</v>
      </c>
      <c r="D182" s="675">
        <f>(Table2[[#This Row],[SBF 120 Cours ajusté*]]-$B$2)/$B$2</f>
        <v>7.7152122538598739E-2</v>
      </c>
      <c r="E182" s="675">
        <f>(Table2[[#This Row],[Hormopharm Cours ajusté]]-$C$2)/$C$2</f>
        <v>-9.598976109215003E-2</v>
      </c>
      <c r="F182" s="106"/>
      <c r="G182" s="108">
        <f t="shared" si="5"/>
        <v>-3.2950054686936833E-2</v>
      </c>
      <c r="H182" s="108">
        <f t="shared" si="5"/>
        <v>6.0030015007503941E-2</v>
      </c>
      <c r="I182" s="108"/>
      <c r="V182" s="12"/>
      <c r="W182" s="12"/>
    </row>
    <row r="183" spans="1:23">
      <c r="A183" s="13" t="s">
        <v>191</v>
      </c>
      <c r="B183" s="105">
        <v>2962.61</v>
      </c>
      <c r="C183" s="106">
        <v>25.419110537432527</v>
      </c>
      <c r="D183" s="675">
        <f>(Table2[[#This Row],[SBF 120 Cours ajusté*]]-$B$2)/$B$2</f>
        <v>3.4167268817654757E-2</v>
      </c>
      <c r="E183" s="675">
        <f>(Table2[[#This Row],[Hormopharm Cours ajusté]]-$C$2)/$C$2</f>
        <v>-0.11241467576791812</v>
      </c>
      <c r="F183" s="106"/>
      <c r="G183" s="108">
        <f t="shared" si="5"/>
        <v>-3.9906019606254513E-2</v>
      </c>
      <c r="H183" s="108">
        <f t="shared" si="5"/>
        <v>-1.8168947616800563E-2</v>
      </c>
      <c r="I183" s="108"/>
      <c r="V183" s="12"/>
      <c r="W183" s="12"/>
    </row>
    <row r="184" spans="1:23">
      <c r="A184" s="13" t="s">
        <v>192</v>
      </c>
      <c r="B184" s="105">
        <v>3109.44</v>
      </c>
      <c r="C184" s="106">
        <v>26.46984041304858</v>
      </c>
      <c r="D184" s="675">
        <f>(Table2[[#This Row],[SBF 120 Cours ajusté*]]-$B$2)/$B$2</f>
        <v>8.5421662774502319E-2</v>
      </c>
      <c r="E184" s="675">
        <f>(Table2[[#This Row],[Hormopharm Cours ajusté]]-$C$2)/$C$2</f>
        <v>-7.5725255972696262E-2</v>
      </c>
      <c r="F184" s="106"/>
      <c r="G184" s="108">
        <f t="shared" si="5"/>
        <v>4.9561028957574547E-2</v>
      </c>
      <c r="H184" s="108">
        <f t="shared" si="5"/>
        <v>4.1336217255467454E-2</v>
      </c>
      <c r="I184" s="108"/>
      <c r="V184" s="12"/>
      <c r="W184" s="12"/>
    </row>
    <row r="185" spans="1:23">
      <c r="A185" s="13" t="s">
        <v>193</v>
      </c>
      <c r="B185" s="105">
        <v>3160.55</v>
      </c>
      <c r="C185" s="106">
        <v>27.343412344520065</v>
      </c>
      <c r="D185" s="675">
        <f>(Table2[[#This Row],[SBF 120 Cours ajusté*]]-$B$2)/$B$2</f>
        <v>0.10326278567264635</v>
      </c>
      <c r="E185" s="675">
        <f>(Table2[[#This Row],[Hormopharm Cours ajusté]]-$C$2)/$C$2</f>
        <v>-4.5221843003413011E-2</v>
      </c>
      <c r="F185" s="106"/>
      <c r="G185" s="108">
        <f t="shared" si="5"/>
        <v>1.6437043326129504E-2</v>
      </c>
      <c r="H185" s="108">
        <f t="shared" si="5"/>
        <v>3.3002538656819728E-2</v>
      </c>
      <c r="I185" s="108"/>
      <c r="V185" s="12"/>
      <c r="W185" s="12"/>
    </row>
    <row r="186" spans="1:23">
      <c r="A186" s="13" t="s">
        <v>194</v>
      </c>
      <c r="B186" s="105">
        <v>3114.94</v>
      </c>
      <c r="C186" s="106">
        <v>26.408751466791831</v>
      </c>
      <c r="D186" s="675">
        <f>(Table2[[#This Row],[SBF 120 Cours ajusté*]]-$B$2)/$B$2</f>
        <v>8.7341564475535233E-2</v>
      </c>
      <c r="E186" s="675">
        <f>(Table2[[#This Row],[Hormopharm Cours ajusté]]-$C$2)/$C$2</f>
        <v>-7.7858361774744117E-2</v>
      </c>
      <c r="F186" s="106"/>
      <c r="G186" s="108">
        <f t="shared" si="5"/>
        <v>-1.4431032573444535E-2</v>
      </c>
      <c r="H186" s="108">
        <f t="shared" si="5"/>
        <v>-3.418230563002686E-2</v>
      </c>
      <c r="I186" s="108"/>
      <c r="V186" s="12"/>
      <c r="W186" s="12"/>
    </row>
    <row r="187" spans="1:23">
      <c r="A187" s="110">
        <v>39664</v>
      </c>
      <c r="B187" s="105">
        <v>3243.92</v>
      </c>
      <c r="C187" s="106">
        <v>28.076479699601034</v>
      </c>
      <c r="D187" s="675">
        <f>(Table2[[#This Row],[SBF 120 Cours ajusté*]]-$B$2)/$B$2</f>
        <v>0.13236500472993967</v>
      </c>
      <c r="E187" s="675">
        <f>(Table2[[#This Row],[Hormopharm Cours ajusté]]-$C$2)/$C$2</f>
        <v>-1.9624573378839553E-2</v>
      </c>
      <c r="F187" s="106"/>
      <c r="G187" s="108">
        <f t="shared" si="5"/>
        <v>4.1406897083089887E-2</v>
      </c>
      <c r="H187" s="108">
        <f t="shared" si="5"/>
        <v>6.3150589868147269E-2</v>
      </c>
      <c r="I187" s="108"/>
      <c r="V187" s="12"/>
      <c r="W187" s="12"/>
    </row>
    <row r="188" spans="1:23">
      <c r="A188" s="110">
        <v>39671</v>
      </c>
      <c r="B188" s="105">
        <v>3222.26</v>
      </c>
      <c r="C188" s="106">
        <v>28.907289368692794</v>
      </c>
      <c r="D188" s="675">
        <f>(Table2[[#This Row],[SBF 120 Cours ajusté*]]-$B$2)/$B$2</f>
        <v>0.12480408275823557</v>
      </c>
      <c r="E188" s="675">
        <f>(Table2[[#This Row],[Hormopharm Cours ajusté]]-$C$2)/$C$2</f>
        <v>9.3856655290101947E-3</v>
      </c>
      <c r="F188" s="106"/>
      <c r="G188" s="108">
        <f t="shared" si="5"/>
        <v>-6.6771067103997186E-3</v>
      </c>
      <c r="H188" s="108">
        <f t="shared" si="5"/>
        <v>2.9590948651000783E-2</v>
      </c>
      <c r="I188" s="108"/>
      <c r="V188" s="12"/>
      <c r="W188" s="12"/>
    </row>
    <row r="189" spans="1:23">
      <c r="A189" s="110">
        <v>39678</v>
      </c>
      <c r="B189" s="105">
        <v>3181.3</v>
      </c>
      <c r="C189" s="106">
        <v>27.6244214973011</v>
      </c>
      <c r="D189" s="675">
        <f>(Table2[[#This Row],[SBF 120 Cours ajusté*]]-$B$2)/$B$2</f>
        <v>0.11050605118108868</v>
      </c>
      <c r="E189" s="675">
        <f>(Table2[[#This Row],[Hormopharm Cours ajusté]]-$C$2)/$C$2</f>
        <v>-3.5409556313993298E-2</v>
      </c>
      <c r="F189" s="106"/>
      <c r="G189" s="108">
        <f t="shared" si="5"/>
        <v>-1.2711575105671185E-2</v>
      </c>
      <c r="H189" s="108">
        <f t="shared" si="5"/>
        <v>-4.4378698224852152E-2</v>
      </c>
      <c r="I189" s="108"/>
      <c r="V189" s="12"/>
      <c r="W189" s="12"/>
    </row>
    <row r="190" spans="1:23">
      <c r="A190" s="110">
        <v>39685</v>
      </c>
      <c r="B190" s="105">
        <v>3243.16</v>
      </c>
      <c r="C190" s="106">
        <v>28.16200422436048</v>
      </c>
      <c r="D190" s="675">
        <f>(Table2[[#This Row],[SBF 120 Cours ajusté*]]-$B$2)/$B$2</f>
        <v>0.13209970922216049</v>
      </c>
      <c r="E190" s="675">
        <f>(Table2[[#This Row],[Hormopharm Cours ajusté]]-$C$2)/$C$2</f>
        <v>-1.6638225255972663E-2</v>
      </c>
      <c r="F190" s="106"/>
      <c r="G190" s="108">
        <f t="shared" si="5"/>
        <v>1.9444881023480864E-2</v>
      </c>
      <c r="H190" s="108">
        <f t="shared" si="5"/>
        <v>1.9460415745245634E-2</v>
      </c>
      <c r="I190" s="108"/>
      <c r="V190" s="12"/>
      <c r="W190" s="12"/>
    </row>
    <row r="191" spans="1:23">
      <c r="A191" s="13" t="s">
        <v>195</v>
      </c>
      <c r="B191" s="105">
        <v>3041.89</v>
      </c>
      <c r="C191" s="106">
        <v>26.530929359305329</v>
      </c>
      <c r="D191" s="675">
        <f>(Table2[[#This Row],[SBF 120 Cours ajusté*]]-$B$2)/$B$2</f>
        <v>6.1841779155452643E-2</v>
      </c>
      <c r="E191" s="675">
        <f>(Table2[[#This Row],[Hormopharm Cours ajusté]]-$C$2)/$C$2</f>
        <v>-7.3592150170648421E-2</v>
      </c>
      <c r="F191" s="106"/>
      <c r="G191" s="108">
        <f t="shared" si="5"/>
        <v>-6.2059842869300309E-2</v>
      </c>
      <c r="H191" s="108">
        <f t="shared" si="5"/>
        <v>-5.7917570498915383E-2</v>
      </c>
      <c r="I191" s="108"/>
      <c r="V191" s="12"/>
      <c r="W191" s="12"/>
    </row>
    <row r="192" spans="1:23">
      <c r="A192" s="13" t="s">
        <v>196</v>
      </c>
      <c r="B192" s="105">
        <v>3131.35</v>
      </c>
      <c r="C192" s="106">
        <v>29.286040835484627</v>
      </c>
      <c r="D192" s="675">
        <f>(Table2[[#This Row],[SBF 120 Cours ajusté*]]-$B$2)/$B$2</f>
        <v>9.3069853005344275E-2</v>
      </c>
      <c r="E192" s="675">
        <f>(Table2[[#This Row],[Hormopharm Cours ajusté]]-$C$2)/$C$2</f>
        <v>2.2610921501706443E-2</v>
      </c>
      <c r="F192" s="106"/>
      <c r="G192" s="108">
        <f t="shared" si="5"/>
        <v>2.9409347478048201E-2</v>
      </c>
      <c r="H192" s="108">
        <f t="shared" si="5"/>
        <v>0.1038452682477549</v>
      </c>
      <c r="I192" s="108"/>
      <c r="V192" s="12"/>
      <c r="W192" s="12"/>
    </row>
    <row r="193" spans="1:23">
      <c r="A193" s="13" t="s">
        <v>197</v>
      </c>
      <c r="B193" s="105">
        <v>3130.03</v>
      </c>
      <c r="C193" s="106">
        <v>27.551114761793006</v>
      </c>
      <c r="D193" s="675">
        <f>(Table2[[#This Row],[SBF 120 Cours ajusté*]]-$B$2)/$B$2</f>
        <v>9.2609076597096468E-2</v>
      </c>
      <c r="E193" s="675">
        <f>(Table2[[#This Row],[Hormopharm Cours ajusté]]-$C$2)/$C$2</f>
        <v>-3.7969283276450543E-2</v>
      </c>
      <c r="F193" s="106"/>
      <c r="G193" s="108">
        <f t="shared" si="5"/>
        <v>-4.2154342376282081E-4</v>
      </c>
      <c r="H193" s="108">
        <f t="shared" si="5"/>
        <v>-5.924071756362119E-2</v>
      </c>
      <c r="I193" s="108"/>
      <c r="V193" s="12"/>
      <c r="W193" s="12"/>
    </row>
    <row r="194" spans="1:23">
      <c r="A194" s="13" t="s">
        <v>198</v>
      </c>
      <c r="B194" s="105">
        <v>3003.59</v>
      </c>
      <c r="C194" s="106">
        <v>27.06240319173903</v>
      </c>
      <c r="D194" s="675">
        <f>(Table2[[#This Row],[SBF 120 Cours ajusté*]]-$B$2)/$B$2</f>
        <v>4.8472281855532678E-2</v>
      </c>
      <c r="E194" s="675">
        <f>(Table2[[#This Row],[Hormopharm Cours ajusté]]-$C$2)/$C$2</f>
        <v>-5.5034129692832723E-2</v>
      </c>
      <c r="F194" s="106"/>
      <c r="G194" s="108">
        <f t="shared" si="5"/>
        <v>-4.0395778954195341E-2</v>
      </c>
      <c r="H194" s="108">
        <f t="shared" si="5"/>
        <v>-1.7738359201773763E-2</v>
      </c>
      <c r="I194" s="108"/>
      <c r="V194" s="12"/>
      <c r="W194" s="12"/>
    </row>
    <row r="195" spans="1:23">
      <c r="A195" s="13" t="s">
        <v>199</v>
      </c>
      <c r="B195" s="105">
        <v>2936.87</v>
      </c>
      <c r="C195" s="106">
        <v>28.717913635296881</v>
      </c>
      <c r="D195" s="675">
        <f>(Table2[[#This Row],[SBF 120 Cours ajusté*]]-$B$2)/$B$2</f>
        <v>2.5182128856820668E-2</v>
      </c>
      <c r="E195" s="675">
        <f>(Table2[[#This Row],[Hormopharm Cours ajusté]]-$C$2)/$C$2</f>
        <v>2.7730375426621929E-3</v>
      </c>
      <c r="F195" s="106"/>
      <c r="G195" s="108">
        <f t="shared" si="5"/>
        <v>-2.2213417943194726E-2</v>
      </c>
      <c r="H195" s="108">
        <f t="shared" si="5"/>
        <v>6.1173814898419901E-2</v>
      </c>
      <c r="I195" s="108"/>
      <c r="V195" s="12"/>
      <c r="W195" s="12"/>
    </row>
    <row r="196" spans="1:23">
      <c r="A196" s="13" t="s">
        <v>200</v>
      </c>
      <c r="B196" s="105">
        <v>2291.04</v>
      </c>
      <c r="C196" s="106">
        <v>21.967585073926308</v>
      </c>
      <c r="D196" s="675">
        <f>(Table2[[#This Row],[SBF 120 Cours ajusté*]]-$B$2)/$B$2</f>
        <v>-0.20025971033919429</v>
      </c>
      <c r="E196" s="675">
        <f>(Table2[[#This Row],[Hormopharm Cours ajusté]]-$C$2)/$C$2</f>
        <v>-0.23293515358361774</v>
      </c>
      <c r="F196" s="106"/>
      <c r="G196" s="108">
        <f t="shared" ref="G196:H208" si="6">(B196-B195)/B195</f>
        <v>-0.21990418370578199</v>
      </c>
      <c r="H196" s="108">
        <f t="shared" si="6"/>
        <v>-0.2350563709848969</v>
      </c>
      <c r="I196" s="108"/>
      <c r="V196" s="12"/>
      <c r="W196" s="12"/>
    </row>
    <row r="197" spans="1:23">
      <c r="A197" s="13" t="s">
        <v>201</v>
      </c>
      <c r="B197" s="105">
        <v>2392.0300000000002</v>
      </c>
      <c r="C197" s="106">
        <v>25.748990847218963</v>
      </c>
      <c r="D197" s="675">
        <f>(Table2[[#This Row],[SBF 120 Cours ajusté*]]-$B$2)/$B$2</f>
        <v>-0.16500682437786451</v>
      </c>
      <c r="E197" s="675">
        <f>(Table2[[#This Row],[Hormopharm Cours ajusté]]-$C$2)/$C$2</f>
        <v>-0.10089590443686008</v>
      </c>
      <c r="F197" s="106"/>
      <c r="G197" s="108">
        <f t="shared" si="6"/>
        <v>4.4080417626929359E-2</v>
      </c>
      <c r="H197" s="108">
        <f t="shared" si="6"/>
        <v>0.1721357063403782</v>
      </c>
      <c r="I197" s="108"/>
      <c r="V197" s="12"/>
      <c r="W197" s="12"/>
    </row>
    <row r="198" spans="1:23">
      <c r="A198" s="13" t="s">
        <v>202</v>
      </c>
      <c r="B198" s="105">
        <v>2286.39</v>
      </c>
      <c r="C198" s="106">
        <v>25.730664163341938</v>
      </c>
      <c r="D198" s="675">
        <f>(Table2[[#This Row],[SBF 120 Cours ajusté*]]-$B$2)/$B$2</f>
        <v>-0.20188289995915851</v>
      </c>
      <c r="E198" s="675">
        <f>(Table2[[#This Row],[Hormopharm Cours ajusté]]-$C$2)/$C$2</f>
        <v>-0.10153583617747443</v>
      </c>
      <c r="F198" s="106"/>
      <c r="G198" s="108">
        <f t="shared" si="6"/>
        <v>-4.4163325710798076E-2</v>
      </c>
      <c r="H198" s="108">
        <f t="shared" si="6"/>
        <v>-7.1174377224200204E-4</v>
      </c>
      <c r="I198" s="108"/>
      <c r="V198" s="12"/>
      <c r="W198" s="12"/>
    </row>
    <row r="199" spans="1:23">
      <c r="A199" s="13" t="s">
        <v>203</v>
      </c>
      <c r="B199" s="105">
        <v>2495.69</v>
      </c>
      <c r="C199" s="106">
        <v>28.638498005163108</v>
      </c>
      <c r="D199" s="675">
        <f>(Table2[[#This Row],[SBF 120 Cours ajusté*]]-$B$2)/$B$2</f>
        <v>-0.12882191340894253</v>
      </c>
      <c r="E199" s="675">
        <f>(Table2[[#This Row],[Hormopharm Cours ajusté]]-$C$2)/$C$2</f>
        <v>0</v>
      </c>
      <c r="F199" s="106"/>
      <c r="G199" s="108">
        <f t="shared" si="6"/>
        <v>9.1541687988488482E-2</v>
      </c>
      <c r="H199" s="108">
        <f t="shared" si="6"/>
        <v>0.1130104463437797</v>
      </c>
      <c r="I199" s="108"/>
      <c r="V199" s="12"/>
      <c r="W199" s="12"/>
    </row>
    <row r="200" spans="1:23">
      <c r="A200" s="13" t="s">
        <v>204</v>
      </c>
      <c r="B200" s="105">
        <v>2480.9499999999998</v>
      </c>
      <c r="C200" s="106">
        <v>27.367847923022769</v>
      </c>
      <c r="D200" s="675">
        <f>(Table2[[#This Row],[SBF 120 Cours ajusté*]]-$B$2)/$B$2</f>
        <v>-0.13396724996771081</v>
      </c>
      <c r="E200" s="675">
        <f>(Table2[[#This Row],[Hormopharm Cours ajusté]]-$C$2)/$C$2</f>
        <v>-4.4368600682593726E-2</v>
      </c>
      <c r="F200" s="106"/>
      <c r="G200" s="108">
        <f t="shared" si="6"/>
        <v>-5.906182258213254E-3</v>
      </c>
      <c r="H200" s="108">
        <f t="shared" si="6"/>
        <v>-4.4368600682593726E-2</v>
      </c>
      <c r="I200" s="108"/>
      <c r="V200" s="12"/>
      <c r="W200" s="12"/>
    </row>
    <row r="201" spans="1:23">
      <c r="A201" s="13" t="s">
        <v>205</v>
      </c>
      <c r="B201" s="105">
        <v>2361.87</v>
      </c>
      <c r="C201" s="106">
        <v>28.027608542595637</v>
      </c>
      <c r="D201" s="675">
        <f>(Table2[[#This Row],[SBF 120 Cours ajusté*]]-$B$2)/$B$2</f>
        <v>-0.17553486716025599</v>
      </c>
      <c r="E201" s="675">
        <f>(Table2[[#This Row],[Hormopharm Cours ajusté]]-$C$2)/$C$2</f>
        <v>-2.1331058020477758E-2</v>
      </c>
      <c r="F201" s="106"/>
      <c r="G201" s="108">
        <f t="shared" si="6"/>
        <v>-4.7997742800137015E-2</v>
      </c>
      <c r="H201" s="108">
        <f t="shared" si="6"/>
        <v>2.4107142857142775E-2</v>
      </c>
      <c r="I201" s="108"/>
      <c r="V201" s="12"/>
      <c r="W201" s="12"/>
    </row>
    <row r="202" spans="1:23">
      <c r="A202" s="13" t="s">
        <v>206</v>
      </c>
      <c r="B202" s="105">
        <v>2070.7800000000002</v>
      </c>
      <c r="C202" s="106">
        <v>22.486841117108661</v>
      </c>
      <c r="D202" s="675">
        <f>(Table2[[#This Row],[SBF 120 Cours ajusté*]]-$B$2)/$B$2</f>
        <v>-0.27714653737001388</v>
      </c>
      <c r="E202" s="675">
        <f>(Table2[[#This Row],[Hormopharm Cours ajusté]]-$C$2)/$C$2</f>
        <v>-0.21480375426621159</v>
      </c>
      <c r="F202" s="106"/>
      <c r="G202" s="108">
        <f t="shared" si="6"/>
        <v>-0.123245563896404</v>
      </c>
      <c r="H202" s="108">
        <f t="shared" si="6"/>
        <v>-0.19768962510897997</v>
      </c>
      <c r="I202" s="108"/>
      <c r="V202" s="12"/>
      <c r="W202" s="12"/>
    </row>
    <row r="203" spans="1:23">
      <c r="A203" s="13" t="s">
        <v>207</v>
      </c>
      <c r="B203" s="105">
        <v>2339</v>
      </c>
      <c r="C203" s="106">
        <v>25.174754752405541</v>
      </c>
      <c r="D203" s="675">
        <f>(Table2[[#This Row],[SBF 120 Cours ajusté*]]-$B$2)/$B$2</f>
        <v>-0.18351816750618732</v>
      </c>
      <c r="E203" s="675">
        <f>(Table2[[#This Row],[Hormopharm Cours ajusté]]-$C$2)/$C$2</f>
        <v>-0.12094709897610915</v>
      </c>
      <c r="F203" s="106"/>
      <c r="G203" s="108">
        <f t="shared" si="6"/>
        <v>0.12952607230125834</v>
      </c>
      <c r="H203" s="108">
        <f t="shared" si="6"/>
        <v>0.11953273566965504</v>
      </c>
      <c r="I203" s="108"/>
      <c r="V203" s="12"/>
      <c r="W203" s="12"/>
    </row>
    <row r="204" spans="1:23">
      <c r="A204" s="13" t="s">
        <v>208</v>
      </c>
      <c r="B204" s="105">
        <v>2148.31</v>
      </c>
      <c r="C204" s="106">
        <v>25.125883595400143</v>
      </c>
      <c r="D204" s="675">
        <f>(Table2[[#This Row],[SBF 120 Cours ajusté*]]-$B$2)/$B$2</f>
        <v>-0.25008290484618101</v>
      </c>
      <c r="E204" s="675">
        <f>(Table2[[#This Row],[Hormopharm Cours ajusté]]-$C$2)/$C$2</f>
        <v>-0.12265358361774736</v>
      </c>
      <c r="F204" s="106"/>
      <c r="G204" s="108">
        <f t="shared" si="6"/>
        <v>-8.1526293287729826E-2</v>
      </c>
      <c r="H204" s="108">
        <f t="shared" si="6"/>
        <v>-1.9412763892258937E-3</v>
      </c>
      <c r="I204" s="108"/>
      <c r="V204" s="12"/>
      <c r="W204" s="12"/>
    </row>
    <row r="205" spans="1:23">
      <c r="A205" s="13" t="s">
        <v>209</v>
      </c>
      <c r="B205" s="105">
        <v>2306.89</v>
      </c>
      <c r="C205" s="106">
        <v>25.632921849331144</v>
      </c>
      <c r="D205" s="675">
        <f>(Table2[[#This Row],[SBF 120 Cours ajusté*]]-$B$2)/$B$2</f>
        <v>-0.19472690270985404</v>
      </c>
      <c r="E205" s="675">
        <f>(Table2[[#This Row],[Hormopharm Cours ajusté]]-$C$2)/$C$2</f>
        <v>-0.10494880546075083</v>
      </c>
      <c r="F205" s="106"/>
      <c r="G205" s="108">
        <f t="shared" si="6"/>
        <v>7.3816162471896485E-2</v>
      </c>
      <c r="H205" s="108">
        <f t="shared" si="6"/>
        <v>2.0179917335278314E-2</v>
      </c>
      <c r="I205" s="108"/>
      <c r="V205" s="12"/>
      <c r="W205" s="12"/>
    </row>
    <row r="206" spans="1:23">
      <c r="A206" s="13" t="s">
        <v>210</v>
      </c>
      <c r="B206" s="105">
        <v>2313.2199999999998</v>
      </c>
      <c r="C206" s="106">
        <v>27.422827974653838</v>
      </c>
      <c r="D206" s="675">
        <f>(Table2[[#This Row],[SBF 120 Cours ajusté*]]-$B$2)/$B$2</f>
        <v>-0.19251727038848346</v>
      </c>
      <c r="E206" s="675">
        <f>(Table2[[#This Row],[Hormopharm Cours ajusté]]-$C$2)/$C$2</f>
        <v>-4.2448805460750819E-2</v>
      </c>
      <c r="F206" s="106"/>
      <c r="G206" s="108">
        <f t="shared" si="6"/>
        <v>2.7439539813341458E-3</v>
      </c>
      <c r="H206" s="108">
        <f t="shared" si="6"/>
        <v>6.9828408007626325E-2</v>
      </c>
      <c r="I206" s="108"/>
      <c r="V206" s="12"/>
      <c r="W206" s="12"/>
    </row>
    <row r="207" spans="1:23">
      <c r="A207" s="13" t="s">
        <v>211</v>
      </c>
      <c r="B207" s="105">
        <v>2238.27</v>
      </c>
      <c r="C207" s="106">
        <v>25.57794179770007</v>
      </c>
      <c r="D207" s="675">
        <f>(Table2[[#This Row],[SBF 120 Cours ajusté*]]-$B$2)/$B$2</f>
        <v>-0.21868029447801365</v>
      </c>
      <c r="E207" s="675">
        <f>(Table2[[#This Row],[Hormopharm Cours ajusté]]-$C$2)/$C$2</f>
        <v>-0.10686860068259386</v>
      </c>
      <c r="F207" s="106"/>
      <c r="G207" s="108">
        <f t="shared" si="6"/>
        <v>-3.2400722801981578E-2</v>
      </c>
      <c r="H207" s="108">
        <f t="shared" si="6"/>
        <v>-6.727556248607712E-2</v>
      </c>
      <c r="I207" s="108"/>
      <c r="V207" s="12"/>
      <c r="W207" s="12"/>
    </row>
    <row r="208" spans="1:23">
      <c r="A208" s="13" t="s">
        <v>212</v>
      </c>
      <c r="B208" s="105">
        <v>2311.08</v>
      </c>
      <c r="C208" s="106">
        <v>26.03</v>
      </c>
      <c r="D208" s="675">
        <f>(Table2[[#This Row],[SBF 120 Cours ajusté*]]-$B$2)/$B$2</f>
        <v>-0.19326428668670348</v>
      </c>
      <c r="E208" s="675">
        <f>(Table2[[#This Row],[Hormopharm Cours ajusté]]-$C$2)/$C$2</f>
        <v>-9.108361774744024E-2</v>
      </c>
      <c r="F208" s="106"/>
      <c r="G208" s="108">
        <f t="shared" si="6"/>
        <v>3.2529587583267412E-2</v>
      </c>
      <c r="H208" s="108">
        <f t="shared" si="6"/>
        <v>1.7673752089801809E-2</v>
      </c>
      <c r="I208" s="108"/>
    </row>
  </sheetData>
  <pageMargins left="0.7" right="0.7" top="0.75" bottom="0.75" header="0.3" footer="0.3"/>
  <pageSetup paperSize="9" orientation="portrait" horizontalDpi="4294967292" verticalDpi="4294967292"/>
  <legacyDrawing r:id="rId1"/>
  <tableParts count="3">
    <tablePart r:id="rId2"/>
    <tablePart r:id="rId3"/>
    <tablePart r:id="rId4"/>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8"/>
  <sheetViews>
    <sheetView showGridLines="0" workbookViewId="0">
      <selection activeCell="L129" sqref="L129"/>
    </sheetView>
  </sheetViews>
  <sheetFormatPr baseColWidth="10" defaultColWidth="11.453125" defaultRowHeight="14.5"/>
  <cols>
    <col min="1" max="1" width="12.453125" customWidth="1"/>
    <col min="5" max="5" width="37.453125" bestFit="1" customWidth="1"/>
    <col min="11" max="11" width="37.453125" bestFit="1" customWidth="1"/>
  </cols>
  <sheetData>
    <row r="1" spans="1:4">
      <c r="A1" s="14" t="s">
        <v>213</v>
      </c>
    </row>
    <row r="2" spans="1:4">
      <c r="A2" s="15" t="s">
        <v>215</v>
      </c>
      <c r="B2" s="16" t="s">
        <v>216</v>
      </c>
    </row>
    <row r="3" spans="1:4" hidden="1">
      <c r="A3" s="18" t="s">
        <v>217</v>
      </c>
      <c r="B3" s="19">
        <v>0.6</v>
      </c>
      <c r="C3" s="20"/>
      <c r="D3" s="20"/>
    </row>
    <row r="4" spans="1:4" hidden="1">
      <c r="A4" s="21" t="s">
        <v>218</v>
      </c>
      <c r="B4" s="22">
        <v>0.73</v>
      </c>
      <c r="C4" s="20"/>
      <c r="D4" s="20"/>
    </row>
    <row r="5" spans="1:4" hidden="1">
      <c r="A5" s="18" t="s">
        <v>219</v>
      </c>
      <c r="B5" s="19">
        <v>0.86</v>
      </c>
      <c r="C5" s="20"/>
    </row>
    <row r="6" spans="1:4" hidden="1">
      <c r="A6" s="21" t="s">
        <v>220</v>
      </c>
      <c r="B6" s="22">
        <v>0.92</v>
      </c>
      <c r="C6" s="20"/>
    </row>
    <row r="7" spans="1:4" hidden="1">
      <c r="A7" s="18" t="s">
        <v>221</v>
      </c>
      <c r="B7" s="19">
        <v>0.96</v>
      </c>
      <c r="C7" s="20"/>
      <c r="D7" s="20"/>
    </row>
    <row r="8" spans="1:4" hidden="1">
      <c r="A8" s="21" t="s">
        <v>222</v>
      </c>
      <c r="B8" s="22">
        <v>1.1399999999999999</v>
      </c>
      <c r="C8" s="20"/>
      <c r="D8" s="20"/>
    </row>
    <row r="9" spans="1:4" hidden="1">
      <c r="A9" s="18" t="s">
        <v>223</v>
      </c>
      <c r="B9" s="19">
        <v>1.1399999999999999</v>
      </c>
      <c r="C9" s="20"/>
      <c r="D9" s="20"/>
    </row>
    <row r="10" spans="1:4" hidden="1">
      <c r="A10" s="21" t="s">
        <v>224</v>
      </c>
      <c r="B10" s="22">
        <v>1.01</v>
      </c>
      <c r="C10" s="20"/>
      <c r="D10" s="20"/>
    </row>
    <row r="11" spans="1:4" hidden="1">
      <c r="A11" s="18" t="s">
        <v>225</v>
      </c>
      <c r="B11" s="19">
        <v>1.1299999999999999</v>
      </c>
      <c r="C11" s="20"/>
      <c r="D11" s="20"/>
    </row>
    <row r="12" spans="1:4" hidden="1">
      <c r="A12" s="21" t="s">
        <v>226</v>
      </c>
      <c r="B12" s="22">
        <v>1.27</v>
      </c>
      <c r="C12" s="20"/>
      <c r="D12" s="20"/>
    </row>
    <row r="13" spans="1:4" hidden="1">
      <c r="A13" s="18" t="s">
        <v>227</v>
      </c>
      <c r="B13" s="19">
        <v>1.17</v>
      </c>
      <c r="C13" s="20"/>
      <c r="D13" s="20"/>
    </row>
    <row r="14" spans="1:4" hidden="1">
      <c r="A14" s="21" t="s">
        <v>228</v>
      </c>
      <c r="B14" s="22">
        <v>1.05</v>
      </c>
      <c r="C14" s="20"/>
      <c r="D14" s="20"/>
    </row>
    <row r="15" spans="1:4" hidden="1">
      <c r="A15" s="18" t="s">
        <v>229</v>
      </c>
      <c r="B15" s="19">
        <v>1.08</v>
      </c>
      <c r="C15" s="20"/>
      <c r="D15" s="20"/>
    </row>
    <row r="16" spans="1:4" hidden="1">
      <c r="A16" s="21" t="s">
        <v>230</v>
      </c>
      <c r="B16" s="22">
        <v>0.71</v>
      </c>
      <c r="C16" s="20"/>
      <c r="D16" s="20"/>
    </row>
    <row r="17" spans="1:4" hidden="1">
      <c r="A17" s="18" t="s">
        <v>231</v>
      </c>
      <c r="B17" s="19">
        <v>0.7</v>
      </c>
      <c r="C17" s="20"/>
      <c r="D17" s="20"/>
    </row>
    <row r="18" spans="1:4" hidden="1">
      <c r="A18" s="21" t="s">
        <v>232</v>
      </c>
      <c r="B18" s="22">
        <v>0.85</v>
      </c>
      <c r="C18" s="20"/>
      <c r="D18" s="20"/>
    </row>
    <row r="19" spans="1:4" hidden="1">
      <c r="A19" s="18" t="s">
        <v>233</v>
      </c>
      <c r="B19" s="19">
        <v>1.03</v>
      </c>
      <c r="C19" s="20"/>
      <c r="D19" s="20"/>
    </row>
    <row r="20" spans="1:4" hidden="1">
      <c r="A20" s="21" t="s">
        <v>234</v>
      </c>
      <c r="B20" s="22">
        <v>0.96</v>
      </c>
      <c r="C20" s="20"/>
      <c r="D20" s="20"/>
    </row>
    <row r="21" spans="1:4" hidden="1">
      <c r="A21" s="18" t="s">
        <v>235</v>
      </c>
      <c r="B21" s="19">
        <v>0.73</v>
      </c>
      <c r="C21" s="20"/>
      <c r="D21" s="20"/>
    </row>
    <row r="22" spans="1:4" hidden="1">
      <c r="A22" s="21" t="s">
        <v>236</v>
      </c>
      <c r="B22" s="22">
        <v>0.89</v>
      </c>
      <c r="C22" s="20"/>
      <c r="D22" s="20"/>
    </row>
    <row r="23" spans="1:4" hidden="1">
      <c r="A23" s="18" t="s">
        <v>237</v>
      </c>
      <c r="B23" s="19">
        <v>0.97</v>
      </c>
      <c r="C23" s="20"/>
      <c r="D23" s="20"/>
    </row>
    <row r="24" spans="1:4" hidden="1">
      <c r="A24" s="21" t="s">
        <v>238</v>
      </c>
      <c r="B24" s="22">
        <v>1.02</v>
      </c>
      <c r="C24" s="20"/>
      <c r="D24" s="20"/>
    </row>
    <row r="25" spans="1:4" hidden="1">
      <c r="A25" s="18" t="s">
        <v>239</v>
      </c>
      <c r="B25" s="19">
        <v>0.91</v>
      </c>
      <c r="C25" s="20"/>
      <c r="D25" s="20"/>
    </row>
    <row r="26" spans="1:4" hidden="1">
      <c r="A26" s="21" t="s">
        <v>240</v>
      </c>
      <c r="B26" s="22">
        <v>1.07</v>
      </c>
      <c r="C26" s="20"/>
      <c r="D26" s="20"/>
    </row>
    <row r="27" spans="1:4" hidden="1">
      <c r="A27" s="18" t="s">
        <v>241</v>
      </c>
      <c r="B27" s="19">
        <v>1.44</v>
      </c>
      <c r="C27" s="20"/>
      <c r="D27" s="20"/>
    </row>
    <row r="28" spans="1:4" hidden="1">
      <c r="A28" s="21" t="s">
        <v>242</v>
      </c>
      <c r="B28" s="22">
        <v>1.6</v>
      </c>
      <c r="C28" s="20"/>
      <c r="D28" s="20"/>
    </row>
    <row r="29" spans="1:4" hidden="1">
      <c r="A29" s="18" t="s">
        <v>243</v>
      </c>
      <c r="B29" s="19">
        <v>1.82</v>
      </c>
      <c r="C29" s="20"/>
      <c r="D29" s="20"/>
    </row>
    <row r="30" spans="1:4" hidden="1">
      <c r="A30" s="21" t="s">
        <v>244</v>
      </c>
      <c r="B30" s="22">
        <v>1.76</v>
      </c>
      <c r="C30" s="20"/>
      <c r="D30" s="20"/>
    </row>
    <row r="31" spans="1:4" hidden="1">
      <c r="A31" s="18" t="s">
        <v>245</v>
      </c>
      <c r="B31" s="19">
        <v>1.79</v>
      </c>
      <c r="C31" s="20"/>
      <c r="D31" s="20"/>
    </row>
    <row r="32" spans="1:4" hidden="1">
      <c r="A32" s="21" t="s">
        <v>246</v>
      </c>
      <c r="B32" s="22">
        <v>2.11</v>
      </c>
      <c r="C32" s="20"/>
      <c r="D32" s="20"/>
    </row>
    <row r="33" spans="1:4" hidden="1">
      <c r="A33" s="18" t="s">
        <v>247</v>
      </c>
      <c r="B33" s="19">
        <v>2.1800000000000002</v>
      </c>
      <c r="C33" s="20"/>
      <c r="D33" s="20"/>
    </row>
    <row r="34" spans="1:4" hidden="1">
      <c r="A34" s="21" t="s">
        <v>248</v>
      </c>
      <c r="B34" s="22">
        <v>2.4500000000000002</v>
      </c>
      <c r="C34" s="20"/>
      <c r="D34" s="20"/>
    </row>
    <row r="35" spans="1:4" hidden="1">
      <c r="A35" s="18" t="s">
        <v>249</v>
      </c>
      <c r="B35" s="19">
        <v>2.1</v>
      </c>
      <c r="C35" s="20"/>
      <c r="D35" s="20"/>
    </row>
    <row r="36" spans="1:4" hidden="1">
      <c r="A36" s="21" t="s">
        <v>250</v>
      </c>
      <c r="B36" s="22">
        <v>1.77</v>
      </c>
      <c r="C36" s="20"/>
      <c r="D36" s="20"/>
    </row>
    <row r="37" spans="1:4" hidden="1">
      <c r="A37" s="18" t="s">
        <v>251</v>
      </c>
      <c r="B37" s="19">
        <v>1.98</v>
      </c>
      <c r="C37" s="20"/>
      <c r="D37" s="20"/>
    </row>
    <row r="38" spans="1:4" hidden="1">
      <c r="A38" s="21" t="s">
        <v>252</v>
      </c>
      <c r="B38" s="22">
        <v>2.5099999999999998</v>
      </c>
      <c r="C38" s="20"/>
      <c r="D38" s="20"/>
    </row>
    <row r="39" spans="1:4" hidden="1">
      <c r="A39" s="18" t="s">
        <v>253</v>
      </c>
      <c r="B39" s="19">
        <v>2.6</v>
      </c>
      <c r="C39" s="20"/>
      <c r="D39" s="20"/>
    </row>
    <row r="40" spans="1:4" hidden="1">
      <c r="A40" s="21" t="s">
        <v>254</v>
      </c>
      <c r="B40" s="22">
        <v>2.78</v>
      </c>
      <c r="C40" s="20"/>
      <c r="D40" s="20"/>
    </row>
    <row r="41" spans="1:4" hidden="1">
      <c r="A41" s="18" t="s">
        <v>255</v>
      </c>
      <c r="B41" s="19">
        <v>2.97</v>
      </c>
      <c r="C41" s="20"/>
      <c r="D41" s="20"/>
    </row>
    <row r="42" spans="1:4" hidden="1">
      <c r="A42" s="21" t="s">
        <v>256</v>
      </c>
      <c r="B42" s="22">
        <v>2.8</v>
      </c>
      <c r="C42" s="20"/>
      <c r="D42" s="20"/>
    </row>
    <row r="43" spans="1:4" hidden="1">
      <c r="A43" s="18" t="s">
        <v>257</v>
      </c>
      <c r="B43" s="19">
        <v>2.66</v>
      </c>
      <c r="C43" s="20"/>
      <c r="D43" s="20"/>
    </row>
    <row r="44" spans="1:4" hidden="1">
      <c r="A44" s="21" t="s">
        <v>258</v>
      </c>
      <c r="B44" s="22">
        <v>2.4300000000000002</v>
      </c>
      <c r="C44" s="20"/>
      <c r="D44" s="20"/>
    </row>
    <row r="45" spans="1:4" hidden="1">
      <c r="A45" s="18" t="s">
        <v>259</v>
      </c>
      <c r="B45" s="19">
        <v>2.29</v>
      </c>
      <c r="C45" s="20"/>
      <c r="D45" s="20"/>
    </row>
    <row r="46" spans="1:4" hidden="1">
      <c r="A46" s="21" t="s">
        <v>260</v>
      </c>
      <c r="B46" s="22">
        <v>1.98</v>
      </c>
      <c r="C46" s="20"/>
      <c r="D46" s="20"/>
    </row>
    <row r="47" spans="1:4" hidden="1">
      <c r="A47" s="18" t="s">
        <v>261</v>
      </c>
      <c r="B47" s="19">
        <v>1.82</v>
      </c>
      <c r="C47" s="20"/>
      <c r="D47" s="20"/>
    </row>
    <row r="48" spans="1:4" hidden="1">
      <c r="A48" s="21" t="s">
        <v>262</v>
      </c>
      <c r="B48" s="22">
        <v>1.75</v>
      </c>
      <c r="C48" s="20"/>
      <c r="D48" s="20"/>
    </row>
    <row r="49" spans="1:11" hidden="1">
      <c r="A49" s="18" t="s">
        <v>263</v>
      </c>
      <c r="B49" s="19">
        <v>1.73</v>
      </c>
      <c r="C49" s="20"/>
      <c r="D49" s="20"/>
    </row>
    <row r="50" spans="1:11" hidden="1">
      <c r="A50" s="21" t="s">
        <v>264</v>
      </c>
      <c r="B50" s="22">
        <v>1.95</v>
      </c>
      <c r="C50" s="20"/>
      <c r="D50" s="20"/>
    </row>
    <row r="51" spans="1:11" hidden="1">
      <c r="A51" s="18" t="s">
        <v>265</v>
      </c>
      <c r="B51" s="19">
        <v>1.96</v>
      </c>
      <c r="C51" s="23"/>
      <c r="D51" s="23"/>
    </row>
    <row r="52" spans="1:11" hidden="1">
      <c r="A52" s="21" t="s">
        <v>266</v>
      </c>
      <c r="B52" s="22">
        <v>1.9273</v>
      </c>
      <c r="C52" s="23"/>
      <c r="D52" s="23"/>
    </row>
    <row r="53" spans="1:11" hidden="1">
      <c r="A53" s="18" t="s">
        <v>267</v>
      </c>
      <c r="B53" s="19">
        <v>2.3140999999999998</v>
      </c>
      <c r="C53" s="23"/>
      <c r="D53" s="23"/>
    </row>
    <row r="54" spans="1:11" hidden="1">
      <c r="A54" s="21" t="s">
        <v>268</v>
      </c>
      <c r="B54" s="22">
        <v>2.3302</v>
      </c>
      <c r="C54" s="23"/>
      <c r="D54" s="23"/>
    </row>
    <row r="55" spans="1:11" hidden="1">
      <c r="A55" s="18" t="s">
        <v>269</v>
      </c>
      <c r="B55" s="19">
        <v>2.407</v>
      </c>
      <c r="C55" s="23"/>
      <c r="D55" s="23"/>
    </row>
    <row r="56" spans="1:11" hidden="1">
      <c r="A56" s="21" t="s">
        <v>270</v>
      </c>
      <c r="B56" s="22">
        <v>2.5186999999999999</v>
      </c>
      <c r="C56" s="23"/>
      <c r="D56" s="23"/>
    </row>
    <row r="57" spans="1:11">
      <c r="A57" s="18" t="s">
        <v>271</v>
      </c>
      <c r="B57" s="24">
        <v>2.4764000000000001E-2</v>
      </c>
      <c r="C57" s="23"/>
      <c r="D57" s="23"/>
      <c r="K57" s="25"/>
    </row>
    <row r="58" spans="1:11" ht="15.5">
      <c r="A58" s="21" t="s">
        <v>272</v>
      </c>
      <c r="B58" s="26">
        <v>2.5669999999999998E-2</v>
      </c>
      <c r="C58" s="23"/>
      <c r="D58" s="23"/>
      <c r="E58" s="118" t="s">
        <v>214</v>
      </c>
    </row>
    <row r="59" spans="1:11">
      <c r="A59" s="18" t="s">
        <v>273</v>
      </c>
      <c r="B59" s="24">
        <v>2.6100000000000002E-2</v>
      </c>
      <c r="C59" s="23"/>
      <c r="D59" s="23"/>
      <c r="E59" s="17">
        <f>AVERAGE(B57:B68)</f>
        <v>2.7040666666666668E-2</v>
      </c>
    </row>
    <row r="60" spans="1:11">
      <c r="A60" s="21" t="s">
        <v>274</v>
      </c>
      <c r="B60" s="26">
        <v>2.5909000000000001E-2</v>
      </c>
      <c r="C60" s="23"/>
      <c r="D60" s="23"/>
    </row>
    <row r="61" spans="1:11">
      <c r="A61" s="18" t="s">
        <v>275</v>
      </c>
      <c r="B61" s="24">
        <v>2.7057000000000001E-2</v>
      </c>
      <c r="C61" s="23"/>
      <c r="D61" s="23"/>
    </row>
    <row r="62" spans="1:11">
      <c r="A62" s="21" t="s">
        <v>276</v>
      </c>
      <c r="B62" s="26">
        <v>2.7326E-2</v>
      </c>
      <c r="C62" s="23"/>
      <c r="D62" s="23"/>
    </row>
    <row r="63" spans="1:11">
      <c r="A63" s="18" t="s">
        <v>277</v>
      </c>
      <c r="B63" s="24">
        <v>2.9277000000000001E-2</v>
      </c>
      <c r="C63" s="23"/>
      <c r="D63" s="23"/>
    </row>
    <row r="64" spans="1:11">
      <c r="A64" s="21" t="s">
        <v>278</v>
      </c>
      <c r="B64" s="26">
        <v>2.7820000000000001E-2</v>
      </c>
      <c r="C64" s="23"/>
      <c r="D64" s="23"/>
    </row>
    <row r="65" spans="1:4">
      <c r="A65" s="18" t="s">
        <v>279</v>
      </c>
      <c r="B65" s="24">
        <v>2.7345000000000001E-2</v>
      </c>
      <c r="C65" s="23"/>
      <c r="D65" s="23"/>
    </row>
    <row r="66" spans="1:4">
      <c r="A66" s="21" t="s">
        <v>280</v>
      </c>
      <c r="B66" s="26">
        <v>2.7422999999999999E-2</v>
      </c>
      <c r="C66" s="23"/>
      <c r="D66" s="23"/>
    </row>
    <row r="67" spans="1:4">
      <c r="A67" s="18" t="s">
        <v>281</v>
      </c>
      <c r="B67" s="24">
        <v>2.7345000000000001E-2</v>
      </c>
      <c r="C67" s="23"/>
      <c r="D67" s="23"/>
    </row>
    <row r="68" spans="1:4">
      <c r="A68" s="21" t="s">
        <v>282</v>
      </c>
      <c r="B68" s="26">
        <v>2.8452000000000002E-2</v>
      </c>
      <c r="C68" s="23"/>
      <c r="D68" s="23"/>
    </row>
    <row r="69" spans="1:4" hidden="1">
      <c r="A69" s="18" t="s">
        <v>283</v>
      </c>
      <c r="B69" s="19">
        <v>2.9832000000000001</v>
      </c>
      <c r="C69" s="23"/>
      <c r="D69" s="23"/>
    </row>
    <row r="70" spans="1:4" hidden="1">
      <c r="A70" s="21" t="s">
        <v>284</v>
      </c>
      <c r="B70" s="22">
        <v>3.2075</v>
      </c>
      <c r="C70" s="23"/>
      <c r="D70" s="23"/>
    </row>
    <row r="71" spans="1:4" hidden="1">
      <c r="A71" s="18" t="s">
        <v>285</v>
      </c>
      <c r="B71" s="19">
        <v>3.7747999999999999</v>
      </c>
      <c r="C71" s="23"/>
      <c r="D71" s="23"/>
    </row>
    <row r="72" spans="1:4" hidden="1">
      <c r="A72" s="21" t="s">
        <v>286</v>
      </c>
      <c r="B72" s="22">
        <v>4.1264000000000003</v>
      </c>
      <c r="C72" s="23"/>
      <c r="D72" s="23"/>
    </row>
    <row r="73" spans="1:4" hidden="1">
      <c r="A73" s="18" t="s">
        <v>287</v>
      </c>
      <c r="B73" s="19">
        <v>4.2013999999999996</v>
      </c>
      <c r="C73" s="23"/>
      <c r="D73" s="23"/>
    </row>
    <row r="74" spans="1:4" hidden="1">
      <c r="A74" s="21" t="s">
        <v>288</v>
      </c>
      <c r="B74" s="22">
        <v>4.6222000000000003</v>
      </c>
      <c r="C74" s="23"/>
      <c r="D74" s="23"/>
    </row>
    <row r="75" spans="1:4" hidden="1">
      <c r="A75" s="18" t="s">
        <v>289</v>
      </c>
      <c r="B75" s="19">
        <v>4.6595000000000004</v>
      </c>
      <c r="C75" s="23"/>
      <c r="D75" s="23"/>
    </row>
    <row r="76" spans="1:4" hidden="1">
      <c r="A76" s="21" t="s">
        <v>290</v>
      </c>
      <c r="B76" s="22">
        <v>4.1375999999999999</v>
      </c>
      <c r="C76" s="23"/>
      <c r="D76" s="23"/>
    </row>
    <row r="77" spans="1:4" hidden="1">
      <c r="A77" s="18" t="s">
        <v>291</v>
      </c>
      <c r="B77" s="19">
        <v>3.9413999999999998</v>
      </c>
      <c r="C77" s="23"/>
      <c r="D77" s="23"/>
    </row>
    <row r="78" spans="1:4" hidden="1">
      <c r="A78" s="21" t="s">
        <v>292</v>
      </c>
      <c r="B78" s="22">
        <v>3.5916000000000001</v>
      </c>
      <c r="C78" s="23"/>
      <c r="D78" s="23"/>
    </row>
    <row r="79" spans="1:4" hidden="1">
      <c r="A79" s="18" t="s">
        <v>293</v>
      </c>
      <c r="B79" s="19">
        <v>3.601</v>
      </c>
      <c r="C79" s="23"/>
      <c r="D79" s="23"/>
    </row>
    <row r="80" spans="1:4" hidden="1">
      <c r="A80" s="21" t="s">
        <v>294</v>
      </c>
      <c r="B80" s="22">
        <v>3.8294999999999999</v>
      </c>
      <c r="C80" s="23"/>
      <c r="D80" s="23"/>
    </row>
    <row r="81" spans="1:4" hidden="1">
      <c r="A81" s="18" t="s">
        <v>295</v>
      </c>
      <c r="B81" s="19">
        <v>4.1085000000000003</v>
      </c>
      <c r="C81" s="23"/>
      <c r="D81" s="23"/>
    </row>
    <row r="82" spans="1:4" hidden="1">
      <c r="A82" s="21" t="s">
        <v>296</v>
      </c>
      <c r="B82" s="22">
        <v>3.9826999999999999</v>
      </c>
      <c r="C82" s="23"/>
      <c r="D82" s="23"/>
    </row>
    <row r="83" spans="1:4" hidden="1">
      <c r="A83" s="18" t="s">
        <v>297</v>
      </c>
      <c r="B83" s="19">
        <v>4.2108999999999996</v>
      </c>
      <c r="C83" s="23"/>
      <c r="D83" s="23"/>
    </row>
    <row r="84" spans="1:4" hidden="1">
      <c r="A84" s="21" t="s">
        <v>298</v>
      </c>
      <c r="B84" s="22">
        <v>4.1654999999999998</v>
      </c>
      <c r="C84" s="23"/>
      <c r="D84" s="23"/>
    </row>
    <row r="85" spans="1:4" hidden="1">
      <c r="A85" s="18" t="s">
        <v>299</v>
      </c>
      <c r="B85" s="19">
        <v>4.2583000000000002</v>
      </c>
      <c r="C85" s="23"/>
      <c r="D85" s="23"/>
    </row>
    <row r="86" spans="1:4" hidden="1">
      <c r="A86" s="21" t="s">
        <v>300</v>
      </c>
      <c r="B86" s="22">
        <v>4.5351999999999997</v>
      </c>
      <c r="C86" s="23"/>
      <c r="D86" s="23"/>
    </row>
    <row r="87" spans="1:4" hidden="1">
      <c r="A87" s="18" t="s">
        <v>301</v>
      </c>
      <c r="B87" s="19">
        <v>4.5381</v>
      </c>
      <c r="C87" s="23"/>
      <c r="D87" s="23"/>
    </row>
    <row r="88" spans="1:4" hidden="1">
      <c r="A88" s="21" t="s">
        <v>302</v>
      </c>
      <c r="B88" s="22">
        <v>4.2732000000000001</v>
      </c>
      <c r="C88" s="23"/>
      <c r="D88" s="23"/>
    </row>
    <row r="89" spans="1:4" hidden="1">
      <c r="A89" s="18" t="s">
        <v>303</v>
      </c>
      <c r="B89" s="19">
        <v>4.1262999999999996</v>
      </c>
      <c r="C89" s="23"/>
      <c r="D89" s="23"/>
    </row>
    <row r="90" spans="1:4" hidden="1">
      <c r="A90" s="21" t="s">
        <v>304</v>
      </c>
      <c r="B90" s="22">
        <v>3.9140999999999999</v>
      </c>
      <c r="C90" s="23"/>
      <c r="D90" s="23"/>
    </row>
    <row r="91" spans="1:4" hidden="1">
      <c r="A91" s="18" t="s">
        <v>305</v>
      </c>
      <c r="B91" s="19">
        <v>4.0060000000000002</v>
      </c>
      <c r="C91" s="23"/>
      <c r="D91" s="23"/>
    </row>
    <row r="92" spans="1:4" hidden="1">
      <c r="A92" s="21" t="s">
        <v>306</v>
      </c>
      <c r="B92" s="22">
        <v>3.9704999999999999</v>
      </c>
      <c r="C92" s="23"/>
      <c r="D92" s="23"/>
    </row>
    <row r="93" spans="1:4" hidden="1">
      <c r="A93" s="18" t="s">
        <v>307</v>
      </c>
      <c r="B93" s="19">
        <v>3.7532000000000001</v>
      </c>
      <c r="C93" s="23"/>
      <c r="D93" s="23"/>
    </row>
    <row r="94" spans="1:4" hidden="1">
      <c r="A94" s="21" t="s">
        <v>308</v>
      </c>
      <c r="B94" s="22">
        <v>3.6690999999999998</v>
      </c>
      <c r="C94" s="23"/>
      <c r="D94" s="23"/>
    </row>
    <row r="95" spans="1:4" hidden="1">
      <c r="A95" s="18" t="s">
        <v>309</v>
      </c>
      <c r="B95" s="19">
        <v>3.7126999999999999</v>
      </c>
      <c r="C95" s="23"/>
      <c r="D95" s="23"/>
    </row>
    <row r="96" spans="1:4" hidden="1">
      <c r="A96" s="21" t="s">
        <v>310</v>
      </c>
      <c r="B96" s="22">
        <v>3.6556999999999999</v>
      </c>
      <c r="C96" s="23"/>
      <c r="D96" s="23"/>
    </row>
    <row r="97" spans="1:4" hidden="1">
      <c r="A97" s="18" t="s">
        <v>311</v>
      </c>
      <c r="B97" s="19">
        <v>3.7263999999999999</v>
      </c>
      <c r="C97" s="23"/>
      <c r="D97" s="23"/>
    </row>
    <row r="98" spans="1:4" hidden="1">
      <c r="A98" s="21" t="s">
        <v>312</v>
      </c>
      <c r="B98" s="22">
        <v>3.8205</v>
      </c>
      <c r="C98" s="23"/>
      <c r="D98" s="23"/>
    </row>
    <row r="99" spans="1:4" hidden="1">
      <c r="A99" s="18" t="s">
        <v>313</v>
      </c>
      <c r="B99" s="19">
        <v>3.74</v>
      </c>
      <c r="C99" s="23"/>
      <c r="D99" s="23"/>
    </row>
    <row r="100" spans="1:4" hidden="1">
      <c r="A100" s="21" t="s">
        <v>314</v>
      </c>
      <c r="B100" s="22">
        <v>3.7031999999999998</v>
      </c>
      <c r="C100" s="23"/>
      <c r="D100" s="23"/>
    </row>
    <row r="101" spans="1:4" hidden="1">
      <c r="A101" s="18" t="s">
        <v>315</v>
      </c>
      <c r="B101" s="19">
        <v>3.6646999999999998</v>
      </c>
      <c r="C101" s="23"/>
      <c r="D101" s="23"/>
    </row>
    <row r="102" spans="1:4" hidden="1">
      <c r="A102" s="21" t="s">
        <v>316</v>
      </c>
      <c r="B102" s="22">
        <v>3.4517000000000002</v>
      </c>
      <c r="C102" s="23"/>
      <c r="D102" s="23"/>
    </row>
    <row r="103" spans="1:4" hidden="1">
      <c r="A103" s="18" t="s">
        <v>317</v>
      </c>
      <c r="B103" s="19">
        <v>3.2444999999999999</v>
      </c>
      <c r="C103" s="23"/>
      <c r="D103" s="23"/>
    </row>
    <row r="104" spans="1:4" hidden="1">
      <c r="A104" s="21" t="s">
        <v>318</v>
      </c>
      <c r="B104" s="22">
        <v>3.0809000000000002</v>
      </c>
      <c r="C104" s="23"/>
      <c r="D104" s="23"/>
    </row>
    <row r="105" spans="1:4" hidden="1">
      <c r="A105" s="18" t="s">
        <v>319</v>
      </c>
      <c r="B105" s="19">
        <v>3.0562</v>
      </c>
      <c r="C105" s="23"/>
      <c r="D105" s="23"/>
    </row>
    <row r="106" spans="1:4" hidden="1">
      <c r="A106" s="21" t="s">
        <v>320</v>
      </c>
      <c r="B106" s="22">
        <v>3.0823</v>
      </c>
      <c r="C106" s="23"/>
      <c r="D106" s="23"/>
    </row>
    <row r="107" spans="1:4" hidden="1">
      <c r="A107" s="18" t="s">
        <v>321</v>
      </c>
      <c r="B107" s="19">
        <v>2.8290000000000002</v>
      </c>
      <c r="C107" s="23"/>
      <c r="D107" s="23"/>
    </row>
    <row r="108" spans="1:4" hidden="1">
      <c r="A108" s="21" t="s">
        <v>322</v>
      </c>
      <c r="B108" s="22">
        <v>2.5950000000000002</v>
      </c>
      <c r="C108" s="23"/>
      <c r="D108" s="23"/>
    </row>
    <row r="109" spans="1:4" hidden="1">
      <c r="A109" s="18" t="s">
        <v>323</v>
      </c>
      <c r="B109" s="19">
        <v>2.7109000000000001</v>
      </c>
      <c r="C109" s="23"/>
      <c r="D109" s="23"/>
    </row>
    <row r="110" spans="1:4" hidden="1">
      <c r="A110" s="21" t="s">
        <v>324</v>
      </c>
      <c r="B110" s="22">
        <v>2.6606000000000001</v>
      </c>
      <c r="C110" s="23"/>
      <c r="D110" s="23"/>
    </row>
    <row r="111" spans="1:4" hidden="1">
      <c r="A111" s="18" t="s">
        <v>325</v>
      </c>
      <c r="B111" s="19">
        <v>2.5817999999999999</v>
      </c>
      <c r="C111" s="23"/>
      <c r="D111" s="23"/>
    </row>
    <row r="112" spans="1:4" hidden="1">
      <c r="A112" s="21" t="s">
        <v>326</v>
      </c>
      <c r="B112" s="22">
        <v>2.7532000000000001</v>
      </c>
      <c r="C112" s="23"/>
      <c r="D112" s="23"/>
    </row>
    <row r="113" spans="1:4" hidden="1">
      <c r="A113" s="18" t="s">
        <v>327</v>
      </c>
      <c r="B113" s="19">
        <v>2.9209999999999998</v>
      </c>
      <c r="C113" s="23"/>
      <c r="D113" s="23"/>
    </row>
    <row r="114" spans="1:4" hidden="1">
      <c r="A114" s="21" t="s">
        <v>328</v>
      </c>
      <c r="B114" s="22">
        <v>3.1248</v>
      </c>
      <c r="C114" s="23"/>
      <c r="D114" s="23"/>
    </row>
    <row r="115" spans="1:4" hidden="1">
      <c r="A115" s="18" t="s">
        <v>329</v>
      </c>
      <c r="B115" s="19">
        <v>3.0150000000000001</v>
      </c>
      <c r="C115" s="23"/>
      <c r="D115" s="23"/>
    </row>
    <row r="116" spans="1:4" hidden="1">
      <c r="A116" s="21" t="s">
        <v>330</v>
      </c>
      <c r="B116" s="22">
        <v>2.9962</v>
      </c>
      <c r="C116" s="23"/>
      <c r="D116" s="23"/>
    </row>
    <row r="117" spans="1:4" hidden="1">
      <c r="A117" s="18" t="s">
        <v>331</v>
      </c>
      <c r="B117" s="19">
        <v>2.9961000000000002</v>
      </c>
      <c r="C117" s="23"/>
      <c r="D117" s="23"/>
    </row>
    <row r="118" spans="1:4" hidden="1">
      <c r="A118" s="21" t="s">
        <v>332</v>
      </c>
      <c r="B118" s="22">
        <v>3.12</v>
      </c>
      <c r="C118" s="23"/>
      <c r="D118" s="23"/>
    </row>
  </sheetData>
  <hyperlinks>
    <hyperlink ref="A2" r:id="rId1" display="http://webstat.banque-france.fr/fr/quickview.do?SERIES_KEY=255.FM.M.FR.EUR.FR2.BB.FRMOYTEC5.HSTA&amp;periodSortOrder=ASC"/>
    <hyperlink ref="A1" r:id="rId2"/>
  </hyperlinks>
  <pageMargins left="0.7" right="0.7" top="0.75" bottom="0.75" header="0.3" footer="0.3"/>
  <pageSetup orientation="portrait"/>
  <tableParts count="2">
    <tablePart r:id="rId3"/>
    <tablePart r:id="rId4"/>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S53"/>
  <sheetViews>
    <sheetView showGridLines="0" topLeftCell="A51" zoomScale="85" zoomScaleNormal="85" zoomScalePageLayoutView="85" workbookViewId="0">
      <selection activeCell="H25" sqref="H25"/>
    </sheetView>
  </sheetViews>
  <sheetFormatPr baseColWidth="10" defaultColWidth="10.7265625" defaultRowHeight="14.5" outlineLevelRow="1"/>
  <cols>
    <col min="1" max="1" width="3.7265625" customWidth="1"/>
    <col min="2" max="2" width="27.453125" customWidth="1"/>
    <col min="3" max="3" width="12.1796875" bestFit="1" customWidth="1"/>
    <col min="4" max="4" width="10.54296875" customWidth="1"/>
    <col min="9" max="12" width="11.453125" bestFit="1" customWidth="1"/>
    <col min="18" max="18" width="10.81640625" bestFit="1" customWidth="1"/>
    <col min="258" max="258" width="27.453125" customWidth="1"/>
    <col min="260" max="260" width="9.7265625" customWidth="1"/>
    <col min="514" max="514" width="27.453125" customWidth="1"/>
    <col min="516" max="516" width="9.7265625" customWidth="1"/>
    <col min="770" max="770" width="27.453125" customWidth="1"/>
    <col min="772" max="772" width="9.7265625" customWidth="1"/>
    <col min="1026" max="1026" width="27.453125" customWidth="1"/>
    <col min="1028" max="1028" width="9.7265625" customWidth="1"/>
    <col min="1282" max="1282" width="27.453125" customWidth="1"/>
    <col min="1284" max="1284" width="9.7265625" customWidth="1"/>
    <col min="1538" max="1538" width="27.453125" customWidth="1"/>
    <col min="1540" max="1540" width="9.7265625" customWidth="1"/>
    <col min="1794" max="1794" width="27.453125" customWidth="1"/>
    <col min="1796" max="1796" width="9.7265625" customWidth="1"/>
    <col min="2050" max="2050" width="27.453125" customWidth="1"/>
    <col min="2052" max="2052" width="9.7265625" customWidth="1"/>
    <col min="2306" max="2306" width="27.453125" customWidth="1"/>
    <col min="2308" max="2308" width="9.7265625" customWidth="1"/>
    <col min="2562" max="2562" width="27.453125" customWidth="1"/>
    <col min="2564" max="2564" width="9.7265625" customWidth="1"/>
    <col min="2818" max="2818" width="27.453125" customWidth="1"/>
    <col min="2820" max="2820" width="9.7265625" customWidth="1"/>
    <col min="3074" max="3074" width="27.453125" customWidth="1"/>
    <col min="3076" max="3076" width="9.7265625" customWidth="1"/>
    <col min="3330" max="3330" width="27.453125" customWidth="1"/>
    <col min="3332" max="3332" width="9.7265625" customWidth="1"/>
    <col min="3586" max="3586" width="27.453125" customWidth="1"/>
    <col min="3588" max="3588" width="9.7265625" customWidth="1"/>
    <col min="3842" max="3842" width="27.453125" customWidth="1"/>
    <col min="3844" max="3844" width="9.7265625" customWidth="1"/>
    <col min="4098" max="4098" width="27.453125" customWidth="1"/>
    <col min="4100" max="4100" width="9.7265625" customWidth="1"/>
    <col min="4354" max="4354" width="27.453125" customWidth="1"/>
    <col min="4356" max="4356" width="9.7265625" customWidth="1"/>
    <col min="4610" max="4610" width="27.453125" customWidth="1"/>
    <col min="4612" max="4612" width="9.7265625" customWidth="1"/>
    <col min="4866" max="4866" width="27.453125" customWidth="1"/>
    <col min="4868" max="4868" width="9.7265625" customWidth="1"/>
    <col min="5122" max="5122" width="27.453125" customWidth="1"/>
    <col min="5124" max="5124" width="9.7265625" customWidth="1"/>
    <col min="5378" max="5378" width="27.453125" customWidth="1"/>
    <col min="5380" max="5380" width="9.7265625" customWidth="1"/>
    <col min="5634" max="5634" width="27.453125" customWidth="1"/>
    <col min="5636" max="5636" width="9.7265625" customWidth="1"/>
    <col min="5890" max="5890" width="27.453125" customWidth="1"/>
    <col min="5892" max="5892" width="9.7265625" customWidth="1"/>
    <col min="6146" max="6146" width="27.453125" customWidth="1"/>
    <col min="6148" max="6148" width="9.7265625" customWidth="1"/>
    <col min="6402" max="6402" width="27.453125" customWidth="1"/>
    <col min="6404" max="6404" width="9.7265625" customWidth="1"/>
    <col min="6658" max="6658" width="27.453125" customWidth="1"/>
    <col min="6660" max="6660" width="9.7265625" customWidth="1"/>
    <col min="6914" max="6914" width="27.453125" customWidth="1"/>
    <col min="6916" max="6916" width="9.7265625" customWidth="1"/>
    <col min="7170" max="7170" width="27.453125" customWidth="1"/>
    <col min="7172" max="7172" width="9.7265625" customWidth="1"/>
    <col min="7426" max="7426" width="27.453125" customWidth="1"/>
    <col min="7428" max="7428" width="9.7265625" customWidth="1"/>
    <col min="7682" max="7682" width="27.453125" customWidth="1"/>
    <col min="7684" max="7684" width="9.7265625" customWidth="1"/>
    <col min="7938" max="7938" width="27.453125" customWidth="1"/>
    <col min="7940" max="7940" width="9.7265625" customWidth="1"/>
    <col min="8194" max="8194" width="27.453125" customWidth="1"/>
    <col min="8196" max="8196" width="9.7265625" customWidth="1"/>
    <col min="8450" max="8450" width="27.453125" customWidth="1"/>
    <col min="8452" max="8452" width="9.7265625" customWidth="1"/>
    <col min="8706" max="8706" width="27.453125" customWidth="1"/>
    <col min="8708" max="8708" width="9.7265625" customWidth="1"/>
    <col min="8962" max="8962" width="27.453125" customWidth="1"/>
    <col min="8964" max="8964" width="9.7265625" customWidth="1"/>
    <col min="9218" max="9218" width="27.453125" customWidth="1"/>
    <col min="9220" max="9220" width="9.7265625" customWidth="1"/>
    <col min="9474" max="9474" width="27.453125" customWidth="1"/>
    <col min="9476" max="9476" width="9.7265625" customWidth="1"/>
    <col min="9730" max="9730" width="27.453125" customWidth="1"/>
    <col min="9732" max="9732" width="9.7265625" customWidth="1"/>
    <col min="9986" max="9986" width="27.453125" customWidth="1"/>
    <col min="9988" max="9988" width="9.7265625" customWidth="1"/>
    <col min="10242" max="10242" width="27.453125" customWidth="1"/>
    <col min="10244" max="10244" width="9.7265625" customWidth="1"/>
    <col min="10498" max="10498" width="27.453125" customWidth="1"/>
    <col min="10500" max="10500" width="9.7265625" customWidth="1"/>
    <col min="10754" max="10754" width="27.453125" customWidth="1"/>
    <col min="10756" max="10756" width="9.7265625" customWidth="1"/>
    <col min="11010" max="11010" width="27.453125" customWidth="1"/>
    <col min="11012" max="11012" width="9.7265625" customWidth="1"/>
    <col min="11266" max="11266" width="27.453125" customWidth="1"/>
    <col min="11268" max="11268" width="9.7265625" customWidth="1"/>
    <col min="11522" max="11522" width="27.453125" customWidth="1"/>
    <col min="11524" max="11524" width="9.7265625" customWidth="1"/>
    <col min="11778" max="11778" width="27.453125" customWidth="1"/>
    <col min="11780" max="11780" width="9.7265625" customWidth="1"/>
    <col min="12034" max="12034" width="27.453125" customWidth="1"/>
    <col min="12036" max="12036" width="9.7265625" customWidth="1"/>
    <col min="12290" max="12290" width="27.453125" customWidth="1"/>
    <col min="12292" max="12292" width="9.7265625" customWidth="1"/>
    <col min="12546" max="12546" width="27.453125" customWidth="1"/>
    <col min="12548" max="12548" width="9.7265625" customWidth="1"/>
    <col min="12802" max="12802" width="27.453125" customWidth="1"/>
    <col min="12804" max="12804" width="9.7265625" customWidth="1"/>
    <col min="13058" max="13058" width="27.453125" customWidth="1"/>
    <col min="13060" max="13060" width="9.7265625" customWidth="1"/>
    <col min="13314" max="13314" width="27.453125" customWidth="1"/>
    <col min="13316" max="13316" width="9.7265625" customWidth="1"/>
    <col min="13570" max="13570" width="27.453125" customWidth="1"/>
    <col min="13572" max="13572" width="9.7265625" customWidth="1"/>
    <col min="13826" max="13826" width="27.453125" customWidth="1"/>
    <col min="13828" max="13828" width="9.7265625" customWidth="1"/>
    <col min="14082" max="14082" width="27.453125" customWidth="1"/>
    <col min="14084" max="14084" width="9.7265625" customWidth="1"/>
    <col min="14338" max="14338" width="27.453125" customWidth="1"/>
    <col min="14340" max="14340" width="9.7265625" customWidth="1"/>
    <col min="14594" max="14594" width="27.453125" customWidth="1"/>
    <col min="14596" max="14596" width="9.7265625" customWidth="1"/>
    <col min="14850" max="14850" width="27.453125" customWidth="1"/>
    <col min="14852" max="14852" width="9.7265625" customWidth="1"/>
    <col min="15106" max="15106" width="27.453125" customWidth="1"/>
    <col min="15108" max="15108" width="9.7265625" customWidth="1"/>
    <col min="15362" max="15362" width="27.453125" customWidth="1"/>
    <col min="15364" max="15364" width="9.7265625" customWidth="1"/>
    <col min="15618" max="15618" width="27.453125" customWidth="1"/>
    <col min="15620" max="15620" width="9.7265625" customWidth="1"/>
    <col min="15874" max="15874" width="27.453125" customWidth="1"/>
    <col min="15876" max="15876" width="9.7265625" customWidth="1"/>
    <col min="16130" max="16130" width="27.453125" customWidth="1"/>
    <col min="16132" max="16132" width="9.7265625" customWidth="1"/>
  </cols>
  <sheetData>
    <row r="1" spans="2:17" ht="15" thickBot="1"/>
    <row r="2" spans="2:17" ht="31.5" thickBot="1">
      <c r="F2" s="69"/>
      <c r="G2" s="920" t="s">
        <v>333</v>
      </c>
      <c r="H2" s="921"/>
      <c r="I2" s="921"/>
      <c r="J2" s="921"/>
      <c r="K2" s="921"/>
      <c r="L2" s="922"/>
      <c r="M2" s="69"/>
      <c r="N2" s="69"/>
      <c r="O2" s="69"/>
      <c r="P2" s="69"/>
      <c r="Q2" s="69"/>
    </row>
    <row r="3" spans="2:17" ht="31">
      <c r="B3" s="28"/>
      <c r="C3" s="28"/>
      <c r="D3" s="28"/>
      <c r="E3" s="28"/>
      <c r="F3" s="28"/>
      <c r="G3" s="28"/>
      <c r="H3" s="28"/>
      <c r="I3" s="28"/>
      <c r="J3" s="28"/>
      <c r="K3" s="28"/>
      <c r="L3" s="28"/>
      <c r="M3" s="28"/>
      <c r="N3" s="28"/>
      <c r="O3" s="28"/>
      <c r="P3" s="28"/>
      <c r="Q3" s="28"/>
    </row>
    <row r="4" spans="2:17" ht="15" hidden="1" customHeight="1" outlineLevel="1">
      <c r="B4" s="29"/>
      <c r="C4" s="30">
        <v>0</v>
      </c>
      <c r="D4" s="30">
        <v>1</v>
      </c>
      <c r="E4" s="30">
        <v>2</v>
      </c>
      <c r="F4" s="30">
        <v>3</v>
      </c>
      <c r="G4" s="30">
        <v>4</v>
      </c>
      <c r="H4" s="30">
        <v>5</v>
      </c>
      <c r="I4" s="30">
        <v>6</v>
      </c>
      <c r="J4" s="30">
        <v>7</v>
      </c>
      <c r="K4" s="30">
        <v>8</v>
      </c>
      <c r="L4" s="30">
        <v>9</v>
      </c>
      <c r="M4" s="30">
        <v>10</v>
      </c>
      <c r="N4" s="30">
        <v>11</v>
      </c>
      <c r="O4" s="30">
        <v>12</v>
      </c>
      <c r="P4" s="30">
        <v>13</v>
      </c>
      <c r="Q4" s="30">
        <v>14</v>
      </c>
    </row>
    <row r="5" spans="2:17" ht="2.25" customHeight="1" outlineLevel="1">
      <c r="B5" s="29"/>
      <c r="C5" s="30"/>
      <c r="D5" s="30"/>
      <c r="E5" s="30"/>
      <c r="F5" s="30"/>
      <c r="G5" s="30"/>
      <c r="H5" s="30"/>
      <c r="I5" s="30"/>
      <c r="J5" s="30"/>
      <c r="K5" s="30"/>
      <c r="L5" s="30"/>
      <c r="M5" s="30"/>
      <c r="N5" s="30"/>
      <c r="O5" s="30"/>
      <c r="P5" s="30"/>
      <c r="Q5" s="30"/>
    </row>
    <row r="6" spans="2:17" ht="15" customHeight="1" outlineLevel="1">
      <c r="C6" s="30"/>
      <c r="D6" s="30"/>
      <c r="E6" s="30"/>
      <c r="F6" s="30"/>
      <c r="G6" s="30"/>
      <c r="H6" s="30"/>
      <c r="I6" s="30"/>
      <c r="J6" s="30"/>
      <c r="K6" s="30"/>
      <c r="L6" s="30"/>
      <c r="M6" s="30"/>
      <c r="N6" s="30"/>
      <c r="O6" s="30"/>
      <c r="P6" s="30"/>
      <c r="Q6" s="30"/>
    </row>
    <row r="7" spans="2:17" s="114" customFormat="1" ht="22.5" customHeight="1">
      <c r="B7" s="242" t="s">
        <v>40</v>
      </c>
      <c r="C7" s="242" t="s">
        <v>334</v>
      </c>
      <c r="D7" s="242" t="s">
        <v>335</v>
      </c>
      <c r="E7" s="242" t="s">
        <v>336</v>
      </c>
      <c r="F7" s="242" t="s">
        <v>337</v>
      </c>
      <c r="G7" s="242" t="s">
        <v>338</v>
      </c>
      <c r="H7" s="242" t="s">
        <v>339</v>
      </c>
      <c r="I7" s="242" t="s">
        <v>340</v>
      </c>
      <c r="J7" s="242" t="s">
        <v>341</v>
      </c>
      <c r="K7" s="242" t="s">
        <v>342</v>
      </c>
      <c r="L7" s="242" t="s">
        <v>343</v>
      </c>
      <c r="M7" s="242" t="s">
        <v>344</v>
      </c>
      <c r="N7" s="242" t="s">
        <v>345</v>
      </c>
      <c r="O7" s="242" t="s">
        <v>346</v>
      </c>
      <c r="P7" s="242" t="s">
        <v>347</v>
      </c>
      <c r="Q7" s="242" t="s">
        <v>348</v>
      </c>
    </row>
    <row r="8" spans="2:17" s="10" customFormat="1" ht="4.5" customHeight="1">
      <c r="B8" s="70"/>
      <c r="C8" s="71"/>
      <c r="D8" s="71"/>
      <c r="E8" s="71"/>
      <c r="F8" s="71"/>
      <c r="G8" s="71"/>
      <c r="H8" s="71"/>
      <c r="I8" s="71"/>
      <c r="J8" s="71"/>
      <c r="K8" s="71"/>
      <c r="L8" s="71"/>
      <c r="M8" s="71"/>
      <c r="N8" s="71"/>
      <c r="O8" s="71"/>
      <c r="P8" s="71"/>
      <c r="Q8" s="72"/>
    </row>
    <row r="9" spans="2:17">
      <c r="B9" s="73" t="s">
        <v>349</v>
      </c>
      <c r="C9" s="74">
        <f>SUM(C10:C11)</f>
        <v>-7753.8461538461543</v>
      </c>
      <c r="D9" s="74">
        <f>SUM(D10:D11)</f>
        <v>-31015.384615384617</v>
      </c>
      <c r="E9" s="74">
        <f>SUM(E10:E11)</f>
        <v>-59382.493368700263</v>
      </c>
      <c r="F9" s="74">
        <f>SUM(F10:F11)</f>
        <v>-46427.586206896551</v>
      </c>
      <c r="G9" s="74">
        <f>SUM(G10:G11)</f>
        <v>-34820.689655172413</v>
      </c>
      <c r="H9" s="74">
        <f t="shared" ref="H9:L9" si="0">SUM(H10:H11)</f>
        <v>0</v>
      </c>
      <c r="I9" s="74">
        <f t="shared" si="0"/>
        <v>0</v>
      </c>
      <c r="J9" s="74">
        <f t="shared" si="0"/>
        <v>0</v>
      </c>
      <c r="K9" s="74">
        <f t="shared" si="0"/>
        <v>0</v>
      </c>
      <c r="L9" s="74">
        <f t="shared" si="0"/>
        <v>0</v>
      </c>
      <c r="M9" s="74">
        <f>SUM(M10:M11)</f>
        <v>0</v>
      </c>
      <c r="N9" s="74">
        <f t="shared" ref="N9" si="1">SUM(N10:N11)</f>
        <v>0</v>
      </c>
      <c r="O9" s="74">
        <f t="shared" ref="O9" si="2">SUM(O10:O11)</f>
        <v>0</v>
      </c>
      <c r="P9" s="74">
        <f t="shared" ref="P9" si="3">SUM(P10:P11)</f>
        <v>0</v>
      </c>
      <c r="Q9" s="75">
        <f t="shared" ref="Q9" si="4">SUM(Q10:Q11)</f>
        <v>0</v>
      </c>
    </row>
    <row r="10" spans="2:17">
      <c r="B10" s="76" t="s">
        <v>350</v>
      </c>
      <c r="C10" s="77">
        <f>-Données!$F$14*Données!F5/Données!$F$10</f>
        <v>-7753.8461538461543</v>
      </c>
      <c r="D10" s="77">
        <f>-Données!F14*Données!F6/Données!F10</f>
        <v>-31015.384615384617</v>
      </c>
      <c r="E10" s="77">
        <f>-Données!F14*Données!F7/Données!F10</f>
        <v>-28430.76923076923</v>
      </c>
      <c r="F10" s="77">
        <f>-Données!F14*Données!F8/Données!F10</f>
        <v>0</v>
      </c>
      <c r="G10" s="77">
        <f>-Données!F14*Données!F9/Données!F10</f>
        <v>0</v>
      </c>
      <c r="H10" s="77"/>
      <c r="I10" s="77"/>
      <c r="J10" s="77"/>
      <c r="K10" s="77"/>
      <c r="L10" s="77"/>
      <c r="M10" s="77"/>
      <c r="N10" s="77"/>
      <c r="O10" s="77"/>
      <c r="P10" s="77"/>
      <c r="Q10" s="78"/>
    </row>
    <row r="11" spans="2:17">
      <c r="B11" s="76" t="s">
        <v>351</v>
      </c>
      <c r="C11" s="77">
        <f>Données!G14*Données!G5/Données!G10</f>
        <v>0</v>
      </c>
      <c r="D11" s="77"/>
      <c r="E11" s="77">
        <f>-Données!G14*Données!G7/Données!G10</f>
        <v>-30951.724137931036</v>
      </c>
      <c r="F11" s="77">
        <f>-Données!G14*Données!G8/Données!G10</f>
        <v>-46427.586206896551</v>
      </c>
      <c r="G11" s="77">
        <f>-Données!G14*Données!G9/Données!G10</f>
        <v>-34820.689655172413</v>
      </c>
      <c r="H11" s="77"/>
      <c r="I11" s="77"/>
      <c r="J11" s="77"/>
      <c r="K11" s="77"/>
      <c r="L11" s="77"/>
      <c r="M11" s="77"/>
      <c r="N11" s="77"/>
      <c r="O11" s="77"/>
      <c r="P11" s="77"/>
      <c r="Q11" s="78"/>
    </row>
    <row r="12" spans="2:17" ht="3.75" customHeight="1">
      <c r="B12" s="76"/>
      <c r="C12" s="77"/>
      <c r="D12" s="77"/>
      <c r="E12" s="77"/>
      <c r="F12" s="77"/>
      <c r="G12" s="77"/>
      <c r="H12" s="77"/>
      <c r="I12" s="77"/>
      <c r="J12" s="77"/>
      <c r="K12" s="77"/>
      <c r="L12" s="77"/>
      <c r="M12" s="77"/>
      <c r="N12" s="77"/>
      <c r="O12" s="77"/>
      <c r="P12" s="77"/>
      <c r="Q12" s="78"/>
    </row>
    <row r="13" spans="2:17">
      <c r="B13" s="73" t="s">
        <v>352</v>
      </c>
      <c r="C13" s="74">
        <f>SUM(C14:C16)</f>
        <v>0</v>
      </c>
      <c r="D13" s="74">
        <f t="shared" ref="D13:Q13" si="5">SUM(D14:D16)</f>
        <v>0</v>
      </c>
      <c r="E13" s="74">
        <f t="shared" si="5"/>
        <v>-4126.8965517241386</v>
      </c>
      <c r="F13" s="74">
        <f t="shared" si="5"/>
        <v>-15475.862068965518</v>
      </c>
      <c r="G13" s="74">
        <f t="shared" si="5"/>
        <v>-22440</v>
      </c>
      <c r="H13" s="74">
        <f t="shared" si="5"/>
        <v>-22440</v>
      </c>
      <c r="I13" s="74">
        <f t="shared" si="5"/>
        <v>-22440</v>
      </c>
      <c r="J13" s="74">
        <f t="shared" si="5"/>
        <v>-18313.103448275862</v>
      </c>
      <c r="K13" s="74">
        <f t="shared" si="5"/>
        <v>-6964.1379310344828</v>
      </c>
      <c r="L13" s="74">
        <f t="shared" si="5"/>
        <v>0</v>
      </c>
      <c r="M13" s="74">
        <f t="shared" si="5"/>
        <v>0</v>
      </c>
      <c r="N13" s="74">
        <f t="shared" si="5"/>
        <v>0</v>
      </c>
      <c r="O13" s="74">
        <f t="shared" si="5"/>
        <v>0</v>
      </c>
      <c r="P13" s="74">
        <f t="shared" si="5"/>
        <v>0</v>
      </c>
      <c r="Q13" s="75">
        <f t="shared" si="5"/>
        <v>0</v>
      </c>
    </row>
    <row r="14" spans="2:17">
      <c r="B14" s="76" t="s">
        <v>353</v>
      </c>
      <c r="C14" s="77"/>
      <c r="D14" s="77"/>
      <c r="E14" s="77">
        <f>-Données!B46</f>
        <v>-4126.8965517241386</v>
      </c>
      <c r="F14" s="77">
        <f>-Données!E23</f>
        <v>-6190.3448275862074</v>
      </c>
      <c r="G14" s="77">
        <f>-Données!E24</f>
        <v>-6190.3448275862074</v>
      </c>
      <c r="H14" s="77">
        <f>-Données!E25</f>
        <v>-6190.3448275862074</v>
      </c>
      <c r="I14" s="77">
        <f>-Données!E26</f>
        <v>-6190.3448275862074</v>
      </c>
      <c r="J14" s="77">
        <f>-Données!E27</f>
        <v>-2063.4482758620693</v>
      </c>
      <c r="K14" s="77"/>
      <c r="L14" s="77"/>
      <c r="M14" s="77"/>
      <c r="N14" s="77"/>
      <c r="O14" s="77"/>
      <c r="P14" s="77"/>
      <c r="Q14" s="78"/>
    </row>
    <row r="15" spans="2:17">
      <c r="B15" s="76" t="s">
        <v>354</v>
      </c>
      <c r="C15" s="77"/>
      <c r="D15" s="77"/>
      <c r="E15" s="77"/>
      <c r="F15" s="77">
        <f>-Données!E31</f>
        <v>-9285.5172413793098</v>
      </c>
      <c r="G15" s="77">
        <f>-Données!E31</f>
        <v>-9285.5172413793098</v>
      </c>
      <c r="H15" s="77">
        <f>-Données!E32</f>
        <v>-9285.5172413793098</v>
      </c>
      <c r="I15" s="77">
        <f>-Données!E33</f>
        <v>-9285.5172413793098</v>
      </c>
      <c r="J15" s="77">
        <f>-Données!E34</f>
        <v>-9285.5172413793098</v>
      </c>
      <c r="K15" s="77"/>
      <c r="L15" s="77"/>
      <c r="M15" s="77"/>
      <c r="N15" s="77"/>
      <c r="O15" s="77"/>
      <c r="P15" s="77"/>
      <c r="Q15" s="78"/>
    </row>
    <row r="16" spans="2:17">
      <c r="B16" s="76" t="s">
        <v>355</v>
      </c>
      <c r="C16" s="77"/>
      <c r="D16" s="77"/>
      <c r="E16" s="77"/>
      <c r="F16" s="77"/>
      <c r="G16" s="77">
        <f>-Données!E37</f>
        <v>-6964.1379310344828</v>
      </c>
      <c r="H16" s="77">
        <f>-Données!E38</f>
        <v>-6964.1379310344828</v>
      </c>
      <c r="I16" s="77">
        <f>-Données!E39</f>
        <v>-6964.1379310344828</v>
      </c>
      <c r="J16" s="77">
        <f>-Données!E40</f>
        <v>-6964.1379310344828</v>
      </c>
      <c r="K16" s="77">
        <f>-Données!E41</f>
        <v>-6964.1379310344828</v>
      </c>
      <c r="L16" s="77"/>
      <c r="M16" s="77"/>
      <c r="N16" s="77"/>
      <c r="O16" s="77"/>
      <c r="P16" s="77"/>
      <c r="Q16" s="78"/>
    </row>
    <row r="17" spans="2:19" ht="3.75" customHeight="1">
      <c r="B17" s="76"/>
      <c r="C17" s="77"/>
      <c r="D17" s="77"/>
      <c r="E17" s="77"/>
      <c r="F17" s="77"/>
      <c r="G17" s="77"/>
      <c r="H17" s="77"/>
      <c r="I17" s="77"/>
      <c r="J17" s="77"/>
      <c r="K17" s="77"/>
      <c r="L17" s="77"/>
      <c r="M17" s="77"/>
      <c r="N17" s="77"/>
      <c r="O17" s="77"/>
      <c r="P17" s="77"/>
      <c r="Q17" s="78"/>
    </row>
    <row r="18" spans="2:19">
      <c r="B18" s="73" t="s">
        <v>356</v>
      </c>
      <c r="C18" s="74">
        <f t="shared" ref="C18:D18" si="6">C10+C13</f>
        <v>-7753.8461538461543</v>
      </c>
      <c r="D18" s="74">
        <f t="shared" si="6"/>
        <v>-31015.384615384617</v>
      </c>
      <c r="E18" s="74">
        <f>E10+E13</f>
        <v>-32557.665782493368</v>
      </c>
      <c r="F18" s="74">
        <f t="shared" ref="F18:Q18" si="7">F10+F13</f>
        <v>-15475.862068965518</v>
      </c>
      <c r="G18" s="74">
        <f t="shared" si="7"/>
        <v>-22440</v>
      </c>
      <c r="H18" s="74">
        <f t="shared" si="7"/>
        <v>-22440</v>
      </c>
      <c r="I18" s="74">
        <f t="shared" si="7"/>
        <v>-22440</v>
      </c>
      <c r="J18" s="74">
        <f t="shared" si="7"/>
        <v>-18313.103448275862</v>
      </c>
      <c r="K18" s="74">
        <f t="shared" si="7"/>
        <v>-6964.1379310344828</v>
      </c>
      <c r="L18" s="74">
        <f t="shared" si="7"/>
        <v>0</v>
      </c>
      <c r="M18" s="74">
        <f t="shared" si="7"/>
        <v>0</v>
      </c>
      <c r="N18" s="74">
        <f t="shared" si="7"/>
        <v>0</v>
      </c>
      <c r="O18" s="74">
        <f t="shared" si="7"/>
        <v>0</v>
      </c>
      <c r="P18" s="74">
        <f t="shared" si="7"/>
        <v>0</v>
      </c>
      <c r="Q18" s="75">
        <f t="shared" si="7"/>
        <v>0</v>
      </c>
    </row>
    <row r="19" spans="2:19" s="33" customFormat="1">
      <c r="B19" s="79" t="s">
        <v>357</v>
      </c>
      <c r="C19" s="80">
        <f>-C18*Données!$C$10</f>
        <v>3101.5384615384619</v>
      </c>
      <c r="D19" s="80">
        <f>-D18*Données!$C$10</f>
        <v>12406.153846153848</v>
      </c>
      <c r="E19" s="80">
        <f>-E18*Données!$C$10</f>
        <v>13023.066312997347</v>
      </c>
      <c r="F19" s="80">
        <f>-F18*Données!$C$10</f>
        <v>6190.3448275862074</v>
      </c>
      <c r="G19" s="80">
        <f>-G18*Données!$C$10</f>
        <v>8976</v>
      </c>
      <c r="H19" s="80">
        <f>-H18*Données!$C$10</f>
        <v>8976</v>
      </c>
      <c r="I19" s="80">
        <f>-I18*Données!$C$10</f>
        <v>8976</v>
      </c>
      <c r="J19" s="80">
        <f>-J18*Données!$C$10</f>
        <v>7325.2413793103451</v>
      </c>
      <c r="K19" s="80">
        <f>-K18*Données!$C$10</f>
        <v>2785.6551724137935</v>
      </c>
      <c r="L19" s="80"/>
      <c r="M19" s="80"/>
      <c r="N19" s="80"/>
      <c r="O19" s="80"/>
      <c r="P19" s="80"/>
      <c r="Q19" s="81"/>
    </row>
    <row r="20" spans="2:19" s="33" customFormat="1" ht="3.75" customHeight="1">
      <c r="B20" s="79"/>
      <c r="C20" s="80"/>
      <c r="D20" s="80"/>
      <c r="E20" s="80"/>
      <c r="F20" s="80"/>
      <c r="G20" s="80"/>
      <c r="H20" s="80"/>
      <c r="I20" s="80"/>
      <c r="J20" s="80"/>
      <c r="K20" s="80"/>
      <c r="L20" s="80"/>
      <c r="M20" s="80"/>
      <c r="N20" s="80"/>
      <c r="O20" s="80"/>
      <c r="P20" s="80"/>
      <c r="Q20" s="81"/>
    </row>
    <row r="21" spans="2:19">
      <c r="B21" s="73" t="s">
        <v>358</v>
      </c>
      <c r="C21" s="74">
        <f>SUM(C18:C19)</f>
        <v>-4652.3076923076924</v>
      </c>
      <c r="D21" s="74">
        <f t="shared" ref="D21:Q21" si="8">SUM(D18:D19)</f>
        <v>-18609.23076923077</v>
      </c>
      <c r="E21" s="74">
        <f t="shared" si="8"/>
        <v>-19534.599469496021</v>
      </c>
      <c r="F21" s="74">
        <f t="shared" si="8"/>
        <v>-9285.5172413793116</v>
      </c>
      <c r="G21" s="74">
        <f t="shared" si="8"/>
        <v>-13464</v>
      </c>
      <c r="H21" s="74">
        <f t="shared" si="8"/>
        <v>-13464</v>
      </c>
      <c r="I21" s="74">
        <f t="shared" si="8"/>
        <v>-13464</v>
      </c>
      <c r="J21" s="74">
        <f t="shared" si="8"/>
        <v>-10987.862068965518</v>
      </c>
      <c r="K21" s="74">
        <f t="shared" si="8"/>
        <v>-4178.4827586206893</v>
      </c>
      <c r="L21" s="74">
        <f t="shared" si="8"/>
        <v>0</v>
      </c>
      <c r="M21" s="74">
        <f t="shared" si="8"/>
        <v>0</v>
      </c>
      <c r="N21" s="74">
        <f t="shared" si="8"/>
        <v>0</v>
      </c>
      <c r="O21" s="74">
        <f t="shared" si="8"/>
        <v>0</v>
      </c>
      <c r="P21" s="74">
        <f t="shared" si="8"/>
        <v>0</v>
      </c>
      <c r="Q21" s="75">
        <f t="shared" si="8"/>
        <v>0</v>
      </c>
    </row>
    <row r="22" spans="2:19" s="33" customFormat="1" ht="15" thickBot="1">
      <c r="B22" s="82" t="s">
        <v>359</v>
      </c>
      <c r="C22" s="83">
        <f>-C13</f>
        <v>0</v>
      </c>
      <c r="D22" s="83">
        <f t="shared" ref="D22:K22" si="9">-D13</f>
        <v>0</v>
      </c>
      <c r="E22" s="83">
        <f t="shared" si="9"/>
        <v>4126.8965517241386</v>
      </c>
      <c r="F22" s="83">
        <f t="shared" si="9"/>
        <v>15475.862068965518</v>
      </c>
      <c r="G22" s="83">
        <f t="shared" si="9"/>
        <v>22440</v>
      </c>
      <c r="H22" s="83">
        <f t="shared" si="9"/>
        <v>22440</v>
      </c>
      <c r="I22" s="83">
        <f t="shared" si="9"/>
        <v>22440</v>
      </c>
      <c r="J22" s="83">
        <f t="shared" si="9"/>
        <v>18313.103448275862</v>
      </c>
      <c r="K22" s="83">
        <f t="shared" si="9"/>
        <v>6964.1379310344828</v>
      </c>
      <c r="L22" s="83"/>
      <c r="M22" s="83"/>
      <c r="N22" s="83"/>
      <c r="O22" s="83"/>
      <c r="P22" s="83"/>
      <c r="Q22" s="84"/>
    </row>
    <row r="23" spans="2:19">
      <c r="B23" s="51" t="s">
        <v>366</v>
      </c>
      <c r="C23" s="52">
        <f>C9+C19</f>
        <v>-4652.3076923076924</v>
      </c>
      <c r="D23" s="52">
        <f t="shared" ref="D23:Q23" si="10">D9+D19</f>
        <v>-18609.23076923077</v>
      </c>
      <c r="E23" s="52">
        <f>E9+E19</f>
        <v>-46359.427055702916</v>
      </c>
      <c r="F23" s="52">
        <f>F9+F19</f>
        <v>-40237.241379310341</v>
      </c>
      <c r="G23" s="52">
        <f t="shared" si="10"/>
        <v>-25844.689655172413</v>
      </c>
      <c r="H23" s="52">
        <f t="shared" si="10"/>
        <v>8976</v>
      </c>
      <c r="I23" s="52">
        <f t="shared" si="10"/>
        <v>8976</v>
      </c>
      <c r="J23" s="52">
        <f t="shared" si="10"/>
        <v>7325.2413793103451</v>
      </c>
      <c r="K23" s="52">
        <f t="shared" si="10"/>
        <v>2785.6551724137935</v>
      </c>
      <c r="L23" s="52">
        <f t="shared" si="10"/>
        <v>0</v>
      </c>
      <c r="M23" s="52">
        <f t="shared" si="10"/>
        <v>0</v>
      </c>
      <c r="N23" s="52">
        <f t="shared" si="10"/>
        <v>0</v>
      </c>
      <c r="O23" s="52">
        <f t="shared" si="10"/>
        <v>0</v>
      </c>
      <c r="P23" s="52">
        <f t="shared" si="10"/>
        <v>0</v>
      </c>
      <c r="Q23" s="53">
        <f t="shared" si="10"/>
        <v>0</v>
      </c>
      <c r="S23" s="32">
        <f>SUM(C23:Q23)</f>
        <v>-107639.99999999997</v>
      </c>
    </row>
    <row r="24" spans="2:19" s="50" customFormat="1" ht="2.25" customHeight="1">
      <c r="B24" s="60"/>
      <c r="C24" s="61"/>
      <c r="D24" s="61"/>
      <c r="E24" s="61"/>
      <c r="F24" s="61"/>
      <c r="G24" s="61"/>
      <c r="H24" s="61"/>
      <c r="I24" s="61"/>
      <c r="J24" s="61"/>
      <c r="K24" s="61"/>
      <c r="L24" s="61"/>
      <c r="M24" s="61"/>
      <c r="N24" s="61"/>
      <c r="O24" s="61"/>
      <c r="P24" s="61"/>
      <c r="Q24" s="62"/>
    </row>
    <row r="25" spans="2:19" ht="15" thickBot="1">
      <c r="B25" s="57" t="s">
        <v>367</v>
      </c>
      <c r="C25" s="58">
        <f>C23/(1+'Cours en bourse'!$L$18)^(C7-$C$7)</f>
        <v>-4652.3076923076924</v>
      </c>
      <c r="D25" s="58">
        <f>D23/(1+'Cours en bourse'!$L$18)^(D7-$C$7)</f>
        <v>-16728.024760770848</v>
      </c>
      <c r="E25" s="58">
        <f>E23/(1+'Cours en bourse'!$L$18)^(E7-$C$7)</f>
        <v>-37460.238859854901</v>
      </c>
      <c r="F25" s="58">
        <f>F23/(1+'Cours en bourse'!$L$18)^(F7-$C$7)</f>
        <v>-29226.507530881718</v>
      </c>
      <c r="G25" s="58">
        <f>G23/(1+'Cours en bourse'!$L$18)^(G7-$C$7)</f>
        <v>-16874.708758086006</v>
      </c>
      <c r="H25" s="58">
        <f>H23/(1+'Cours en bourse'!$L$18)^(H7-$C$7)</f>
        <v>5268.221781530905</v>
      </c>
      <c r="I25" s="58">
        <f>I23/(1+'Cours en bourse'!$L$18)^(I7-$C$7)</f>
        <v>4735.657561536279</v>
      </c>
      <c r="J25" s="58">
        <f>J23/(1+'Cours en bourse'!$L$18)^(J7-$C$7)</f>
        <v>3474.0465064408795</v>
      </c>
      <c r="K25" s="58">
        <f>K23/(1+'Cours en bourse'!$L$18)^(K7-$C$7)</f>
        <v>1187.5647128671444</v>
      </c>
      <c r="L25" s="58">
        <f>L23/(1+'Cours en bourse'!$L$18)^(L7-$C$7)</f>
        <v>0</v>
      </c>
      <c r="M25" s="58">
        <f>M23/(1+'Cours en bourse'!$L$18)^(M7-$C$7)</f>
        <v>0</v>
      </c>
      <c r="N25" s="58">
        <f>N23/(1+'Cours en bourse'!$L$18)^(N7-$C$7)</f>
        <v>0</v>
      </c>
      <c r="O25" s="58">
        <f>O23/(1+'Cours en bourse'!$L$18)^(O7-$C$7)</f>
        <v>0</v>
      </c>
      <c r="P25" s="58">
        <f>P23/(1+'Cours en bourse'!$L$18)^(P7-$C$7)</f>
        <v>0</v>
      </c>
      <c r="Q25" s="59">
        <f>Q23/(1+'Cours en bourse'!$L$18)^(Q7-$C$7)</f>
        <v>0</v>
      </c>
    </row>
    <row r="26" spans="2:19" ht="15" thickBot="1">
      <c r="B26" s="7"/>
      <c r="C26" s="31"/>
      <c r="D26" s="31"/>
      <c r="E26" s="31"/>
      <c r="F26" s="31"/>
      <c r="G26" s="31"/>
      <c r="H26" s="31"/>
      <c r="I26" s="31"/>
      <c r="J26" s="31"/>
      <c r="K26" s="31"/>
      <c r="L26" s="31"/>
      <c r="M26" s="31"/>
      <c r="N26" s="31"/>
      <c r="O26" s="31"/>
      <c r="P26" s="31"/>
      <c r="Q26" s="31"/>
    </row>
    <row r="27" spans="2:19" s="33" customFormat="1" ht="18" customHeight="1" thickBot="1">
      <c r="B27" s="262" t="s">
        <v>360</v>
      </c>
      <c r="C27" s="263">
        <f>SUM(C25:Q25)</f>
        <v>-90276.297039525976</v>
      </c>
      <c r="D27" s="48"/>
      <c r="E27" s="48"/>
      <c r="F27" s="48"/>
      <c r="G27" s="48"/>
      <c r="H27" s="48"/>
      <c r="I27" s="48"/>
      <c r="J27" s="48"/>
      <c r="K27" s="48"/>
      <c r="L27" s="48"/>
      <c r="M27" s="48"/>
      <c r="N27" s="48"/>
      <c r="O27" s="48"/>
      <c r="P27" s="48"/>
      <c r="Q27" s="48"/>
      <c r="S27" s="35"/>
    </row>
    <row r="28" spans="2:19">
      <c r="B28" s="7"/>
      <c r="C28" s="31"/>
      <c r="D28" s="31"/>
      <c r="E28" s="31"/>
      <c r="F28" s="31"/>
      <c r="G28" s="31"/>
      <c r="H28" s="31"/>
      <c r="I28" s="31"/>
      <c r="J28" s="31"/>
      <c r="K28" s="31"/>
      <c r="L28" s="31"/>
      <c r="M28" s="31"/>
      <c r="N28" s="31"/>
      <c r="O28" s="31"/>
      <c r="P28" s="31"/>
      <c r="Q28" s="31"/>
      <c r="S28" s="11"/>
    </row>
    <row r="29" spans="2:19" ht="15" customHeight="1">
      <c r="C29" s="32"/>
      <c r="D29" s="32"/>
      <c r="E29" s="32"/>
      <c r="F29" s="32"/>
      <c r="G29" s="32"/>
      <c r="H29" s="32"/>
      <c r="I29" s="32"/>
      <c r="J29" s="32"/>
      <c r="K29" s="32"/>
      <c r="L29" s="32"/>
      <c r="M29" s="32"/>
      <c r="N29" s="32"/>
      <c r="O29" s="32"/>
      <c r="P29" s="32"/>
      <c r="Q29" s="32"/>
      <c r="R29" s="32"/>
      <c r="S29" s="11"/>
    </row>
    <row r="30" spans="2:19">
      <c r="C30" s="32"/>
      <c r="D30" s="32"/>
      <c r="E30" s="32"/>
      <c r="F30" s="32"/>
      <c r="G30" s="32"/>
      <c r="H30" s="32"/>
      <c r="I30" s="32"/>
      <c r="J30" s="32"/>
      <c r="K30" s="32"/>
      <c r="L30" s="32"/>
      <c r="M30" s="32"/>
      <c r="N30" s="32"/>
      <c r="O30" s="32"/>
      <c r="P30" s="32"/>
      <c r="Q30" s="32"/>
      <c r="R30" s="32"/>
      <c r="S30" s="11"/>
    </row>
    <row r="31" spans="2:19" s="43" customFormat="1" ht="21" customHeight="1">
      <c r="B31" s="242" t="s">
        <v>361</v>
      </c>
      <c r="C31" s="242" t="s">
        <v>334</v>
      </c>
      <c r="D31" s="242" t="s">
        <v>335</v>
      </c>
      <c r="E31" s="242" t="s">
        <v>336</v>
      </c>
      <c r="F31" s="242" t="s">
        <v>337</v>
      </c>
      <c r="G31" s="242" t="s">
        <v>338</v>
      </c>
      <c r="H31" s="242" t="s">
        <v>339</v>
      </c>
      <c r="I31" s="242" t="s">
        <v>340</v>
      </c>
      <c r="J31" s="242" t="s">
        <v>341</v>
      </c>
      <c r="K31" s="242" t="s">
        <v>342</v>
      </c>
      <c r="L31" s="242" t="s">
        <v>343</v>
      </c>
      <c r="M31" s="242" t="s">
        <v>344</v>
      </c>
      <c r="N31" s="242" t="s">
        <v>345</v>
      </c>
      <c r="O31" s="242" t="s">
        <v>346</v>
      </c>
      <c r="P31" s="242" t="s">
        <v>347</v>
      </c>
      <c r="Q31" s="242" t="s">
        <v>348</v>
      </c>
      <c r="R31" s="44"/>
      <c r="S31" s="45"/>
    </row>
    <row r="32" spans="2:19" s="9" customFormat="1" ht="4.5" customHeight="1">
      <c r="B32" s="85"/>
      <c r="C32" s="86"/>
      <c r="D32" s="86"/>
      <c r="E32" s="86"/>
      <c r="F32" s="86"/>
      <c r="G32" s="86"/>
      <c r="H32" s="86"/>
      <c r="I32" s="86"/>
      <c r="J32" s="86"/>
      <c r="K32" s="86"/>
      <c r="L32" s="86"/>
      <c r="M32" s="86"/>
      <c r="N32" s="86"/>
      <c r="O32" s="86"/>
      <c r="P32" s="86"/>
      <c r="Q32" s="87"/>
      <c r="R32" s="46"/>
      <c r="S32" s="47"/>
    </row>
    <row r="33" spans="2:19">
      <c r="B33" s="73" t="s">
        <v>349</v>
      </c>
      <c r="C33" s="74">
        <v>-8423.0769230769238</v>
      </c>
      <c r="D33" s="74">
        <v>-33692.307692307695</v>
      </c>
      <c r="E33" s="74">
        <v>-57753.580901856767</v>
      </c>
      <c r="F33" s="74">
        <v>-40303.448275862072</v>
      </c>
      <c r="G33" s="74">
        <v>-30227.586206896551</v>
      </c>
      <c r="H33" s="74">
        <v>0</v>
      </c>
      <c r="I33" s="74">
        <v>0</v>
      </c>
      <c r="J33" s="74">
        <v>0</v>
      </c>
      <c r="K33" s="74">
        <v>0</v>
      </c>
      <c r="L33" s="74">
        <v>0</v>
      </c>
      <c r="M33" s="74">
        <v>0</v>
      </c>
      <c r="N33" s="74">
        <v>0</v>
      </c>
      <c r="O33" s="74">
        <v>0</v>
      </c>
      <c r="P33" s="74">
        <v>0</v>
      </c>
      <c r="Q33" s="75">
        <v>0</v>
      </c>
      <c r="R33" s="32"/>
      <c r="S33" s="11"/>
    </row>
    <row r="34" spans="2:19">
      <c r="B34" s="76" t="s">
        <v>350</v>
      </c>
      <c r="C34" s="77">
        <v>-8423.0769230769238</v>
      </c>
      <c r="D34" s="77">
        <v>-33692.307692307695</v>
      </c>
      <c r="E34" s="77">
        <v>-30884.615384615383</v>
      </c>
      <c r="F34" s="77"/>
      <c r="G34" s="77"/>
      <c r="H34" s="77"/>
      <c r="I34" s="77"/>
      <c r="J34" s="77"/>
      <c r="K34" s="77"/>
      <c r="L34" s="77"/>
      <c r="M34" s="77"/>
      <c r="N34" s="77"/>
      <c r="O34" s="77"/>
      <c r="P34" s="77"/>
      <c r="Q34" s="78"/>
      <c r="R34" s="32"/>
      <c r="S34" s="11"/>
    </row>
    <row r="35" spans="2:19">
      <c r="B35" s="76" t="s">
        <v>351</v>
      </c>
      <c r="C35" s="77"/>
      <c r="D35" s="77"/>
      <c r="E35" s="77">
        <v>-26868.96551724138</v>
      </c>
      <c r="F35" s="77">
        <v>-40303.448275862072</v>
      </c>
      <c r="G35" s="77">
        <v>-30227.586206896551</v>
      </c>
      <c r="H35" s="77"/>
      <c r="I35" s="77"/>
      <c r="J35" s="77"/>
      <c r="K35" s="77"/>
      <c r="L35" s="77"/>
      <c r="M35" s="77"/>
      <c r="N35" s="77"/>
      <c r="O35" s="77"/>
      <c r="P35" s="77"/>
      <c r="Q35" s="78"/>
      <c r="R35" s="32"/>
      <c r="S35" s="11"/>
    </row>
    <row r="36" spans="2:19" ht="3.75" customHeight="1">
      <c r="B36" s="76"/>
      <c r="C36" s="77"/>
      <c r="D36" s="77"/>
      <c r="E36" s="77"/>
      <c r="F36" s="77"/>
      <c r="G36" s="77"/>
      <c r="H36" s="77"/>
      <c r="I36" s="77"/>
      <c r="J36" s="77"/>
      <c r="K36" s="77"/>
      <c r="L36" s="77"/>
      <c r="M36" s="77"/>
      <c r="N36" s="77"/>
      <c r="O36" s="77"/>
      <c r="P36" s="77"/>
      <c r="Q36" s="78"/>
      <c r="R36" s="32"/>
      <c r="S36" s="11"/>
    </row>
    <row r="37" spans="2:19">
      <c r="B37" s="73" t="s">
        <v>352</v>
      </c>
      <c r="C37" s="74">
        <v>0</v>
      </c>
      <c r="D37" s="74">
        <v>0</v>
      </c>
      <c r="E37" s="74">
        <v>-3582.5287356321842</v>
      </c>
      <c r="F37" s="74">
        <v>-13434.482758620692</v>
      </c>
      <c r="G37" s="74">
        <v>-19480.000000000004</v>
      </c>
      <c r="H37" s="74">
        <v>-19480.000000000004</v>
      </c>
      <c r="I37" s="74">
        <v>-19480.000000000004</v>
      </c>
      <c r="J37" s="74">
        <v>-15897.471264367818</v>
      </c>
      <c r="K37" s="74">
        <v>-6045.5172413793107</v>
      </c>
      <c r="L37" s="74">
        <v>0</v>
      </c>
      <c r="M37" s="74">
        <v>0</v>
      </c>
      <c r="N37" s="74">
        <v>0</v>
      </c>
      <c r="O37" s="74">
        <v>0</v>
      </c>
      <c r="P37" s="74">
        <v>0</v>
      </c>
      <c r="Q37" s="75">
        <v>0</v>
      </c>
      <c r="R37" s="32"/>
      <c r="S37" s="11"/>
    </row>
    <row r="38" spans="2:19">
      <c r="B38" s="76" t="s">
        <v>353</v>
      </c>
      <c r="C38" s="77"/>
      <c r="D38" s="77"/>
      <c r="E38" s="77">
        <v>-3582.5287356321842</v>
      </c>
      <c r="F38" s="77">
        <v>-5373.7931034482763</v>
      </c>
      <c r="G38" s="77">
        <v>-5373.7931034482763</v>
      </c>
      <c r="H38" s="77">
        <v>-5373.7931034482763</v>
      </c>
      <c r="I38" s="77">
        <v>-5373.7931034482763</v>
      </c>
      <c r="J38" s="77">
        <v>-1791.2643678160921</v>
      </c>
      <c r="K38" s="77"/>
      <c r="L38" s="77"/>
      <c r="M38" s="77"/>
      <c r="N38" s="77"/>
      <c r="O38" s="77"/>
      <c r="P38" s="77"/>
      <c r="Q38" s="78"/>
      <c r="R38" s="32"/>
      <c r="S38" s="11"/>
    </row>
    <row r="39" spans="2:19">
      <c r="B39" s="76" t="s">
        <v>354</v>
      </c>
      <c r="C39" s="77"/>
      <c r="D39" s="77"/>
      <c r="E39" s="77"/>
      <c r="F39" s="77">
        <v>-8060.6896551724149</v>
      </c>
      <c r="G39" s="77">
        <v>-8060.6896551724149</v>
      </c>
      <c r="H39" s="77">
        <v>-8060.6896551724149</v>
      </c>
      <c r="I39" s="77">
        <v>-8060.6896551724149</v>
      </c>
      <c r="J39" s="77">
        <v>-8060.6896551724149</v>
      </c>
      <c r="K39" s="77"/>
      <c r="L39" s="77"/>
      <c r="M39" s="77"/>
      <c r="N39" s="77"/>
      <c r="O39" s="77"/>
      <c r="P39" s="77"/>
      <c r="Q39" s="78"/>
      <c r="R39" s="32"/>
      <c r="S39" s="11"/>
    </row>
    <row r="40" spans="2:19">
      <c r="B40" s="76" t="s">
        <v>355</v>
      </c>
      <c r="C40" s="77"/>
      <c r="D40" s="77"/>
      <c r="E40" s="77"/>
      <c r="F40" s="77"/>
      <c r="G40" s="77">
        <v>-6045.5172413793107</v>
      </c>
      <c r="H40" s="77">
        <v>-6045.5172413793107</v>
      </c>
      <c r="I40" s="77">
        <v>-6045.5172413793107</v>
      </c>
      <c r="J40" s="77">
        <v>-6045.5172413793107</v>
      </c>
      <c r="K40" s="77">
        <v>-6045.5172413793107</v>
      </c>
      <c r="L40" s="77"/>
      <c r="M40" s="77"/>
      <c r="N40" s="77"/>
      <c r="O40" s="77"/>
      <c r="P40" s="77"/>
      <c r="Q40" s="78"/>
      <c r="R40" s="32"/>
      <c r="S40" s="11"/>
    </row>
    <row r="41" spans="2:19" ht="3.75" customHeight="1">
      <c r="B41" s="76"/>
      <c r="C41" s="77"/>
      <c r="D41" s="77"/>
      <c r="E41" s="77"/>
      <c r="F41" s="77"/>
      <c r="G41" s="77"/>
      <c r="H41" s="77"/>
      <c r="I41" s="77"/>
      <c r="J41" s="77"/>
      <c r="K41" s="77"/>
      <c r="L41" s="77"/>
      <c r="M41" s="77"/>
      <c r="N41" s="77"/>
      <c r="O41" s="77"/>
      <c r="P41" s="77"/>
      <c r="Q41" s="78"/>
      <c r="R41" s="32"/>
      <c r="S41" s="11"/>
    </row>
    <row r="42" spans="2:19">
      <c r="B42" s="73" t="s">
        <v>356</v>
      </c>
      <c r="C42" s="74">
        <v>-8423.0769230769238</v>
      </c>
      <c r="D42" s="74">
        <v>-33692.307692307695</v>
      </c>
      <c r="E42" s="74">
        <v>-34467.144120247569</v>
      </c>
      <c r="F42" s="74">
        <v>-13434.482758620692</v>
      </c>
      <c r="G42" s="74">
        <v>-19480.000000000004</v>
      </c>
      <c r="H42" s="74">
        <v>-19480.000000000004</v>
      </c>
      <c r="I42" s="74">
        <v>-19480.000000000004</v>
      </c>
      <c r="J42" s="74">
        <v>-15897.471264367818</v>
      </c>
      <c r="K42" s="74">
        <v>-6045.5172413793107</v>
      </c>
      <c r="L42" s="74">
        <v>0</v>
      </c>
      <c r="M42" s="74">
        <v>0</v>
      </c>
      <c r="N42" s="74">
        <v>0</v>
      </c>
      <c r="O42" s="74">
        <v>0</v>
      </c>
      <c r="P42" s="74">
        <v>0</v>
      </c>
      <c r="Q42" s="75">
        <v>0</v>
      </c>
      <c r="R42" s="32"/>
      <c r="S42" s="11"/>
    </row>
    <row r="43" spans="2:19">
      <c r="B43" s="76" t="s">
        <v>357</v>
      </c>
      <c r="C43" s="77">
        <v>3369.2307692307695</v>
      </c>
      <c r="D43" s="77">
        <v>13476.923076923078</v>
      </c>
      <c r="E43" s="77">
        <v>13786.857648099029</v>
      </c>
      <c r="F43" s="77">
        <v>5373.7931034482772</v>
      </c>
      <c r="G43" s="77">
        <v>7792.0000000000018</v>
      </c>
      <c r="H43" s="77">
        <v>7792.0000000000018</v>
      </c>
      <c r="I43" s="77">
        <v>7792.0000000000018</v>
      </c>
      <c r="J43" s="77">
        <v>6358.9885057471274</v>
      </c>
      <c r="K43" s="77">
        <v>2418.2068965517242</v>
      </c>
      <c r="L43" s="77"/>
      <c r="M43" s="77"/>
      <c r="N43" s="77"/>
      <c r="O43" s="77"/>
      <c r="P43" s="77"/>
      <c r="Q43" s="78"/>
      <c r="R43" s="32"/>
      <c r="S43" s="11"/>
    </row>
    <row r="44" spans="2:19" ht="3.75" customHeight="1">
      <c r="B44" s="76"/>
      <c r="C44" s="77"/>
      <c r="D44" s="77"/>
      <c r="E44" s="77"/>
      <c r="F44" s="77"/>
      <c r="G44" s="77"/>
      <c r="H44" s="77"/>
      <c r="I44" s="77"/>
      <c r="J44" s="77"/>
      <c r="K44" s="77"/>
      <c r="L44" s="77"/>
      <c r="M44" s="77"/>
      <c r="N44" s="77"/>
      <c r="O44" s="77"/>
      <c r="P44" s="77"/>
      <c r="Q44" s="78"/>
      <c r="R44" s="32"/>
      <c r="S44" s="11"/>
    </row>
    <row r="45" spans="2:19">
      <c r="B45" s="73" t="s">
        <v>358</v>
      </c>
      <c r="C45" s="74">
        <v>-5053.8461538461543</v>
      </c>
      <c r="D45" s="74">
        <v>-20215.384615384617</v>
      </c>
      <c r="E45" s="74">
        <v>-20680.286472148538</v>
      </c>
      <c r="F45" s="74">
        <v>-8060.6896551724149</v>
      </c>
      <c r="G45" s="74">
        <v>-11688.000000000002</v>
      </c>
      <c r="H45" s="74">
        <v>-11688.000000000002</v>
      </c>
      <c r="I45" s="74">
        <v>-11688.000000000002</v>
      </c>
      <c r="J45" s="74">
        <v>-9538.4827586206902</v>
      </c>
      <c r="K45" s="74">
        <v>-3627.3103448275865</v>
      </c>
      <c r="L45" s="74">
        <v>0</v>
      </c>
      <c r="M45" s="74">
        <v>0</v>
      </c>
      <c r="N45" s="74">
        <v>0</v>
      </c>
      <c r="O45" s="74">
        <v>0</v>
      </c>
      <c r="P45" s="74">
        <v>0</v>
      </c>
      <c r="Q45" s="75">
        <v>0</v>
      </c>
      <c r="R45" s="32"/>
      <c r="S45" s="11"/>
    </row>
    <row r="46" spans="2:19" s="33" customFormat="1" ht="15" thickBot="1">
      <c r="B46" s="82" t="s">
        <v>359</v>
      </c>
      <c r="C46" s="83">
        <v>0</v>
      </c>
      <c r="D46" s="83">
        <v>0</v>
      </c>
      <c r="E46" s="83">
        <v>3582.5287356321842</v>
      </c>
      <c r="F46" s="83">
        <v>13434.482758620692</v>
      </c>
      <c r="G46" s="83">
        <v>19480.000000000004</v>
      </c>
      <c r="H46" s="83">
        <v>19480.000000000004</v>
      </c>
      <c r="I46" s="83">
        <v>19480.000000000004</v>
      </c>
      <c r="J46" s="83">
        <v>15897.471264367818</v>
      </c>
      <c r="K46" s="83">
        <v>6045.5172413793107</v>
      </c>
      <c r="L46" s="83"/>
      <c r="M46" s="83"/>
      <c r="N46" s="83"/>
      <c r="O46" s="83"/>
      <c r="P46" s="83"/>
      <c r="Q46" s="84"/>
      <c r="R46" s="34"/>
      <c r="S46" s="35"/>
    </row>
    <row r="47" spans="2:19">
      <c r="B47" s="51" t="s">
        <v>368</v>
      </c>
      <c r="C47" s="52">
        <f>C33+C43-C46</f>
        <v>-5053.8461538461543</v>
      </c>
      <c r="D47" s="52">
        <f t="shared" ref="D47:Q47" si="11">D33+D43-D46</f>
        <v>-20215.384615384617</v>
      </c>
      <c r="E47" s="52">
        <f t="shared" si="11"/>
        <v>-47549.251989389923</v>
      </c>
      <c r="F47" s="52">
        <f t="shared" si="11"/>
        <v>-48364.137931034493</v>
      </c>
      <c r="G47" s="52">
        <f t="shared" si="11"/>
        <v>-41915.586206896551</v>
      </c>
      <c r="H47" s="52">
        <f t="shared" si="11"/>
        <v>-11688.000000000002</v>
      </c>
      <c r="I47" s="52">
        <f t="shared" si="11"/>
        <v>-11688.000000000002</v>
      </c>
      <c r="J47" s="52">
        <f t="shared" si="11"/>
        <v>-9538.4827586206902</v>
      </c>
      <c r="K47" s="52">
        <f t="shared" si="11"/>
        <v>-3627.3103448275865</v>
      </c>
      <c r="L47" s="52">
        <f t="shared" si="11"/>
        <v>0</v>
      </c>
      <c r="M47" s="52">
        <f t="shared" si="11"/>
        <v>0</v>
      </c>
      <c r="N47" s="52">
        <f t="shared" si="11"/>
        <v>0</v>
      </c>
      <c r="O47" s="52">
        <f t="shared" si="11"/>
        <v>0</v>
      </c>
      <c r="P47" s="52">
        <f t="shared" si="11"/>
        <v>0</v>
      </c>
      <c r="Q47" s="52">
        <f t="shared" si="11"/>
        <v>0</v>
      </c>
      <c r="R47" s="32"/>
      <c r="S47" s="11"/>
    </row>
    <row r="48" spans="2:19" ht="2.25" customHeight="1">
      <c r="B48" s="54"/>
      <c r="C48" s="55"/>
      <c r="D48" s="55"/>
      <c r="E48" s="55"/>
      <c r="F48" s="55"/>
      <c r="G48" s="55"/>
      <c r="H48" s="55"/>
      <c r="I48" s="55"/>
      <c r="J48" s="55"/>
      <c r="K48" s="55"/>
      <c r="L48" s="55"/>
      <c r="M48" s="55"/>
      <c r="N48" s="55"/>
      <c r="O48" s="55"/>
      <c r="P48" s="55"/>
      <c r="Q48" s="56"/>
      <c r="R48" s="32"/>
      <c r="S48" s="11"/>
    </row>
    <row r="49" spans="2:18" ht="15" thickBot="1">
      <c r="B49" s="57" t="s">
        <v>369</v>
      </c>
      <c r="C49" s="58">
        <f>C47/(1+'Cours en bourse'!$L$18)^(C31-$C$31)</f>
        <v>-5053.8461538461543</v>
      </c>
      <c r="D49" s="58">
        <f>D47/(1+'Cours en bourse'!$L$18)^(D31-$C$31)</f>
        <v>-18171.812612146903</v>
      </c>
      <c r="E49" s="58">
        <f>E47/(1+'Cours en bourse'!$L$18)^(E31-$C$31)</f>
        <v>-38421.664163143745</v>
      </c>
      <c r="F49" s="58">
        <f>F47/(1+'Cours en bourse'!$L$18)^(F31-$C$31)</f>
        <v>-35129.516661964793</v>
      </c>
      <c r="G49" s="58">
        <f>G47/(1+'Cours en bourse'!$L$18)^(G31-$C$31)</f>
        <v>-27367.839161661916</v>
      </c>
      <c r="H49" s="58">
        <f>H47/(1+'Cours en bourse'!$L$18)^(H31-$C$31)</f>
        <v>-6859.9572395870355</v>
      </c>
      <c r="I49" s="58">
        <f>I47/(1+'Cours en bourse'!$L$18)^(I31-$C$31)</f>
        <v>-6166.4845787918939</v>
      </c>
      <c r="J49" s="58">
        <f>J47/(1+'Cours en bourse'!$L$18)^(J31-$C$31)</f>
        <v>-4523.6915738949419</v>
      </c>
      <c r="K49" s="58">
        <f>K47/(1+'Cours en bourse'!$L$18)^(K31-$C$31)</f>
        <v>-1546.3743721024045</v>
      </c>
      <c r="L49" s="58">
        <f>L47/(1+'Cours en bourse'!$L$18)^(L31-$C$31)</f>
        <v>0</v>
      </c>
      <c r="M49" s="58">
        <f>M47/(1+'Cours en bourse'!$L$18)^(M31-$C$31)</f>
        <v>0</v>
      </c>
      <c r="N49" s="58">
        <f>N47/(1+'Cours en bourse'!$L$18)^(N31-$C$31)</f>
        <v>0</v>
      </c>
      <c r="O49" s="58">
        <f>O47/(1+'Cours en bourse'!$L$18)^(O31-$C$31)</f>
        <v>0</v>
      </c>
      <c r="P49" s="58">
        <f>P47/(1+'Cours en bourse'!$L$18)^(P31-$C$31)</f>
        <v>0</v>
      </c>
      <c r="Q49" s="59">
        <f>Q47/(1+'Cours en bourse'!$L$18)^(Q31-$C$31)</f>
        <v>0</v>
      </c>
      <c r="R49" s="32"/>
    </row>
    <row r="50" spans="2:18" ht="15" thickBot="1">
      <c r="B50" s="7"/>
      <c r="C50" s="31"/>
      <c r="D50" s="31"/>
      <c r="E50" s="31"/>
      <c r="F50" s="31"/>
      <c r="G50" s="31"/>
      <c r="H50" s="31"/>
      <c r="I50" s="31"/>
      <c r="J50" s="31"/>
      <c r="K50" s="31"/>
      <c r="L50" s="31"/>
      <c r="M50" s="31"/>
      <c r="N50" s="31"/>
      <c r="O50" s="31"/>
      <c r="P50" s="31"/>
      <c r="Q50" s="31"/>
      <c r="R50" s="32"/>
    </row>
    <row r="51" spans="2:18" ht="17.25" customHeight="1" thickBot="1">
      <c r="B51" s="262" t="s">
        <v>360</v>
      </c>
      <c r="C51" s="263">
        <f>SUM(C49:Q49)</f>
        <v>-143241.18651713978</v>
      </c>
      <c r="D51" s="49"/>
      <c r="E51" s="49"/>
      <c r="F51" s="49"/>
      <c r="G51" s="49"/>
      <c r="H51" s="49"/>
      <c r="I51" s="49"/>
      <c r="J51" s="49"/>
      <c r="K51" s="49"/>
      <c r="L51" s="49"/>
      <c r="M51" s="49"/>
      <c r="N51" s="49"/>
      <c r="O51" s="49"/>
      <c r="P51" s="49"/>
      <c r="Q51" s="49"/>
      <c r="R51" s="32"/>
    </row>
    <row r="52" spans="2:18">
      <c r="B52" s="7"/>
      <c r="C52" s="31"/>
      <c r="D52" s="32"/>
      <c r="E52" s="32"/>
      <c r="F52" s="32"/>
      <c r="G52" s="32"/>
      <c r="H52" s="32"/>
      <c r="I52" s="32"/>
      <c r="J52" s="32"/>
      <c r="K52" s="32"/>
      <c r="L52" s="32"/>
      <c r="M52" s="32"/>
      <c r="N52" s="32"/>
      <c r="O52" s="32"/>
      <c r="P52" s="32"/>
      <c r="Q52" s="32"/>
      <c r="R52" s="32"/>
    </row>
    <row r="53" spans="2:18" s="10" customFormat="1">
      <c r="B53" s="37"/>
      <c r="C53" s="38"/>
      <c r="D53" s="38"/>
      <c r="E53" s="38"/>
      <c r="F53" s="38"/>
      <c r="G53" s="38"/>
      <c r="H53" s="39"/>
      <c r="I53" s="39"/>
      <c r="J53" s="39"/>
      <c r="K53" s="39"/>
      <c r="L53" s="39"/>
      <c r="M53" s="38"/>
      <c r="N53" s="38"/>
      <c r="O53" s="38"/>
      <c r="P53" s="38"/>
      <c r="Q53" s="38"/>
      <c r="R53" s="40"/>
    </row>
  </sheetData>
  <mergeCells count="1">
    <mergeCell ref="G2:L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51"/>
  <sheetViews>
    <sheetView showGridLines="0" topLeftCell="A11" zoomScale="85" zoomScaleNormal="85" zoomScalePageLayoutView="85" workbookViewId="0">
      <selection activeCell="O45" sqref="O45"/>
    </sheetView>
  </sheetViews>
  <sheetFormatPr baseColWidth="10" defaultColWidth="10.7265625" defaultRowHeight="14.5"/>
  <cols>
    <col min="2" max="2" width="27.453125" customWidth="1"/>
    <col min="3" max="7" width="12.1796875" customWidth="1"/>
    <col min="8" max="8" width="11.453125" customWidth="1"/>
    <col min="10" max="10" width="27.26953125" customWidth="1"/>
    <col min="11" max="15" width="14" customWidth="1"/>
    <col min="248" max="248" width="27.453125" customWidth="1"/>
    <col min="250" max="250" width="9.7265625" customWidth="1"/>
    <col min="253" max="253" width="15.26953125" customWidth="1"/>
    <col min="254" max="263" width="0" hidden="1" customWidth="1"/>
    <col min="264" max="264" width="11.453125" customWidth="1"/>
    <col min="504" max="504" width="27.453125" customWidth="1"/>
    <col min="506" max="506" width="9.7265625" customWidth="1"/>
    <col min="509" max="509" width="15.26953125" customWidth="1"/>
    <col min="510" max="519" width="0" hidden="1" customWidth="1"/>
    <col min="520" max="520" width="11.453125" customWidth="1"/>
    <col min="760" max="760" width="27.453125" customWidth="1"/>
    <col min="762" max="762" width="9.7265625" customWidth="1"/>
    <col min="765" max="765" width="15.26953125" customWidth="1"/>
    <col min="766" max="775" width="0" hidden="1" customWidth="1"/>
    <col min="776" max="776" width="11.453125" customWidth="1"/>
    <col min="1016" max="1016" width="27.453125" customWidth="1"/>
    <col min="1018" max="1018" width="9.7265625" customWidth="1"/>
    <col min="1021" max="1021" width="15.26953125" customWidth="1"/>
    <col min="1022" max="1031" width="0" hidden="1" customWidth="1"/>
    <col min="1032" max="1032" width="11.453125" customWidth="1"/>
    <col min="1272" max="1272" width="27.453125" customWidth="1"/>
    <col min="1274" max="1274" width="9.7265625" customWidth="1"/>
    <col min="1277" max="1277" width="15.26953125" customWidth="1"/>
    <col min="1278" max="1287" width="0" hidden="1" customWidth="1"/>
    <col min="1288" max="1288" width="11.453125" customWidth="1"/>
    <col min="1528" max="1528" width="27.453125" customWidth="1"/>
    <col min="1530" max="1530" width="9.7265625" customWidth="1"/>
    <col min="1533" max="1533" width="15.26953125" customWidth="1"/>
    <col min="1534" max="1543" width="0" hidden="1" customWidth="1"/>
    <col min="1544" max="1544" width="11.453125" customWidth="1"/>
    <col min="1784" max="1784" width="27.453125" customWidth="1"/>
    <col min="1786" max="1786" width="9.7265625" customWidth="1"/>
    <col min="1789" max="1789" width="15.26953125" customWidth="1"/>
    <col min="1790" max="1799" width="0" hidden="1" customWidth="1"/>
    <col min="1800" max="1800" width="11.453125" customWidth="1"/>
    <col min="2040" max="2040" width="27.453125" customWidth="1"/>
    <col min="2042" max="2042" width="9.7265625" customWidth="1"/>
    <col min="2045" max="2045" width="15.26953125" customWidth="1"/>
    <col min="2046" max="2055" width="0" hidden="1" customWidth="1"/>
    <col min="2056" max="2056" width="11.453125" customWidth="1"/>
    <col min="2296" max="2296" width="27.453125" customWidth="1"/>
    <col min="2298" max="2298" width="9.7265625" customWidth="1"/>
    <col min="2301" max="2301" width="15.26953125" customWidth="1"/>
    <col min="2302" max="2311" width="0" hidden="1" customWidth="1"/>
    <col min="2312" max="2312" width="11.453125" customWidth="1"/>
    <col min="2552" max="2552" width="27.453125" customWidth="1"/>
    <col min="2554" max="2554" width="9.7265625" customWidth="1"/>
    <col min="2557" max="2557" width="15.26953125" customWidth="1"/>
    <col min="2558" max="2567" width="0" hidden="1" customWidth="1"/>
    <col min="2568" max="2568" width="11.453125" customWidth="1"/>
    <col min="2808" max="2808" width="27.453125" customWidth="1"/>
    <col min="2810" max="2810" width="9.7265625" customWidth="1"/>
    <col min="2813" max="2813" width="15.26953125" customWidth="1"/>
    <col min="2814" max="2823" width="0" hidden="1" customWidth="1"/>
    <col min="2824" max="2824" width="11.453125" customWidth="1"/>
    <col min="3064" max="3064" width="27.453125" customWidth="1"/>
    <col min="3066" max="3066" width="9.7265625" customWidth="1"/>
    <col min="3069" max="3069" width="15.26953125" customWidth="1"/>
    <col min="3070" max="3079" width="0" hidden="1" customWidth="1"/>
    <col min="3080" max="3080" width="11.453125" customWidth="1"/>
    <col min="3320" max="3320" width="27.453125" customWidth="1"/>
    <col min="3322" max="3322" width="9.7265625" customWidth="1"/>
    <col min="3325" max="3325" width="15.26953125" customWidth="1"/>
    <col min="3326" max="3335" width="0" hidden="1" customWidth="1"/>
    <col min="3336" max="3336" width="11.453125" customWidth="1"/>
    <col min="3576" max="3576" width="27.453125" customWidth="1"/>
    <col min="3578" max="3578" width="9.7265625" customWidth="1"/>
    <col min="3581" max="3581" width="15.26953125" customWidth="1"/>
    <col min="3582" max="3591" width="0" hidden="1" customWidth="1"/>
    <col min="3592" max="3592" width="11.453125" customWidth="1"/>
    <col min="3832" max="3832" width="27.453125" customWidth="1"/>
    <col min="3834" max="3834" width="9.7265625" customWidth="1"/>
    <col min="3837" max="3837" width="15.26953125" customWidth="1"/>
    <col min="3838" max="3847" width="0" hidden="1" customWidth="1"/>
    <col min="3848" max="3848" width="11.453125" customWidth="1"/>
    <col min="4088" max="4088" width="27.453125" customWidth="1"/>
    <col min="4090" max="4090" width="9.7265625" customWidth="1"/>
    <col min="4093" max="4093" width="15.26953125" customWidth="1"/>
    <col min="4094" max="4103" width="0" hidden="1" customWidth="1"/>
    <col min="4104" max="4104" width="11.453125" customWidth="1"/>
    <col min="4344" max="4344" width="27.453125" customWidth="1"/>
    <col min="4346" max="4346" width="9.7265625" customWidth="1"/>
    <col min="4349" max="4349" width="15.26953125" customWidth="1"/>
    <col min="4350" max="4359" width="0" hidden="1" customWidth="1"/>
    <col min="4360" max="4360" width="11.453125" customWidth="1"/>
    <col min="4600" max="4600" width="27.453125" customWidth="1"/>
    <col min="4602" max="4602" width="9.7265625" customWidth="1"/>
    <col min="4605" max="4605" width="15.26953125" customWidth="1"/>
    <col min="4606" max="4615" width="0" hidden="1" customWidth="1"/>
    <col min="4616" max="4616" width="11.453125" customWidth="1"/>
    <col min="4856" max="4856" width="27.453125" customWidth="1"/>
    <col min="4858" max="4858" width="9.7265625" customWidth="1"/>
    <col min="4861" max="4861" width="15.26953125" customWidth="1"/>
    <col min="4862" max="4871" width="0" hidden="1" customWidth="1"/>
    <col min="4872" max="4872" width="11.453125" customWidth="1"/>
    <col min="5112" max="5112" width="27.453125" customWidth="1"/>
    <col min="5114" max="5114" width="9.7265625" customWidth="1"/>
    <col min="5117" max="5117" width="15.26953125" customWidth="1"/>
    <col min="5118" max="5127" width="0" hidden="1" customWidth="1"/>
    <col min="5128" max="5128" width="11.453125" customWidth="1"/>
    <col min="5368" max="5368" width="27.453125" customWidth="1"/>
    <col min="5370" max="5370" width="9.7265625" customWidth="1"/>
    <col min="5373" max="5373" width="15.26953125" customWidth="1"/>
    <col min="5374" max="5383" width="0" hidden="1" customWidth="1"/>
    <col min="5384" max="5384" width="11.453125" customWidth="1"/>
    <col min="5624" max="5624" width="27.453125" customWidth="1"/>
    <col min="5626" max="5626" width="9.7265625" customWidth="1"/>
    <col min="5629" max="5629" width="15.26953125" customWidth="1"/>
    <col min="5630" max="5639" width="0" hidden="1" customWidth="1"/>
    <col min="5640" max="5640" width="11.453125" customWidth="1"/>
    <col min="5880" max="5880" width="27.453125" customWidth="1"/>
    <col min="5882" max="5882" width="9.7265625" customWidth="1"/>
    <col min="5885" max="5885" width="15.26953125" customWidth="1"/>
    <col min="5886" max="5895" width="0" hidden="1" customWidth="1"/>
    <col min="5896" max="5896" width="11.453125" customWidth="1"/>
    <col min="6136" max="6136" width="27.453125" customWidth="1"/>
    <col min="6138" max="6138" width="9.7265625" customWidth="1"/>
    <col min="6141" max="6141" width="15.26953125" customWidth="1"/>
    <col min="6142" max="6151" width="0" hidden="1" customWidth="1"/>
    <col min="6152" max="6152" width="11.453125" customWidth="1"/>
    <col min="6392" max="6392" width="27.453125" customWidth="1"/>
    <col min="6394" max="6394" width="9.7265625" customWidth="1"/>
    <col min="6397" max="6397" width="15.26953125" customWidth="1"/>
    <col min="6398" max="6407" width="0" hidden="1" customWidth="1"/>
    <col min="6408" max="6408" width="11.453125" customWidth="1"/>
    <col min="6648" max="6648" width="27.453125" customWidth="1"/>
    <col min="6650" max="6650" width="9.7265625" customWidth="1"/>
    <col min="6653" max="6653" width="15.26953125" customWidth="1"/>
    <col min="6654" max="6663" width="0" hidden="1" customWidth="1"/>
    <col min="6664" max="6664" width="11.453125" customWidth="1"/>
    <col min="6904" max="6904" width="27.453125" customWidth="1"/>
    <col min="6906" max="6906" width="9.7265625" customWidth="1"/>
    <col min="6909" max="6909" width="15.26953125" customWidth="1"/>
    <col min="6910" max="6919" width="0" hidden="1" customWidth="1"/>
    <col min="6920" max="6920" width="11.453125" customWidth="1"/>
    <col min="7160" max="7160" width="27.453125" customWidth="1"/>
    <col min="7162" max="7162" width="9.7265625" customWidth="1"/>
    <col min="7165" max="7165" width="15.26953125" customWidth="1"/>
    <col min="7166" max="7175" width="0" hidden="1" customWidth="1"/>
    <col min="7176" max="7176" width="11.453125" customWidth="1"/>
    <col min="7416" max="7416" width="27.453125" customWidth="1"/>
    <col min="7418" max="7418" width="9.7265625" customWidth="1"/>
    <col min="7421" max="7421" width="15.26953125" customWidth="1"/>
    <col min="7422" max="7431" width="0" hidden="1" customWidth="1"/>
    <col min="7432" max="7432" width="11.453125" customWidth="1"/>
    <col min="7672" max="7672" width="27.453125" customWidth="1"/>
    <col min="7674" max="7674" width="9.7265625" customWidth="1"/>
    <col min="7677" max="7677" width="15.26953125" customWidth="1"/>
    <col min="7678" max="7687" width="0" hidden="1" customWidth="1"/>
    <col min="7688" max="7688" width="11.453125" customWidth="1"/>
    <col min="7928" max="7928" width="27.453125" customWidth="1"/>
    <col min="7930" max="7930" width="9.7265625" customWidth="1"/>
    <col min="7933" max="7933" width="15.26953125" customWidth="1"/>
    <col min="7934" max="7943" width="0" hidden="1" customWidth="1"/>
    <col min="7944" max="7944" width="11.453125" customWidth="1"/>
    <col min="8184" max="8184" width="27.453125" customWidth="1"/>
    <col min="8186" max="8186" width="9.7265625" customWidth="1"/>
    <col min="8189" max="8189" width="15.26953125" customWidth="1"/>
    <col min="8190" max="8199" width="0" hidden="1" customWidth="1"/>
    <col min="8200" max="8200" width="11.453125" customWidth="1"/>
    <col min="8440" max="8440" width="27.453125" customWidth="1"/>
    <col min="8442" max="8442" width="9.7265625" customWidth="1"/>
    <col min="8445" max="8445" width="15.26953125" customWidth="1"/>
    <col min="8446" max="8455" width="0" hidden="1" customWidth="1"/>
    <col min="8456" max="8456" width="11.453125" customWidth="1"/>
    <col min="8696" max="8696" width="27.453125" customWidth="1"/>
    <col min="8698" max="8698" width="9.7265625" customWidth="1"/>
    <col min="8701" max="8701" width="15.26953125" customWidth="1"/>
    <col min="8702" max="8711" width="0" hidden="1" customWidth="1"/>
    <col min="8712" max="8712" width="11.453125" customWidth="1"/>
    <col min="8952" max="8952" width="27.453125" customWidth="1"/>
    <col min="8954" max="8954" width="9.7265625" customWidth="1"/>
    <col min="8957" max="8957" width="15.26953125" customWidth="1"/>
    <col min="8958" max="8967" width="0" hidden="1" customWidth="1"/>
    <col min="8968" max="8968" width="11.453125" customWidth="1"/>
    <col min="9208" max="9208" width="27.453125" customWidth="1"/>
    <col min="9210" max="9210" width="9.7265625" customWidth="1"/>
    <col min="9213" max="9213" width="15.26953125" customWidth="1"/>
    <col min="9214" max="9223" width="0" hidden="1" customWidth="1"/>
    <col min="9224" max="9224" width="11.453125" customWidth="1"/>
    <col min="9464" max="9464" width="27.453125" customWidth="1"/>
    <col min="9466" max="9466" width="9.7265625" customWidth="1"/>
    <col min="9469" max="9469" width="15.26953125" customWidth="1"/>
    <col min="9470" max="9479" width="0" hidden="1" customWidth="1"/>
    <col min="9480" max="9480" width="11.453125" customWidth="1"/>
    <col min="9720" max="9720" width="27.453125" customWidth="1"/>
    <col min="9722" max="9722" width="9.7265625" customWidth="1"/>
    <col min="9725" max="9725" width="15.26953125" customWidth="1"/>
    <col min="9726" max="9735" width="0" hidden="1" customWidth="1"/>
    <col min="9736" max="9736" width="11.453125" customWidth="1"/>
    <col min="9976" max="9976" width="27.453125" customWidth="1"/>
    <col min="9978" max="9978" width="9.7265625" customWidth="1"/>
    <col min="9981" max="9981" width="15.26953125" customWidth="1"/>
    <col min="9982" max="9991" width="0" hidden="1" customWidth="1"/>
    <col min="9992" max="9992" width="11.453125" customWidth="1"/>
    <col min="10232" max="10232" width="27.453125" customWidth="1"/>
    <col min="10234" max="10234" width="9.7265625" customWidth="1"/>
    <col min="10237" max="10237" width="15.26953125" customWidth="1"/>
    <col min="10238" max="10247" width="0" hidden="1" customWidth="1"/>
    <col min="10248" max="10248" width="11.453125" customWidth="1"/>
    <col min="10488" max="10488" width="27.453125" customWidth="1"/>
    <col min="10490" max="10490" width="9.7265625" customWidth="1"/>
    <col min="10493" max="10493" width="15.26953125" customWidth="1"/>
    <col min="10494" max="10503" width="0" hidden="1" customWidth="1"/>
    <col min="10504" max="10504" width="11.453125" customWidth="1"/>
    <col min="10744" max="10744" width="27.453125" customWidth="1"/>
    <col min="10746" max="10746" width="9.7265625" customWidth="1"/>
    <col min="10749" max="10749" width="15.26953125" customWidth="1"/>
    <col min="10750" max="10759" width="0" hidden="1" customWidth="1"/>
    <col min="10760" max="10760" width="11.453125" customWidth="1"/>
    <col min="11000" max="11000" width="27.453125" customWidth="1"/>
    <col min="11002" max="11002" width="9.7265625" customWidth="1"/>
    <col min="11005" max="11005" width="15.26953125" customWidth="1"/>
    <col min="11006" max="11015" width="0" hidden="1" customWidth="1"/>
    <col min="11016" max="11016" width="11.453125" customWidth="1"/>
    <col min="11256" max="11256" width="27.453125" customWidth="1"/>
    <col min="11258" max="11258" width="9.7265625" customWidth="1"/>
    <col min="11261" max="11261" width="15.26953125" customWidth="1"/>
    <col min="11262" max="11271" width="0" hidden="1" customWidth="1"/>
    <col min="11272" max="11272" width="11.453125" customWidth="1"/>
    <col min="11512" max="11512" width="27.453125" customWidth="1"/>
    <col min="11514" max="11514" width="9.7265625" customWidth="1"/>
    <col min="11517" max="11517" width="15.26953125" customWidth="1"/>
    <col min="11518" max="11527" width="0" hidden="1" customWidth="1"/>
    <col min="11528" max="11528" width="11.453125" customWidth="1"/>
    <col min="11768" max="11768" width="27.453125" customWidth="1"/>
    <col min="11770" max="11770" width="9.7265625" customWidth="1"/>
    <col min="11773" max="11773" width="15.26953125" customWidth="1"/>
    <col min="11774" max="11783" width="0" hidden="1" customWidth="1"/>
    <col min="11784" max="11784" width="11.453125" customWidth="1"/>
    <col min="12024" max="12024" width="27.453125" customWidth="1"/>
    <col min="12026" max="12026" width="9.7265625" customWidth="1"/>
    <col min="12029" max="12029" width="15.26953125" customWidth="1"/>
    <col min="12030" max="12039" width="0" hidden="1" customWidth="1"/>
    <col min="12040" max="12040" width="11.453125" customWidth="1"/>
    <col min="12280" max="12280" width="27.453125" customWidth="1"/>
    <col min="12282" max="12282" width="9.7265625" customWidth="1"/>
    <col min="12285" max="12285" width="15.26953125" customWidth="1"/>
    <col min="12286" max="12295" width="0" hidden="1" customWidth="1"/>
    <col min="12296" max="12296" width="11.453125" customWidth="1"/>
    <col min="12536" max="12536" width="27.453125" customWidth="1"/>
    <col min="12538" max="12538" width="9.7265625" customWidth="1"/>
    <col min="12541" max="12541" width="15.26953125" customWidth="1"/>
    <col min="12542" max="12551" width="0" hidden="1" customWidth="1"/>
    <col min="12552" max="12552" width="11.453125" customWidth="1"/>
    <col min="12792" max="12792" width="27.453125" customWidth="1"/>
    <col min="12794" max="12794" width="9.7265625" customWidth="1"/>
    <col min="12797" max="12797" width="15.26953125" customWidth="1"/>
    <col min="12798" max="12807" width="0" hidden="1" customWidth="1"/>
    <col min="12808" max="12808" width="11.453125" customWidth="1"/>
    <col min="13048" max="13048" width="27.453125" customWidth="1"/>
    <col min="13050" max="13050" width="9.7265625" customWidth="1"/>
    <col min="13053" max="13053" width="15.26953125" customWidth="1"/>
    <col min="13054" max="13063" width="0" hidden="1" customWidth="1"/>
    <col min="13064" max="13064" width="11.453125" customWidth="1"/>
    <col min="13304" max="13304" width="27.453125" customWidth="1"/>
    <col min="13306" max="13306" width="9.7265625" customWidth="1"/>
    <col min="13309" max="13309" width="15.26953125" customWidth="1"/>
    <col min="13310" max="13319" width="0" hidden="1" customWidth="1"/>
    <col min="13320" max="13320" width="11.453125" customWidth="1"/>
    <col min="13560" max="13560" width="27.453125" customWidth="1"/>
    <col min="13562" max="13562" width="9.7265625" customWidth="1"/>
    <col min="13565" max="13565" width="15.26953125" customWidth="1"/>
    <col min="13566" max="13575" width="0" hidden="1" customWidth="1"/>
    <col min="13576" max="13576" width="11.453125" customWidth="1"/>
    <col min="13816" max="13816" width="27.453125" customWidth="1"/>
    <col min="13818" max="13818" width="9.7265625" customWidth="1"/>
    <col min="13821" max="13821" width="15.26953125" customWidth="1"/>
    <col min="13822" max="13831" width="0" hidden="1" customWidth="1"/>
    <col min="13832" max="13832" width="11.453125" customWidth="1"/>
    <col min="14072" max="14072" width="27.453125" customWidth="1"/>
    <col min="14074" max="14074" width="9.7265625" customWidth="1"/>
    <col min="14077" max="14077" width="15.26953125" customWidth="1"/>
    <col min="14078" max="14087" width="0" hidden="1" customWidth="1"/>
    <col min="14088" max="14088" width="11.453125" customWidth="1"/>
    <col min="14328" max="14328" width="27.453125" customWidth="1"/>
    <col min="14330" max="14330" width="9.7265625" customWidth="1"/>
    <col min="14333" max="14333" width="15.26953125" customWidth="1"/>
    <col min="14334" max="14343" width="0" hidden="1" customWidth="1"/>
    <col min="14344" max="14344" width="11.453125" customWidth="1"/>
    <col min="14584" max="14584" width="27.453125" customWidth="1"/>
    <col min="14586" max="14586" width="9.7265625" customWidth="1"/>
    <col min="14589" max="14589" width="15.26953125" customWidth="1"/>
    <col min="14590" max="14599" width="0" hidden="1" customWidth="1"/>
    <col min="14600" max="14600" width="11.453125" customWidth="1"/>
    <col min="14840" max="14840" width="27.453125" customWidth="1"/>
    <col min="14842" max="14842" width="9.7265625" customWidth="1"/>
    <col min="14845" max="14845" width="15.26953125" customWidth="1"/>
    <col min="14846" max="14855" width="0" hidden="1" customWidth="1"/>
    <col min="14856" max="14856" width="11.453125" customWidth="1"/>
    <col min="15096" max="15096" width="27.453125" customWidth="1"/>
    <col min="15098" max="15098" width="9.7265625" customWidth="1"/>
    <col min="15101" max="15101" width="15.26953125" customWidth="1"/>
    <col min="15102" max="15111" width="0" hidden="1" customWidth="1"/>
    <col min="15112" max="15112" width="11.453125" customWidth="1"/>
    <col min="15352" max="15352" width="27.453125" customWidth="1"/>
    <col min="15354" max="15354" width="9.7265625" customWidth="1"/>
    <col min="15357" max="15357" width="15.26953125" customWidth="1"/>
    <col min="15358" max="15367" width="0" hidden="1" customWidth="1"/>
    <col min="15368" max="15368" width="11.453125" customWidth="1"/>
    <col min="15608" max="15608" width="27.453125" customWidth="1"/>
    <col min="15610" max="15610" width="9.7265625" customWidth="1"/>
    <col min="15613" max="15613" width="15.26953125" customWidth="1"/>
    <col min="15614" max="15623" width="0" hidden="1" customWidth="1"/>
    <col min="15624" max="15624" width="11.453125" customWidth="1"/>
    <col min="15864" max="15864" width="27.453125" customWidth="1"/>
    <col min="15866" max="15866" width="9.7265625" customWidth="1"/>
    <col min="15869" max="15869" width="15.26953125" customWidth="1"/>
    <col min="15870" max="15879" width="0" hidden="1" customWidth="1"/>
    <col min="15880" max="15880" width="11.453125" customWidth="1"/>
    <col min="16120" max="16120" width="27.453125" customWidth="1"/>
    <col min="16122" max="16122" width="9.7265625" customWidth="1"/>
    <col min="16125" max="16125" width="15.26953125" customWidth="1"/>
    <col min="16126" max="16135" width="0" hidden="1" customWidth="1"/>
    <col min="16136" max="16136" width="11.453125" customWidth="1"/>
  </cols>
  <sheetData>
    <row r="1" spans="2:23" ht="15" thickBot="1"/>
    <row r="2" spans="2:23" ht="71.25" customHeight="1" thickBot="1">
      <c r="E2" s="923" t="s">
        <v>362</v>
      </c>
      <c r="F2" s="924"/>
      <c r="G2" s="924"/>
      <c r="H2" s="924"/>
      <c r="I2" s="924"/>
      <c r="J2" s="925"/>
      <c r="N2" s="36"/>
      <c r="O2" s="36"/>
      <c r="P2" s="36"/>
      <c r="Q2" s="36"/>
      <c r="R2" s="36"/>
      <c r="S2" s="36"/>
      <c r="T2" s="36"/>
      <c r="U2" s="36"/>
      <c r="V2" s="36"/>
      <c r="W2" s="36"/>
    </row>
    <row r="3" spans="2:23" ht="23.5" hidden="1">
      <c r="B3" s="29"/>
      <c r="C3" s="30">
        <v>0</v>
      </c>
      <c r="D3" s="30">
        <v>1</v>
      </c>
      <c r="E3" s="30">
        <v>2</v>
      </c>
      <c r="F3" s="30">
        <v>3</v>
      </c>
      <c r="G3" s="30">
        <v>4</v>
      </c>
    </row>
    <row r="4" spans="2:23" ht="23.5">
      <c r="B4" s="29"/>
      <c r="C4" s="30"/>
      <c r="D4" s="30"/>
      <c r="E4" s="30"/>
      <c r="F4" s="30"/>
      <c r="G4" s="30"/>
    </row>
    <row r="5" spans="2:23">
      <c r="C5" s="30"/>
      <c r="D5" s="30"/>
      <c r="E5" s="30"/>
      <c r="F5" s="30"/>
      <c r="G5" s="30"/>
    </row>
    <row r="6" spans="2:23" ht="20.25" customHeight="1">
      <c r="B6" s="242" t="s">
        <v>372</v>
      </c>
      <c r="C6" s="242" t="s">
        <v>334</v>
      </c>
      <c r="D6" s="242" t="s">
        <v>335</v>
      </c>
      <c r="E6" s="242" t="s">
        <v>336</v>
      </c>
      <c r="F6" s="242" t="s">
        <v>337</v>
      </c>
      <c r="G6" s="242" t="s">
        <v>338</v>
      </c>
      <c r="J6" s="242" t="s">
        <v>13</v>
      </c>
      <c r="K6" s="242" t="s">
        <v>334</v>
      </c>
      <c r="L6" s="242" t="s">
        <v>335</v>
      </c>
      <c r="M6" s="242" t="s">
        <v>336</v>
      </c>
      <c r="N6" s="242" t="s">
        <v>337</v>
      </c>
      <c r="O6" s="242" t="s">
        <v>338</v>
      </c>
    </row>
    <row r="7" spans="2:23" s="10" customFormat="1" ht="3.75" customHeight="1">
      <c r="B7" s="70"/>
      <c r="C7" s="88"/>
      <c r="D7" s="88"/>
      <c r="E7" s="88"/>
      <c r="F7" s="88"/>
      <c r="G7" s="89"/>
      <c r="J7" s="70"/>
      <c r="K7" s="71"/>
      <c r="L7" s="71"/>
      <c r="M7" s="71"/>
      <c r="N7" s="71"/>
      <c r="O7" s="72"/>
    </row>
    <row r="8" spans="2:23">
      <c r="B8" s="73" t="s">
        <v>349</v>
      </c>
      <c r="C8" s="74">
        <f>SUM(C9:C10)</f>
        <v>-7753.8461538461543</v>
      </c>
      <c r="D8" s="74">
        <f>SUM(D9:D10)</f>
        <v>-31015.384615384617</v>
      </c>
      <c r="E8" s="74">
        <f>SUM(E9:E10)</f>
        <v>-59382.493368700263</v>
      </c>
      <c r="F8" s="74">
        <f>SUM(F9:F10)</f>
        <v>-46427.586206896551</v>
      </c>
      <c r="G8" s="75">
        <f>SUM(G9:G10)</f>
        <v>-34820.689655172413</v>
      </c>
      <c r="J8" s="73" t="s">
        <v>349</v>
      </c>
      <c r="K8" s="74">
        <f>SUM(K9:K10)</f>
        <v>-8423.0769230769238</v>
      </c>
      <c r="L8" s="74">
        <f t="shared" ref="L8:O8" si="0">SUM(L9:L10)</f>
        <v>-33692.307692307695</v>
      </c>
      <c r="M8" s="74">
        <f t="shared" si="0"/>
        <v>-57753.580901856767</v>
      </c>
      <c r="N8" s="74">
        <f t="shared" si="0"/>
        <v>-40303.448275862072</v>
      </c>
      <c r="O8" s="75">
        <f t="shared" si="0"/>
        <v>-30227.586206896551</v>
      </c>
    </row>
    <row r="9" spans="2:23">
      <c r="B9" s="76" t="s">
        <v>350</v>
      </c>
      <c r="C9" s="77">
        <f>-[2]Données!$F$14*[2]Données!G5/[2]Données!$G$10</f>
        <v>-7753.8461538461543</v>
      </c>
      <c r="D9" s="77">
        <f>-[2]Données!$F$14*[2]Données!G6/[2]Données!$G$10</f>
        <v>-31015.384615384617</v>
      </c>
      <c r="E9" s="77">
        <f>-[2]Données!$F$14*[2]Données!G7/[2]Données!$G$10</f>
        <v>-28430.76923076923</v>
      </c>
      <c r="F9" s="77">
        <f>-[2]Données!$F$14*[2]Données!G8/[2]Données!$G$10</f>
        <v>0</v>
      </c>
      <c r="G9" s="78">
        <f>-[2]Données!$F$14*[2]Données!G9/[2]Données!$G$10</f>
        <v>0</v>
      </c>
      <c r="J9" s="76" t="s">
        <v>350</v>
      </c>
      <c r="K9" s="77">
        <f>-[2]Données!$F$15*[2]Données!G5/[2]Données!$G$10</f>
        <v>-8423.0769230769238</v>
      </c>
      <c r="L9" s="77">
        <f>-[2]Données!$F$15*[2]Données!G6/[2]Données!$G$10</f>
        <v>-33692.307692307695</v>
      </c>
      <c r="M9" s="77">
        <f>-[2]Données!$F$15*[2]Données!G7/[2]Données!$G$10</f>
        <v>-30884.615384615383</v>
      </c>
      <c r="N9" s="77">
        <f>-[2]Données!$F$15*[2]Données!G8/[2]Données!$G$10</f>
        <v>0</v>
      </c>
      <c r="O9" s="78">
        <f>-[2]Données!$F$15*[2]Données!G9/[2]Données!$G$10</f>
        <v>0</v>
      </c>
    </row>
    <row r="10" spans="2:23">
      <c r="B10" s="76" t="s">
        <v>351</v>
      </c>
      <c r="C10" s="77">
        <f>-[2]Données!$G$14*[2]Données!H5/[2]Données!$H$10</f>
        <v>0</v>
      </c>
      <c r="D10" s="77">
        <f>-[2]Données!$G$14*[2]Données!H6/[2]Données!$H$10</f>
        <v>0</v>
      </c>
      <c r="E10" s="77">
        <f>-[2]Données!$G$14*[2]Données!H7/[2]Données!$H$10</f>
        <v>-30951.724137931036</v>
      </c>
      <c r="F10" s="77">
        <f>-[2]Données!$G$14*[2]Données!H8/[2]Données!$H$10</f>
        <v>-46427.586206896551</v>
      </c>
      <c r="G10" s="78">
        <f>-[2]Données!$G$14*[2]Données!H9/[2]Données!$H$10</f>
        <v>-34820.689655172413</v>
      </c>
      <c r="J10" s="76" t="s">
        <v>351</v>
      </c>
      <c r="K10" s="77"/>
      <c r="L10" s="77"/>
      <c r="M10" s="77">
        <f>-[2]Données!$G$15*[2]Données!H7/[2]Données!$H$10</f>
        <v>-26868.96551724138</v>
      </c>
      <c r="N10" s="77">
        <f>-[2]Données!$G$15*[2]Données!H8/[2]Données!$H$10</f>
        <v>-40303.448275862072</v>
      </c>
      <c r="O10" s="78">
        <f>-[2]Données!$G$15*[2]Données!H9/[2]Données!$H$10</f>
        <v>-30227.586206896551</v>
      </c>
    </row>
    <row r="11" spans="2:23" ht="3.75" customHeight="1">
      <c r="B11" s="76"/>
      <c r="C11" s="77"/>
      <c r="D11" s="77"/>
      <c r="E11" s="77"/>
      <c r="F11" s="77"/>
      <c r="G11" s="78"/>
      <c r="J11" s="76"/>
      <c r="K11" s="77"/>
      <c r="L11" s="77"/>
      <c r="M11" s="77"/>
      <c r="N11" s="77"/>
      <c r="O11" s="78"/>
    </row>
    <row r="12" spans="2:23">
      <c r="B12" s="73" t="s">
        <v>352</v>
      </c>
      <c r="C12" s="74">
        <f>SUM(C13:C15)</f>
        <v>0</v>
      </c>
      <c r="D12" s="74">
        <f t="shared" ref="D12:G12" si="1">SUM(D13:D15)</f>
        <v>0</v>
      </c>
      <c r="E12" s="74">
        <f t="shared" si="1"/>
        <v>-4126.8965517241386</v>
      </c>
      <c r="F12" s="74">
        <f t="shared" si="1"/>
        <v>-15475.862068965518</v>
      </c>
      <c r="G12" s="75">
        <f t="shared" si="1"/>
        <v>0</v>
      </c>
      <c r="J12" s="73" t="s">
        <v>352</v>
      </c>
      <c r="K12" s="74">
        <f>SUM(K13:K15)</f>
        <v>0</v>
      </c>
      <c r="L12" s="74">
        <f t="shared" ref="L12:O12" si="2">SUM(L13:L15)</f>
        <v>0</v>
      </c>
      <c r="M12" s="74">
        <f t="shared" si="2"/>
        <v>-3582.5287356321842</v>
      </c>
      <c r="N12" s="74">
        <f t="shared" si="2"/>
        <v>-13434.482758620692</v>
      </c>
      <c r="O12" s="75">
        <f t="shared" si="2"/>
        <v>0</v>
      </c>
    </row>
    <row r="13" spans="2:23">
      <c r="B13" s="76" t="s">
        <v>353</v>
      </c>
      <c r="C13" s="77"/>
      <c r="D13" s="77"/>
      <c r="E13" s="77">
        <f>-[2]Données!B46</f>
        <v>-4126.8965517241386</v>
      </c>
      <c r="F13" s="77">
        <f>-[2]Données!E23</f>
        <v>-6190.3448275862074</v>
      </c>
      <c r="G13" s="78"/>
      <c r="J13" s="76" t="s">
        <v>353</v>
      </c>
      <c r="K13" s="77"/>
      <c r="L13" s="77"/>
      <c r="M13" s="77">
        <f>-[2]Données!B76</f>
        <v>-3582.5287356321842</v>
      </c>
      <c r="N13" s="77">
        <f>-[2]Données!E53</f>
        <v>-5373.7931034482763</v>
      </c>
      <c r="O13" s="78"/>
    </row>
    <row r="14" spans="2:23">
      <c r="B14" s="76" t="s">
        <v>354</v>
      </c>
      <c r="C14" s="77"/>
      <c r="D14" s="77"/>
      <c r="E14" s="77"/>
      <c r="F14" s="77">
        <f>-[2]Données!E31</f>
        <v>-9285.5172413793098</v>
      </c>
      <c r="G14" s="78"/>
      <c r="J14" s="76" t="s">
        <v>354</v>
      </c>
      <c r="K14" s="77"/>
      <c r="L14" s="77"/>
      <c r="M14" s="77"/>
      <c r="N14" s="77">
        <f>-[2]Données!E60</f>
        <v>-8060.6896551724149</v>
      </c>
      <c r="O14" s="78"/>
    </row>
    <row r="15" spans="2:23">
      <c r="B15" s="76" t="s">
        <v>355</v>
      </c>
      <c r="C15" s="77"/>
      <c r="D15" s="77"/>
      <c r="E15" s="77"/>
      <c r="F15" s="77"/>
      <c r="G15" s="78"/>
      <c r="J15" s="76" t="s">
        <v>355</v>
      </c>
      <c r="K15" s="77"/>
      <c r="L15" s="77"/>
      <c r="M15" s="77"/>
      <c r="N15" s="77"/>
      <c r="O15" s="78"/>
    </row>
    <row r="16" spans="2:23" ht="3.75" customHeight="1">
      <c r="B16" s="76"/>
      <c r="C16" s="77"/>
      <c r="D16" s="77"/>
      <c r="E16" s="77"/>
      <c r="F16" s="77"/>
      <c r="G16" s="78"/>
      <c r="J16" s="76"/>
      <c r="K16" s="77"/>
      <c r="L16" s="77"/>
      <c r="M16" s="77"/>
      <c r="N16" s="77"/>
      <c r="O16" s="78"/>
    </row>
    <row r="17" spans="2:15" ht="15" customHeight="1">
      <c r="B17" s="73" t="s">
        <v>364</v>
      </c>
      <c r="C17" s="77"/>
      <c r="D17" s="77"/>
      <c r="E17" s="77"/>
      <c r="F17" s="77"/>
      <c r="G17" s="75">
        <f>G10+F10+E10-F12-E12</f>
        <v>-92597.241379310333</v>
      </c>
      <c r="J17" s="73" t="s">
        <v>363</v>
      </c>
      <c r="K17" s="74"/>
      <c r="L17" s="74"/>
      <c r="M17" s="74"/>
      <c r="N17" s="74"/>
      <c r="O17" s="75">
        <f>O10+N10+M10-M13-N13-N14</f>
        <v>-80382.988505747126</v>
      </c>
    </row>
    <row r="18" spans="2:15" ht="3.75" customHeight="1">
      <c r="B18" s="73"/>
      <c r="C18" s="77"/>
      <c r="D18" s="77"/>
      <c r="E18" s="77"/>
      <c r="F18" s="77"/>
      <c r="G18" s="75"/>
      <c r="J18" s="73"/>
      <c r="K18" s="74"/>
      <c r="L18" s="74"/>
      <c r="M18" s="74"/>
      <c r="N18" s="74"/>
      <c r="O18" s="75"/>
    </row>
    <row r="19" spans="2:15">
      <c r="B19" s="73" t="s">
        <v>356</v>
      </c>
      <c r="C19" s="74">
        <f>C8+C12+C17</f>
        <v>-7753.8461538461543</v>
      </c>
      <c r="D19" s="74">
        <f t="shared" ref="D19" si="3">D8+D12+D17</f>
        <v>-31015.384615384617</v>
      </c>
      <c r="E19" s="74">
        <f>E9+E12+E17</f>
        <v>-32557.665782493368</v>
      </c>
      <c r="F19" s="74">
        <f>F9+F12+F17</f>
        <v>-15475.862068965518</v>
      </c>
      <c r="G19" s="75">
        <f>G9+G12+G17</f>
        <v>-92597.241379310333</v>
      </c>
      <c r="J19" s="73" t="s">
        <v>356</v>
      </c>
      <c r="K19" s="74">
        <f>K9+K12+K17</f>
        <v>-8423.0769230769238</v>
      </c>
      <c r="L19" s="74">
        <f t="shared" ref="L19:O19" si="4">L9+L12+L17</f>
        <v>-33692.307692307695</v>
      </c>
      <c r="M19" s="74">
        <f t="shared" si="4"/>
        <v>-34467.144120247569</v>
      </c>
      <c r="N19" s="74">
        <f t="shared" si="4"/>
        <v>-13434.482758620692</v>
      </c>
      <c r="O19" s="75">
        <f t="shared" si="4"/>
        <v>-80382.988505747126</v>
      </c>
    </row>
    <row r="20" spans="2:15">
      <c r="B20" s="76" t="s">
        <v>357</v>
      </c>
      <c r="C20" s="77">
        <f>-C19*[2]Données!$D$9</f>
        <v>3101.5384615384619</v>
      </c>
      <c r="D20" s="77">
        <f>-D19*[2]Données!$D$9</f>
        <v>12406.153846153848</v>
      </c>
      <c r="E20" s="77">
        <f>-E19*[2]Données!$D$9</f>
        <v>13023.066312997347</v>
      </c>
      <c r="F20" s="77">
        <f>-F19*[2]Données!$D$9</f>
        <v>6190.3448275862074</v>
      </c>
      <c r="G20" s="78">
        <f>-G19*[2]Données!$D$9</f>
        <v>37038.896551724138</v>
      </c>
      <c r="J20" s="79" t="s">
        <v>357</v>
      </c>
      <c r="K20" s="80">
        <f>-K19*[2]Données!$D$9</f>
        <v>3369.2307692307695</v>
      </c>
      <c r="L20" s="80">
        <f>-L19*[2]Données!$D$9</f>
        <v>13476.923076923078</v>
      </c>
      <c r="M20" s="80">
        <f>-M19*[2]Données!$D$9</f>
        <v>13786.857648099029</v>
      </c>
      <c r="N20" s="80">
        <f>-N19*[2]Données!$D$9</f>
        <v>5373.7931034482772</v>
      </c>
      <c r="O20" s="81">
        <f>-O19*[2]Données!$D$9</f>
        <v>32153.19540229885</v>
      </c>
    </row>
    <row r="21" spans="2:15" ht="3.75" customHeight="1">
      <c r="B21" s="76"/>
      <c r="C21" s="77"/>
      <c r="D21" s="77"/>
      <c r="E21" s="77"/>
      <c r="F21" s="77"/>
      <c r="G21" s="78"/>
      <c r="J21" s="79"/>
      <c r="K21" s="80"/>
      <c r="L21" s="80"/>
      <c r="M21" s="80"/>
      <c r="N21" s="80"/>
      <c r="O21" s="81"/>
    </row>
    <row r="22" spans="2:15">
      <c r="B22" s="73" t="s">
        <v>358</v>
      </c>
      <c r="C22" s="74">
        <f>C19+C20</f>
        <v>-4652.3076923076924</v>
      </c>
      <c r="D22" s="74">
        <f t="shared" ref="D22:G22" si="5">D19+D20</f>
        <v>-18609.23076923077</v>
      </c>
      <c r="E22" s="74">
        <f t="shared" si="5"/>
        <v>-19534.599469496021</v>
      </c>
      <c r="F22" s="74">
        <f t="shared" si="5"/>
        <v>-9285.5172413793116</v>
      </c>
      <c r="G22" s="75">
        <f t="shared" si="5"/>
        <v>-55558.344827586196</v>
      </c>
      <c r="J22" s="73" t="s">
        <v>358</v>
      </c>
      <c r="K22" s="74">
        <f>K19+K20</f>
        <v>-5053.8461538461543</v>
      </c>
      <c r="L22" s="74">
        <f t="shared" ref="L22:O22" si="6">L19+L20</f>
        <v>-20215.384615384617</v>
      </c>
      <c r="M22" s="74">
        <f t="shared" si="6"/>
        <v>-20680.286472148538</v>
      </c>
      <c r="N22" s="74">
        <f t="shared" si="6"/>
        <v>-8060.6896551724149</v>
      </c>
      <c r="O22" s="75">
        <f t="shared" si="6"/>
        <v>-48229.793103448275</v>
      </c>
    </row>
    <row r="23" spans="2:15" ht="15" thickBot="1">
      <c r="B23" s="90" t="s">
        <v>352</v>
      </c>
      <c r="C23" s="91">
        <f>-C12</f>
        <v>0</v>
      </c>
      <c r="D23" s="91">
        <f t="shared" ref="D23:G23" si="7">-D12</f>
        <v>0</v>
      </c>
      <c r="E23" s="91">
        <f t="shared" si="7"/>
        <v>4126.8965517241386</v>
      </c>
      <c r="F23" s="91">
        <f t="shared" si="7"/>
        <v>15475.862068965518</v>
      </c>
      <c r="G23" s="92">
        <f t="shared" si="7"/>
        <v>0</v>
      </c>
      <c r="J23" s="90" t="s">
        <v>352</v>
      </c>
      <c r="K23" s="91">
        <f>-K12</f>
        <v>0</v>
      </c>
      <c r="L23" s="91">
        <f t="shared" ref="L23:O23" si="8">-L12</f>
        <v>0</v>
      </c>
      <c r="M23" s="91">
        <f t="shared" si="8"/>
        <v>3582.5287356321842</v>
      </c>
      <c r="N23" s="91">
        <f t="shared" si="8"/>
        <v>13434.482758620692</v>
      </c>
      <c r="O23" s="92">
        <f t="shared" si="8"/>
        <v>0</v>
      </c>
    </row>
    <row r="24" spans="2:15">
      <c r="B24" s="51" t="s">
        <v>373</v>
      </c>
      <c r="C24" s="52">
        <f>C22+C23+C10-C17</f>
        <v>-4652.3076923076924</v>
      </c>
      <c r="D24" s="52">
        <f>D22+D23+D10-D17</f>
        <v>-18609.23076923077</v>
      </c>
      <c r="E24" s="52">
        <f>E22+E23+E10-E17</f>
        <v>-46359.427055702923</v>
      </c>
      <c r="F24" s="52">
        <f>F22+F23+F10-F17</f>
        <v>-40237.241379310348</v>
      </c>
      <c r="G24" s="53">
        <f>G22+G23+G10-G17</f>
        <v>2218.2068965517246</v>
      </c>
      <c r="J24" s="51" t="s">
        <v>373</v>
      </c>
      <c r="K24" s="52">
        <f>K22-K23</f>
        <v>-5053.8461538461543</v>
      </c>
      <c r="L24" s="52">
        <f t="shared" ref="L24:O24" si="9">L22-L23</f>
        <v>-20215.384615384617</v>
      </c>
      <c r="M24" s="52">
        <f t="shared" si="9"/>
        <v>-24262.815207780724</v>
      </c>
      <c r="N24" s="52">
        <f t="shared" si="9"/>
        <v>-21495.172413793109</v>
      </c>
      <c r="O24" s="53">
        <f t="shared" si="9"/>
        <v>-48229.793103448275</v>
      </c>
    </row>
    <row r="25" spans="2:15" ht="1.5" customHeight="1">
      <c r="B25" s="63"/>
      <c r="C25" s="64"/>
      <c r="D25" s="64"/>
      <c r="E25" s="64"/>
      <c r="F25" s="64"/>
      <c r="G25" s="65"/>
      <c r="J25" s="63"/>
      <c r="K25" s="64"/>
      <c r="L25" s="64"/>
      <c r="M25" s="64"/>
      <c r="N25" s="64"/>
      <c r="O25" s="65"/>
    </row>
    <row r="26" spans="2:15" ht="15" thickBot="1">
      <c r="B26" s="66" t="s">
        <v>369</v>
      </c>
      <c r="C26" s="67">
        <f>C24/(1+'[2]Cours en bourse'!$J$26)^'[2]Scénario 2'!B2</f>
        <v>-4652.3076923076924</v>
      </c>
      <c r="D26" s="67">
        <f>D24/(1+'[2]Cours en bourse'!$J$26)^'[2]Scénario 2'!C2</f>
        <v>-16728.024760770848</v>
      </c>
      <c r="E26" s="67">
        <f>E24/(1+'[2]Cours en bourse'!$J$26)^'[2]Scénario 2'!D2</f>
        <v>-37460.238859854908</v>
      </c>
      <c r="F26" s="67">
        <f>F24/(1+'[2]Cours en bourse'!$J$26)^'[2]Scénario 2'!E2</f>
        <v>-29226.507530881725</v>
      </c>
      <c r="G26" s="68">
        <f>G24/(1+'[2]Cours en bourse'!$J$26)^'[2]Scénario 2'!F2</f>
        <v>1448.3282966021925</v>
      </c>
      <c r="J26" s="66" t="s">
        <v>369</v>
      </c>
      <c r="K26" s="67">
        <f>K24/(1+'[2]Cours en bourse'!$J$26)^C3</f>
        <v>-5053.8461538461543</v>
      </c>
      <c r="L26" s="67">
        <f>L24/(1+'[2]Cours en bourse'!$J$26)^D3</f>
        <v>-18171.812612146903</v>
      </c>
      <c r="M26" s="67">
        <f>M24/(1+'[2]Cours en bourse'!$J$26)^E3</f>
        <v>-19605.308150247696</v>
      </c>
      <c r="N26" s="67">
        <f>N24/(1+'[2]Cours en bourse'!$J$26)^F3</f>
        <v>-15613.118516428796</v>
      </c>
      <c r="O26" s="68">
        <f>O24/(1+'[2]Cours en bourse'!$J$26)^G3</f>
        <v>-31490.558522553296</v>
      </c>
    </row>
    <row r="27" spans="2:15" ht="15" thickBot="1">
      <c r="D27" s="32"/>
      <c r="E27" s="32"/>
      <c r="F27" s="32"/>
      <c r="G27" s="32"/>
      <c r="I27" s="11"/>
      <c r="L27" s="31"/>
      <c r="M27" s="31"/>
      <c r="N27" s="31"/>
      <c r="O27" s="31"/>
    </row>
    <row r="28" spans="2:15" ht="15" thickBot="1">
      <c r="B28" s="262" t="s">
        <v>360</v>
      </c>
      <c r="C28" s="263">
        <f>SUM(C26:G26)</f>
        <v>-86618.750547212971</v>
      </c>
      <c r="H28" s="32"/>
      <c r="I28" s="11"/>
      <c r="J28" s="262" t="s">
        <v>360</v>
      </c>
      <c r="K28" s="263">
        <f>SUM(K26:O26)</f>
        <v>-89934.64395522284</v>
      </c>
    </row>
    <row r="29" spans="2:15" ht="19.5" customHeight="1">
      <c r="H29" s="32"/>
      <c r="I29" s="11"/>
    </row>
    <row r="30" spans="2:15">
      <c r="H30" s="32"/>
      <c r="I30" s="11"/>
    </row>
    <row r="31" spans="2:15">
      <c r="H31" s="32"/>
      <c r="I31" s="11"/>
    </row>
    <row r="32" spans="2:15">
      <c r="H32" s="32"/>
      <c r="I32" s="11"/>
    </row>
    <row r="33" spans="8:9" s="10" customFormat="1" ht="3.75" customHeight="1">
      <c r="H33" s="40"/>
      <c r="I33" s="41"/>
    </row>
    <row r="34" spans="8:9">
      <c r="H34" s="32"/>
      <c r="I34" s="11"/>
    </row>
    <row r="35" spans="8:9">
      <c r="H35" s="32"/>
      <c r="I35" s="11"/>
    </row>
    <row r="36" spans="8:9">
      <c r="H36" s="32"/>
      <c r="I36" s="11"/>
    </row>
    <row r="37" spans="8:9" ht="3.75" customHeight="1">
      <c r="H37" s="32"/>
      <c r="I37" s="11"/>
    </row>
    <row r="38" spans="8:9">
      <c r="H38" s="32"/>
      <c r="I38" s="11"/>
    </row>
    <row r="39" spans="8:9">
      <c r="H39" s="32"/>
      <c r="I39" s="11"/>
    </row>
    <row r="40" spans="8:9">
      <c r="H40" s="32"/>
      <c r="I40" s="11"/>
    </row>
    <row r="41" spans="8:9">
      <c r="H41" s="32"/>
      <c r="I41" s="11"/>
    </row>
    <row r="42" spans="8:9" ht="3.75" customHeight="1">
      <c r="H42" s="32"/>
      <c r="I42" s="11"/>
    </row>
    <row r="43" spans="8:9">
      <c r="H43" s="32"/>
      <c r="I43" s="11"/>
    </row>
    <row r="44" spans="8:9" ht="3.75" customHeight="1">
      <c r="H44" s="32"/>
      <c r="I44" s="11"/>
    </row>
    <row r="45" spans="8:9">
      <c r="H45" s="32"/>
      <c r="I45" s="11"/>
    </row>
    <row r="46" spans="8:9">
      <c r="H46" s="32"/>
      <c r="I46" s="11"/>
    </row>
    <row r="47" spans="8:9" ht="3.75" customHeight="1">
      <c r="H47" s="32"/>
      <c r="I47" s="11"/>
    </row>
    <row r="48" spans="8:9">
      <c r="H48" s="32"/>
      <c r="I48" s="11"/>
    </row>
    <row r="49" spans="8:8">
      <c r="H49" s="32"/>
    </row>
    <row r="51" spans="8:8" ht="1.5" customHeight="1"/>
  </sheetData>
  <mergeCells count="1">
    <mergeCell ref="E2:J2"/>
  </mergeCells>
  <pageMargins left="0.7" right="0.7" top="0.75" bottom="0.75" header="0.3" footer="0.3"/>
  <ignoredErrors>
    <ignoredError sqref="B6:G6 K6:O6" numberStoredAsText="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N48"/>
  <sheetViews>
    <sheetView showGridLines="0" workbookViewId="0">
      <selection activeCell="E26" sqref="E26"/>
    </sheetView>
  </sheetViews>
  <sheetFormatPr baseColWidth="10" defaultColWidth="10.7265625" defaultRowHeight="14.5"/>
  <cols>
    <col min="2" max="2" width="27.453125" customWidth="1"/>
    <col min="4" max="4" width="9.7265625" customWidth="1"/>
    <col min="5" max="5" width="11.453125" bestFit="1" customWidth="1"/>
    <col min="7" max="7" width="12" customWidth="1"/>
    <col min="8" max="8" width="11.453125" customWidth="1"/>
    <col min="9" max="9" width="29.26953125" customWidth="1"/>
    <col min="10" max="14" width="11" customWidth="1"/>
    <col min="248" max="248" width="27.453125" customWidth="1"/>
    <col min="250" max="250" width="9.7265625" customWidth="1"/>
    <col min="253" max="253" width="12" customWidth="1"/>
    <col min="254" max="263" width="0" hidden="1" customWidth="1"/>
    <col min="264" max="264" width="11.453125" customWidth="1"/>
    <col min="504" max="504" width="27.453125" customWidth="1"/>
    <col min="506" max="506" width="9.7265625" customWidth="1"/>
    <col min="509" max="509" width="12" customWidth="1"/>
    <col min="510" max="519" width="0" hidden="1" customWidth="1"/>
    <col min="520" max="520" width="11.453125" customWidth="1"/>
    <col min="760" max="760" width="27.453125" customWidth="1"/>
    <col min="762" max="762" width="9.7265625" customWidth="1"/>
    <col min="765" max="765" width="12" customWidth="1"/>
    <col min="766" max="775" width="0" hidden="1" customWidth="1"/>
    <col min="776" max="776" width="11.453125" customWidth="1"/>
    <col min="1016" max="1016" width="27.453125" customWidth="1"/>
    <col min="1018" max="1018" width="9.7265625" customWidth="1"/>
    <col min="1021" max="1021" width="12" customWidth="1"/>
    <col min="1022" max="1031" width="0" hidden="1" customWidth="1"/>
    <col min="1032" max="1032" width="11.453125" customWidth="1"/>
    <col min="1272" max="1272" width="27.453125" customWidth="1"/>
    <col min="1274" max="1274" width="9.7265625" customWidth="1"/>
    <col min="1277" max="1277" width="12" customWidth="1"/>
    <col min="1278" max="1287" width="0" hidden="1" customWidth="1"/>
    <col min="1288" max="1288" width="11.453125" customWidth="1"/>
    <col min="1528" max="1528" width="27.453125" customWidth="1"/>
    <col min="1530" max="1530" width="9.7265625" customWidth="1"/>
    <col min="1533" max="1533" width="12" customWidth="1"/>
    <col min="1534" max="1543" width="0" hidden="1" customWidth="1"/>
    <col min="1544" max="1544" width="11.453125" customWidth="1"/>
    <col min="1784" max="1784" width="27.453125" customWidth="1"/>
    <col min="1786" max="1786" width="9.7265625" customWidth="1"/>
    <col min="1789" max="1789" width="12" customWidth="1"/>
    <col min="1790" max="1799" width="0" hidden="1" customWidth="1"/>
    <col min="1800" max="1800" width="11.453125" customWidth="1"/>
    <col min="2040" max="2040" width="27.453125" customWidth="1"/>
    <col min="2042" max="2042" width="9.7265625" customWidth="1"/>
    <col min="2045" max="2045" width="12" customWidth="1"/>
    <col min="2046" max="2055" width="0" hidden="1" customWidth="1"/>
    <col min="2056" max="2056" width="11.453125" customWidth="1"/>
    <col min="2296" max="2296" width="27.453125" customWidth="1"/>
    <col min="2298" max="2298" width="9.7265625" customWidth="1"/>
    <col min="2301" max="2301" width="12" customWidth="1"/>
    <col min="2302" max="2311" width="0" hidden="1" customWidth="1"/>
    <col min="2312" max="2312" width="11.453125" customWidth="1"/>
    <col min="2552" max="2552" width="27.453125" customWidth="1"/>
    <col min="2554" max="2554" width="9.7265625" customWidth="1"/>
    <col min="2557" max="2557" width="12" customWidth="1"/>
    <col min="2558" max="2567" width="0" hidden="1" customWidth="1"/>
    <col min="2568" max="2568" width="11.453125" customWidth="1"/>
    <col min="2808" max="2808" width="27.453125" customWidth="1"/>
    <col min="2810" max="2810" width="9.7265625" customWidth="1"/>
    <col min="2813" max="2813" width="12" customWidth="1"/>
    <col min="2814" max="2823" width="0" hidden="1" customWidth="1"/>
    <col min="2824" max="2824" width="11.453125" customWidth="1"/>
    <col min="3064" max="3064" width="27.453125" customWidth="1"/>
    <col min="3066" max="3066" width="9.7265625" customWidth="1"/>
    <col min="3069" max="3069" width="12" customWidth="1"/>
    <col min="3070" max="3079" width="0" hidden="1" customWidth="1"/>
    <col min="3080" max="3080" width="11.453125" customWidth="1"/>
    <col min="3320" max="3320" width="27.453125" customWidth="1"/>
    <col min="3322" max="3322" width="9.7265625" customWidth="1"/>
    <col min="3325" max="3325" width="12" customWidth="1"/>
    <col min="3326" max="3335" width="0" hidden="1" customWidth="1"/>
    <col min="3336" max="3336" width="11.453125" customWidth="1"/>
    <col min="3576" max="3576" width="27.453125" customWidth="1"/>
    <col min="3578" max="3578" width="9.7265625" customWidth="1"/>
    <col min="3581" max="3581" width="12" customWidth="1"/>
    <col min="3582" max="3591" width="0" hidden="1" customWidth="1"/>
    <col min="3592" max="3592" width="11.453125" customWidth="1"/>
    <col min="3832" max="3832" width="27.453125" customWidth="1"/>
    <col min="3834" max="3834" width="9.7265625" customWidth="1"/>
    <col min="3837" max="3837" width="12" customWidth="1"/>
    <col min="3838" max="3847" width="0" hidden="1" customWidth="1"/>
    <col min="3848" max="3848" width="11.453125" customWidth="1"/>
    <col min="4088" max="4088" width="27.453125" customWidth="1"/>
    <col min="4090" max="4090" width="9.7265625" customWidth="1"/>
    <col min="4093" max="4093" width="12" customWidth="1"/>
    <col min="4094" max="4103" width="0" hidden="1" customWidth="1"/>
    <col min="4104" max="4104" width="11.453125" customWidth="1"/>
    <col min="4344" max="4344" width="27.453125" customWidth="1"/>
    <col min="4346" max="4346" width="9.7265625" customWidth="1"/>
    <col min="4349" max="4349" width="12" customWidth="1"/>
    <col min="4350" max="4359" width="0" hidden="1" customWidth="1"/>
    <col min="4360" max="4360" width="11.453125" customWidth="1"/>
    <col min="4600" max="4600" width="27.453125" customWidth="1"/>
    <col min="4602" max="4602" width="9.7265625" customWidth="1"/>
    <col min="4605" max="4605" width="12" customWidth="1"/>
    <col min="4606" max="4615" width="0" hidden="1" customWidth="1"/>
    <col min="4616" max="4616" width="11.453125" customWidth="1"/>
    <col min="4856" max="4856" width="27.453125" customWidth="1"/>
    <col min="4858" max="4858" width="9.7265625" customWidth="1"/>
    <col min="4861" max="4861" width="12" customWidth="1"/>
    <col min="4862" max="4871" width="0" hidden="1" customWidth="1"/>
    <col min="4872" max="4872" width="11.453125" customWidth="1"/>
    <col min="5112" max="5112" width="27.453125" customWidth="1"/>
    <col min="5114" max="5114" width="9.7265625" customWidth="1"/>
    <col min="5117" max="5117" width="12" customWidth="1"/>
    <col min="5118" max="5127" width="0" hidden="1" customWidth="1"/>
    <col min="5128" max="5128" width="11.453125" customWidth="1"/>
    <col min="5368" max="5368" width="27.453125" customWidth="1"/>
    <col min="5370" max="5370" width="9.7265625" customWidth="1"/>
    <col min="5373" max="5373" width="12" customWidth="1"/>
    <col min="5374" max="5383" width="0" hidden="1" customWidth="1"/>
    <col min="5384" max="5384" width="11.453125" customWidth="1"/>
    <col min="5624" max="5624" width="27.453125" customWidth="1"/>
    <col min="5626" max="5626" width="9.7265625" customWidth="1"/>
    <col min="5629" max="5629" width="12" customWidth="1"/>
    <col min="5630" max="5639" width="0" hidden="1" customWidth="1"/>
    <col min="5640" max="5640" width="11.453125" customWidth="1"/>
    <col min="5880" max="5880" width="27.453125" customWidth="1"/>
    <col min="5882" max="5882" width="9.7265625" customWidth="1"/>
    <col min="5885" max="5885" width="12" customWidth="1"/>
    <col min="5886" max="5895" width="0" hidden="1" customWidth="1"/>
    <col min="5896" max="5896" width="11.453125" customWidth="1"/>
    <col min="6136" max="6136" width="27.453125" customWidth="1"/>
    <col min="6138" max="6138" width="9.7265625" customWidth="1"/>
    <col min="6141" max="6141" width="12" customWidth="1"/>
    <col min="6142" max="6151" width="0" hidden="1" customWidth="1"/>
    <col min="6152" max="6152" width="11.453125" customWidth="1"/>
    <col min="6392" max="6392" width="27.453125" customWidth="1"/>
    <col min="6394" max="6394" width="9.7265625" customWidth="1"/>
    <col min="6397" max="6397" width="12" customWidth="1"/>
    <col min="6398" max="6407" width="0" hidden="1" customWidth="1"/>
    <col min="6408" max="6408" width="11.453125" customWidth="1"/>
    <col min="6648" max="6648" width="27.453125" customWidth="1"/>
    <col min="6650" max="6650" width="9.7265625" customWidth="1"/>
    <col min="6653" max="6653" width="12" customWidth="1"/>
    <col min="6654" max="6663" width="0" hidden="1" customWidth="1"/>
    <col min="6664" max="6664" width="11.453125" customWidth="1"/>
    <col min="6904" max="6904" width="27.453125" customWidth="1"/>
    <col min="6906" max="6906" width="9.7265625" customWidth="1"/>
    <col min="6909" max="6909" width="12" customWidth="1"/>
    <col min="6910" max="6919" width="0" hidden="1" customWidth="1"/>
    <col min="6920" max="6920" width="11.453125" customWidth="1"/>
    <col min="7160" max="7160" width="27.453125" customWidth="1"/>
    <col min="7162" max="7162" width="9.7265625" customWidth="1"/>
    <col min="7165" max="7165" width="12" customWidth="1"/>
    <col min="7166" max="7175" width="0" hidden="1" customWidth="1"/>
    <col min="7176" max="7176" width="11.453125" customWidth="1"/>
    <col min="7416" max="7416" width="27.453125" customWidth="1"/>
    <col min="7418" max="7418" width="9.7265625" customWidth="1"/>
    <col min="7421" max="7421" width="12" customWidth="1"/>
    <col min="7422" max="7431" width="0" hidden="1" customWidth="1"/>
    <col min="7432" max="7432" width="11.453125" customWidth="1"/>
    <col min="7672" max="7672" width="27.453125" customWidth="1"/>
    <col min="7674" max="7674" width="9.7265625" customWidth="1"/>
    <col min="7677" max="7677" width="12" customWidth="1"/>
    <col min="7678" max="7687" width="0" hidden="1" customWidth="1"/>
    <col min="7688" max="7688" width="11.453125" customWidth="1"/>
    <col min="7928" max="7928" width="27.453125" customWidth="1"/>
    <col min="7930" max="7930" width="9.7265625" customWidth="1"/>
    <col min="7933" max="7933" width="12" customWidth="1"/>
    <col min="7934" max="7943" width="0" hidden="1" customWidth="1"/>
    <col min="7944" max="7944" width="11.453125" customWidth="1"/>
    <col min="8184" max="8184" width="27.453125" customWidth="1"/>
    <col min="8186" max="8186" width="9.7265625" customWidth="1"/>
    <col min="8189" max="8189" width="12" customWidth="1"/>
    <col min="8190" max="8199" width="0" hidden="1" customWidth="1"/>
    <col min="8200" max="8200" width="11.453125" customWidth="1"/>
    <col min="8440" max="8440" width="27.453125" customWidth="1"/>
    <col min="8442" max="8442" width="9.7265625" customWidth="1"/>
    <col min="8445" max="8445" width="12" customWidth="1"/>
    <col min="8446" max="8455" width="0" hidden="1" customWidth="1"/>
    <col min="8456" max="8456" width="11.453125" customWidth="1"/>
    <col min="8696" max="8696" width="27.453125" customWidth="1"/>
    <col min="8698" max="8698" width="9.7265625" customWidth="1"/>
    <col min="8701" max="8701" width="12" customWidth="1"/>
    <col min="8702" max="8711" width="0" hidden="1" customWidth="1"/>
    <col min="8712" max="8712" width="11.453125" customWidth="1"/>
    <col min="8952" max="8952" width="27.453125" customWidth="1"/>
    <col min="8954" max="8954" width="9.7265625" customWidth="1"/>
    <col min="8957" max="8957" width="12" customWidth="1"/>
    <col min="8958" max="8967" width="0" hidden="1" customWidth="1"/>
    <col min="8968" max="8968" width="11.453125" customWidth="1"/>
    <col min="9208" max="9208" width="27.453125" customWidth="1"/>
    <col min="9210" max="9210" width="9.7265625" customWidth="1"/>
    <col min="9213" max="9213" width="12" customWidth="1"/>
    <col min="9214" max="9223" width="0" hidden="1" customWidth="1"/>
    <col min="9224" max="9224" width="11.453125" customWidth="1"/>
    <col min="9464" max="9464" width="27.453125" customWidth="1"/>
    <col min="9466" max="9466" width="9.7265625" customWidth="1"/>
    <col min="9469" max="9469" width="12" customWidth="1"/>
    <col min="9470" max="9479" width="0" hidden="1" customWidth="1"/>
    <col min="9480" max="9480" width="11.453125" customWidth="1"/>
    <col min="9720" max="9720" width="27.453125" customWidth="1"/>
    <col min="9722" max="9722" width="9.7265625" customWidth="1"/>
    <col min="9725" max="9725" width="12" customWidth="1"/>
    <col min="9726" max="9735" width="0" hidden="1" customWidth="1"/>
    <col min="9736" max="9736" width="11.453125" customWidth="1"/>
    <col min="9976" max="9976" width="27.453125" customWidth="1"/>
    <col min="9978" max="9978" width="9.7265625" customWidth="1"/>
    <col min="9981" max="9981" width="12" customWidth="1"/>
    <col min="9982" max="9991" width="0" hidden="1" customWidth="1"/>
    <col min="9992" max="9992" width="11.453125" customWidth="1"/>
    <col min="10232" max="10232" width="27.453125" customWidth="1"/>
    <col min="10234" max="10234" width="9.7265625" customWidth="1"/>
    <col min="10237" max="10237" width="12" customWidth="1"/>
    <col min="10238" max="10247" width="0" hidden="1" customWidth="1"/>
    <col min="10248" max="10248" width="11.453125" customWidth="1"/>
    <col min="10488" max="10488" width="27.453125" customWidth="1"/>
    <col min="10490" max="10490" width="9.7265625" customWidth="1"/>
    <col min="10493" max="10493" width="12" customWidth="1"/>
    <col min="10494" max="10503" width="0" hidden="1" customWidth="1"/>
    <col min="10504" max="10504" width="11.453125" customWidth="1"/>
    <col min="10744" max="10744" width="27.453125" customWidth="1"/>
    <col min="10746" max="10746" width="9.7265625" customWidth="1"/>
    <col min="10749" max="10749" width="12" customWidth="1"/>
    <col min="10750" max="10759" width="0" hidden="1" customWidth="1"/>
    <col min="10760" max="10760" width="11.453125" customWidth="1"/>
    <col min="11000" max="11000" width="27.453125" customWidth="1"/>
    <col min="11002" max="11002" width="9.7265625" customWidth="1"/>
    <col min="11005" max="11005" width="12" customWidth="1"/>
    <col min="11006" max="11015" width="0" hidden="1" customWidth="1"/>
    <col min="11016" max="11016" width="11.453125" customWidth="1"/>
    <col min="11256" max="11256" width="27.453125" customWidth="1"/>
    <col min="11258" max="11258" width="9.7265625" customWidth="1"/>
    <col min="11261" max="11261" width="12" customWidth="1"/>
    <col min="11262" max="11271" width="0" hidden="1" customWidth="1"/>
    <col min="11272" max="11272" width="11.453125" customWidth="1"/>
    <col min="11512" max="11512" width="27.453125" customWidth="1"/>
    <col min="11514" max="11514" width="9.7265625" customWidth="1"/>
    <col min="11517" max="11517" width="12" customWidth="1"/>
    <col min="11518" max="11527" width="0" hidden="1" customWidth="1"/>
    <col min="11528" max="11528" width="11.453125" customWidth="1"/>
    <col min="11768" max="11768" width="27.453125" customWidth="1"/>
    <col min="11770" max="11770" width="9.7265625" customWidth="1"/>
    <col min="11773" max="11773" width="12" customWidth="1"/>
    <col min="11774" max="11783" width="0" hidden="1" customWidth="1"/>
    <col min="11784" max="11784" width="11.453125" customWidth="1"/>
    <col min="12024" max="12024" width="27.453125" customWidth="1"/>
    <col min="12026" max="12026" width="9.7265625" customWidth="1"/>
    <col min="12029" max="12029" width="12" customWidth="1"/>
    <col min="12030" max="12039" width="0" hidden="1" customWidth="1"/>
    <col min="12040" max="12040" width="11.453125" customWidth="1"/>
    <col min="12280" max="12280" width="27.453125" customWidth="1"/>
    <col min="12282" max="12282" width="9.7265625" customWidth="1"/>
    <col min="12285" max="12285" width="12" customWidth="1"/>
    <col min="12286" max="12295" width="0" hidden="1" customWidth="1"/>
    <col min="12296" max="12296" width="11.453125" customWidth="1"/>
    <col min="12536" max="12536" width="27.453125" customWidth="1"/>
    <col min="12538" max="12538" width="9.7265625" customWidth="1"/>
    <col min="12541" max="12541" width="12" customWidth="1"/>
    <col min="12542" max="12551" width="0" hidden="1" customWidth="1"/>
    <col min="12552" max="12552" width="11.453125" customWidth="1"/>
    <col min="12792" max="12792" width="27.453125" customWidth="1"/>
    <col min="12794" max="12794" width="9.7265625" customWidth="1"/>
    <col min="12797" max="12797" width="12" customWidth="1"/>
    <col min="12798" max="12807" width="0" hidden="1" customWidth="1"/>
    <col min="12808" max="12808" width="11.453125" customWidth="1"/>
    <col min="13048" max="13048" width="27.453125" customWidth="1"/>
    <col min="13050" max="13050" width="9.7265625" customWidth="1"/>
    <col min="13053" max="13053" width="12" customWidth="1"/>
    <col min="13054" max="13063" width="0" hidden="1" customWidth="1"/>
    <col min="13064" max="13064" width="11.453125" customWidth="1"/>
    <col min="13304" max="13304" width="27.453125" customWidth="1"/>
    <col min="13306" max="13306" width="9.7265625" customWidth="1"/>
    <col min="13309" max="13309" width="12" customWidth="1"/>
    <col min="13310" max="13319" width="0" hidden="1" customWidth="1"/>
    <col min="13320" max="13320" width="11.453125" customWidth="1"/>
    <col min="13560" max="13560" width="27.453125" customWidth="1"/>
    <col min="13562" max="13562" width="9.7265625" customWidth="1"/>
    <col min="13565" max="13565" width="12" customWidth="1"/>
    <col min="13566" max="13575" width="0" hidden="1" customWidth="1"/>
    <col min="13576" max="13576" width="11.453125" customWidth="1"/>
    <col min="13816" max="13816" width="27.453125" customWidth="1"/>
    <col min="13818" max="13818" width="9.7265625" customWidth="1"/>
    <col min="13821" max="13821" width="12" customWidth="1"/>
    <col min="13822" max="13831" width="0" hidden="1" customWidth="1"/>
    <col min="13832" max="13832" width="11.453125" customWidth="1"/>
    <col min="14072" max="14072" width="27.453125" customWidth="1"/>
    <col min="14074" max="14074" width="9.7265625" customWidth="1"/>
    <col min="14077" max="14077" width="12" customWidth="1"/>
    <col min="14078" max="14087" width="0" hidden="1" customWidth="1"/>
    <col min="14088" max="14088" width="11.453125" customWidth="1"/>
    <col min="14328" max="14328" width="27.453125" customWidth="1"/>
    <col min="14330" max="14330" width="9.7265625" customWidth="1"/>
    <col min="14333" max="14333" width="12" customWidth="1"/>
    <col min="14334" max="14343" width="0" hidden="1" customWidth="1"/>
    <col min="14344" max="14344" width="11.453125" customWidth="1"/>
    <col min="14584" max="14584" width="27.453125" customWidth="1"/>
    <col min="14586" max="14586" width="9.7265625" customWidth="1"/>
    <col min="14589" max="14589" width="12" customWidth="1"/>
    <col min="14590" max="14599" width="0" hidden="1" customWidth="1"/>
    <col min="14600" max="14600" width="11.453125" customWidth="1"/>
    <col min="14840" max="14840" width="27.453125" customWidth="1"/>
    <col min="14842" max="14842" width="9.7265625" customWidth="1"/>
    <col min="14845" max="14845" width="12" customWidth="1"/>
    <col min="14846" max="14855" width="0" hidden="1" customWidth="1"/>
    <col min="14856" max="14856" width="11.453125" customWidth="1"/>
    <col min="15096" max="15096" width="27.453125" customWidth="1"/>
    <col min="15098" max="15098" width="9.7265625" customWidth="1"/>
    <col min="15101" max="15101" width="12" customWidth="1"/>
    <col min="15102" max="15111" width="0" hidden="1" customWidth="1"/>
    <col min="15112" max="15112" width="11.453125" customWidth="1"/>
    <col min="15352" max="15352" width="27.453125" customWidth="1"/>
    <col min="15354" max="15354" width="9.7265625" customWidth="1"/>
    <col min="15357" max="15357" width="12" customWidth="1"/>
    <col min="15358" max="15367" width="0" hidden="1" customWidth="1"/>
    <col min="15368" max="15368" width="11.453125" customWidth="1"/>
    <col min="15608" max="15608" width="27.453125" customWidth="1"/>
    <col min="15610" max="15610" width="9.7265625" customWidth="1"/>
    <col min="15613" max="15613" width="12" customWidth="1"/>
    <col min="15614" max="15623" width="0" hidden="1" customWidth="1"/>
    <col min="15624" max="15624" width="11.453125" customWidth="1"/>
    <col min="15864" max="15864" width="27.453125" customWidth="1"/>
    <col min="15866" max="15866" width="9.7265625" customWidth="1"/>
    <col min="15869" max="15869" width="12" customWidth="1"/>
    <col min="15870" max="15879" width="0" hidden="1" customWidth="1"/>
    <col min="15880" max="15880" width="11.453125" customWidth="1"/>
    <col min="16120" max="16120" width="27.453125" customWidth="1"/>
    <col min="16122" max="16122" width="9.7265625" customWidth="1"/>
    <col min="16125" max="16125" width="12" customWidth="1"/>
    <col min="16126" max="16135" width="0" hidden="1" customWidth="1"/>
    <col min="16136" max="16136" width="11.453125" customWidth="1"/>
  </cols>
  <sheetData>
    <row r="1" spans="2:14" ht="15" thickBot="1"/>
    <row r="2" spans="2:14" ht="32.25" customHeight="1" thickBot="1">
      <c r="D2" s="923" t="s">
        <v>365</v>
      </c>
      <c r="E2" s="924"/>
      <c r="F2" s="924"/>
      <c r="G2" s="924"/>
      <c r="H2" s="924"/>
      <c r="I2" s="925"/>
    </row>
    <row r="3" spans="2:14" ht="31">
      <c r="B3" s="27"/>
      <c r="C3" s="27"/>
      <c r="D3" s="27"/>
      <c r="E3" s="27"/>
      <c r="F3" s="27"/>
      <c r="G3" s="27"/>
    </row>
    <row r="4" spans="2:14" ht="24" hidden="1" thickBot="1">
      <c r="B4" s="29"/>
      <c r="C4" s="30">
        <v>0</v>
      </c>
      <c r="D4" s="30">
        <v>1</v>
      </c>
      <c r="E4" s="30">
        <v>2</v>
      </c>
      <c r="F4" s="30">
        <v>3</v>
      </c>
      <c r="G4" s="30">
        <v>4</v>
      </c>
    </row>
    <row r="5" spans="2:14" ht="24" customHeight="1">
      <c r="B5" s="242" t="s">
        <v>40</v>
      </c>
      <c r="C5" s="242" t="s">
        <v>334</v>
      </c>
      <c r="D5" s="242" t="s">
        <v>335</v>
      </c>
      <c r="E5" s="242" t="s">
        <v>336</v>
      </c>
      <c r="F5" s="242" t="s">
        <v>337</v>
      </c>
      <c r="G5" s="242" t="s">
        <v>338</v>
      </c>
      <c r="I5" s="242" t="s">
        <v>361</v>
      </c>
      <c r="J5" s="242" t="s">
        <v>334</v>
      </c>
      <c r="K5" s="242" t="s">
        <v>335</v>
      </c>
      <c r="L5" s="242" t="s">
        <v>336</v>
      </c>
      <c r="M5" s="242" t="s">
        <v>337</v>
      </c>
      <c r="N5" s="242" t="s">
        <v>338</v>
      </c>
    </row>
    <row r="6" spans="2:14" s="10" customFormat="1" ht="2.25" customHeight="1">
      <c r="B6" s="93"/>
      <c r="C6" s="94"/>
      <c r="D6" s="94"/>
      <c r="E6" s="94"/>
      <c r="F6" s="94"/>
      <c r="G6" s="95"/>
      <c r="I6" s="93"/>
      <c r="J6" s="94"/>
      <c r="K6" s="94"/>
      <c r="L6" s="94"/>
      <c r="M6" s="94"/>
      <c r="N6" s="95"/>
    </row>
    <row r="7" spans="2:14">
      <c r="B7" s="73" t="s">
        <v>349</v>
      </c>
      <c r="C7" s="74">
        <f>C8</f>
        <v>-7753.8461538461543</v>
      </c>
      <c r="D7" s="74">
        <f t="shared" ref="D7:G7" si="0">D8</f>
        <v>-31015.384615384617</v>
      </c>
      <c r="E7" s="74">
        <f t="shared" si="0"/>
        <v>-2584.6153846153848</v>
      </c>
      <c r="F7" s="74">
        <f t="shared" si="0"/>
        <v>0</v>
      </c>
      <c r="G7" s="75">
        <f t="shared" si="0"/>
        <v>0</v>
      </c>
      <c r="I7" s="73" t="s">
        <v>349</v>
      </c>
      <c r="J7" s="74">
        <f>J8</f>
        <v>-8423.0769230769238</v>
      </c>
      <c r="K7" s="74">
        <f t="shared" ref="K7:L7" si="1">K8</f>
        <v>-33692.307692307695</v>
      </c>
      <c r="L7" s="74">
        <f t="shared" si="1"/>
        <v>2807.6923076923076</v>
      </c>
      <c r="M7" s="74"/>
      <c r="N7" s="75"/>
    </row>
    <row r="8" spans="2:14">
      <c r="B8" s="76" t="s">
        <v>350</v>
      </c>
      <c r="C8" s="77">
        <f>'Scénario 1'!C10</f>
        <v>-7753.8461538461543</v>
      </c>
      <c r="D8" s="77">
        <f>'Scénario 1'!D10</f>
        <v>-31015.384615384617</v>
      </c>
      <c r="E8" s="77">
        <f>-(Données!F14)/Données!F10</f>
        <v>-2584.6153846153848</v>
      </c>
      <c r="F8" s="77">
        <f>'Scénario 1'!F10</f>
        <v>0</v>
      </c>
      <c r="G8" s="78">
        <f>'Scénario 1'!G10</f>
        <v>0</v>
      </c>
      <c r="I8" s="76" t="s">
        <v>350</v>
      </c>
      <c r="J8" s="77">
        <f>'Scénario 1'!C34</f>
        <v>-8423.0769230769238</v>
      </c>
      <c r="K8" s="77">
        <f>'Scénario 1'!D34</f>
        <v>-33692.307692307695</v>
      </c>
      <c r="L8" s="77">
        <f>Données!F15/Données!F10</f>
        <v>2807.6923076923076</v>
      </c>
      <c r="M8" s="77">
        <f>'Scénario 1'!F34</f>
        <v>0</v>
      </c>
      <c r="N8" s="78">
        <f>'Scénario 1'!G34</f>
        <v>0</v>
      </c>
    </row>
    <row r="9" spans="2:14" ht="3.75" customHeight="1">
      <c r="B9" s="76"/>
      <c r="C9" s="77"/>
      <c r="D9" s="77"/>
      <c r="E9" s="77"/>
      <c r="F9" s="77"/>
      <c r="G9" s="78"/>
      <c r="I9" s="76"/>
      <c r="J9" s="77"/>
      <c r="K9" s="77"/>
      <c r="L9" s="77"/>
      <c r="M9" s="77"/>
      <c r="N9" s="78"/>
    </row>
    <row r="10" spans="2:14">
      <c r="B10" s="73" t="s">
        <v>352</v>
      </c>
      <c r="C10" s="74">
        <f>SUM(C11:C13)</f>
        <v>0</v>
      </c>
      <c r="D10" s="74">
        <f t="shared" ref="D10:G10" si="2">SUM(D11:D13)</f>
        <v>0</v>
      </c>
      <c r="E10" s="74">
        <f t="shared" si="2"/>
        <v>0</v>
      </c>
      <c r="F10" s="74">
        <f t="shared" si="2"/>
        <v>0</v>
      </c>
      <c r="G10" s="75">
        <f t="shared" si="2"/>
        <v>0</v>
      </c>
      <c r="I10" s="73" t="s">
        <v>352</v>
      </c>
      <c r="J10" s="74">
        <f>SUM(J11:J13)</f>
        <v>0</v>
      </c>
      <c r="K10" s="74">
        <f t="shared" ref="K10:N10" si="3">SUM(K11:K13)</f>
        <v>0</v>
      </c>
      <c r="L10" s="74">
        <f t="shared" si="3"/>
        <v>0</v>
      </c>
      <c r="M10" s="74">
        <f t="shared" si="3"/>
        <v>0</v>
      </c>
      <c r="N10" s="75">
        <f t="shared" si="3"/>
        <v>0</v>
      </c>
    </row>
    <row r="11" spans="2:14">
      <c r="B11" s="76" t="s">
        <v>353</v>
      </c>
      <c r="C11" s="77"/>
      <c r="D11" s="77"/>
      <c r="E11" s="77"/>
      <c r="F11" s="77"/>
      <c r="G11" s="78"/>
      <c r="I11" s="76" t="s">
        <v>353</v>
      </c>
      <c r="J11" s="77"/>
      <c r="K11" s="77"/>
      <c r="L11" s="77"/>
      <c r="M11" s="77"/>
      <c r="N11" s="78"/>
    </row>
    <row r="12" spans="2:14">
      <c r="B12" s="76" t="s">
        <v>354</v>
      </c>
      <c r="C12" s="77"/>
      <c r="D12" s="77"/>
      <c r="E12" s="77"/>
      <c r="F12" s="77"/>
      <c r="G12" s="78"/>
      <c r="I12" s="76" t="s">
        <v>354</v>
      </c>
      <c r="J12" s="77"/>
      <c r="K12" s="77"/>
      <c r="L12" s="77"/>
      <c r="M12" s="77"/>
      <c r="N12" s="78"/>
    </row>
    <row r="13" spans="2:14">
      <c r="B13" s="76" t="s">
        <v>355</v>
      </c>
      <c r="C13" s="77"/>
      <c r="D13" s="77"/>
      <c r="E13" s="77"/>
      <c r="F13" s="77"/>
      <c r="G13" s="78"/>
      <c r="I13" s="76" t="s">
        <v>355</v>
      </c>
      <c r="J13" s="77"/>
      <c r="K13" s="77"/>
      <c r="L13" s="77"/>
      <c r="M13" s="77"/>
      <c r="N13" s="78"/>
    </row>
    <row r="14" spans="2:14" ht="3.75" customHeight="1">
      <c r="B14" s="76"/>
      <c r="C14" s="77"/>
      <c r="D14" s="77"/>
      <c r="E14" s="77"/>
      <c r="F14" s="77"/>
      <c r="G14" s="78"/>
      <c r="I14" s="76"/>
      <c r="J14" s="77"/>
      <c r="K14" s="77"/>
      <c r="L14" s="77"/>
      <c r="M14" s="77"/>
      <c r="N14" s="78"/>
    </row>
    <row r="15" spans="2:14">
      <c r="B15" s="73" t="s">
        <v>356</v>
      </c>
      <c r="C15" s="74">
        <f>C7+C10</f>
        <v>-7753.8461538461543</v>
      </c>
      <c r="D15" s="74">
        <f t="shared" ref="D15:G15" si="4">D7+D10</f>
        <v>-31015.384615384617</v>
      </c>
      <c r="E15" s="74">
        <f t="shared" si="4"/>
        <v>-2584.6153846153848</v>
      </c>
      <c r="F15" s="74">
        <f t="shared" si="4"/>
        <v>0</v>
      </c>
      <c r="G15" s="75">
        <f t="shared" si="4"/>
        <v>0</v>
      </c>
      <c r="I15" s="73" t="s">
        <v>356</v>
      </c>
      <c r="J15" s="74">
        <f>J7+J10</f>
        <v>-8423.0769230769238</v>
      </c>
      <c r="K15" s="74">
        <f>K7+K10</f>
        <v>-33692.307692307695</v>
      </c>
      <c r="L15" s="74">
        <f>L7+L10</f>
        <v>2807.6923076923076</v>
      </c>
      <c r="M15" s="74">
        <f>M7+M10</f>
        <v>0</v>
      </c>
      <c r="N15" s="75">
        <f>N7+N10</f>
        <v>0</v>
      </c>
    </row>
    <row r="16" spans="2:14" s="33" customFormat="1">
      <c r="B16" s="79" t="s">
        <v>357</v>
      </c>
      <c r="C16" s="96">
        <f>-C15*Données!$C$10</f>
        <v>3101.5384615384619</v>
      </c>
      <c r="D16" s="96">
        <f>-D15*Données!$C$10</f>
        <v>12406.153846153848</v>
      </c>
      <c r="E16" s="96">
        <f>-E15*Données!$C$10</f>
        <v>1033.846153846154</v>
      </c>
      <c r="F16" s="96">
        <f>-F15*Données!$C$10</f>
        <v>0</v>
      </c>
      <c r="G16" s="97">
        <f>-G15*Données!$C$10</f>
        <v>0</v>
      </c>
      <c r="I16" s="79" t="s">
        <v>357</v>
      </c>
      <c r="J16" s="96">
        <f>-J15*Données!$C$10</f>
        <v>3369.2307692307695</v>
      </c>
      <c r="K16" s="96">
        <f>-K15*Données!$C$10</f>
        <v>13476.923076923078</v>
      </c>
      <c r="L16" s="96">
        <f>-L15*Données!$C$10</f>
        <v>-1123.0769230769231</v>
      </c>
      <c r="M16" s="96">
        <f>M15*Données!$C$10</f>
        <v>0</v>
      </c>
      <c r="N16" s="97">
        <f>N15*Données!$C$10</f>
        <v>0</v>
      </c>
    </row>
    <row r="17" spans="2:14" s="33" customFormat="1" ht="3.75" customHeight="1">
      <c r="B17" s="79"/>
      <c r="C17" s="96"/>
      <c r="D17" s="96"/>
      <c r="E17" s="96"/>
      <c r="F17" s="96"/>
      <c r="G17" s="97"/>
      <c r="I17" s="79"/>
      <c r="J17" s="96"/>
      <c r="K17" s="96"/>
      <c r="L17" s="96"/>
      <c r="M17" s="96"/>
      <c r="N17" s="97"/>
    </row>
    <row r="18" spans="2:14">
      <c r="B18" s="73" t="s">
        <v>358</v>
      </c>
      <c r="C18" s="74">
        <f>C15+C16</f>
        <v>-4652.3076923076924</v>
      </c>
      <c r="D18" s="74">
        <f t="shared" ref="D18:G18" si="5">D15+D16</f>
        <v>-18609.23076923077</v>
      </c>
      <c r="E18" s="74">
        <f t="shared" si="5"/>
        <v>-1550.7692307692307</v>
      </c>
      <c r="F18" s="74">
        <f t="shared" si="5"/>
        <v>0</v>
      </c>
      <c r="G18" s="75">
        <f t="shared" si="5"/>
        <v>0</v>
      </c>
      <c r="I18" s="73" t="s">
        <v>358</v>
      </c>
      <c r="J18" s="74">
        <f>J15+J16</f>
        <v>-5053.8461538461543</v>
      </c>
      <c r="K18" s="74">
        <f t="shared" ref="K18:N18" si="6">K15+K16</f>
        <v>-20215.384615384617</v>
      </c>
      <c r="L18" s="74">
        <f t="shared" si="6"/>
        <v>1684.6153846153845</v>
      </c>
      <c r="M18" s="74">
        <f t="shared" si="6"/>
        <v>0</v>
      </c>
      <c r="N18" s="75">
        <f t="shared" si="6"/>
        <v>0</v>
      </c>
    </row>
    <row r="19" spans="2:14" s="33" customFormat="1">
      <c r="B19" s="79" t="s">
        <v>359</v>
      </c>
      <c r="C19" s="80">
        <f>C10</f>
        <v>0</v>
      </c>
      <c r="D19" s="80">
        <f t="shared" ref="D19:G19" si="7">D10</f>
        <v>0</v>
      </c>
      <c r="E19" s="80">
        <f t="shared" si="7"/>
        <v>0</v>
      </c>
      <c r="F19" s="80">
        <f t="shared" si="7"/>
        <v>0</v>
      </c>
      <c r="G19" s="81">
        <f t="shared" si="7"/>
        <v>0</v>
      </c>
      <c r="I19" s="79" t="s">
        <v>359</v>
      </c>
      <c r="J19" s="80">
        <f>J10</f>
        <v>0</v>
      </c>
      <c r="K19" s="80">
        <f t="shared" ref="K19:N19" si="8">K10</f>
        <v>0</v>
      </c>
      <c r="L19" s="80">
        <f t="shared" si="8"/>
        <v>0</v>
      </c>
      <c r="M19" s="80">
        <f t="shared" si="8"/>
        <v>0</v>
      </c>
      <c r="N19" s="81">
        <f t="shared" si="8"/>
        <v>0</v>
      </c>
    </row>
    <row r="20" spans="2:14" s="33" customFormat="1" ht="3.75" customHeight="1" thickBot="1">
      <c r="B20" s="79"/>
      <c r="C20" s="80"/>
      <c r="D20" s="80"/>
      <c r="E20" s="80"/>
      <c r="F20" s="80"/>
      <c r="G20" s="81"/>
      <c r="I20" s="79"/>
      <c r="J20" s="80"/>
      <c r="K20" s="80"/>
      <c r="L20" s="80"/>
      <c r="M20" s="80"/>
      <c r="N20" s="81"/>
    </row>
    <row r="21" spans="2:14">
      <c r="B21" s="51" t="s">
        <v>370</v>
      </c>
      <c r="C21" s="52">
        <f>C18+C19</f>
        <v>-4652.3076923076924</v>
      </c>
      <c r="D21" s="52">
        <f t="shared" ref="D21:G21" si="9">D18+D19</f>
        <v>-18609.23076923077</v>
      </c>
      <c r="E21" s="52">
        <f t="shared" si="9"/>
        <v>-1550.7692307692307</v>
      </c>
      <c r="F21" s="52">
        <f t="shared" si="9"/>
        <v>0</v>
      </c>
      <c r="G21" s="53">
        <f t="shared" si="9"/>
        <v>0</v>
      </c>
      <c r="I21" s="51" t="s">
        <v>370</v>
      </c>
      <c r="J21" s="52">
        <f>J18+J19</f>
        <v>-5053.8461538461543</v>
      </c>
      <c r="K21" s="52">
        <f t="shared" ref="K21:N21" si="10">K18+K19</f>
        <v>-20215.384615384617</v>
      </c>
      <c r="L21" s="52">
        <f t="shared" si="10"/>
        <v>1684.6153846153845</v>
      </c>
      <c r="M21" s="52">
        <f t="shared" si="10"/>
        <v>0</v>
      </c>
      <c r="N21" s="53">
        <f t="shared" si="10"/>
        <v>0</v>
      </c>
    </row>
    <row r="22" spans="2:14" ht="1.5" customHeight="1">
      <c r="B22" s="63"/>
      <c r="C22" s="64"/>
      <c r="D22" s="64"/>
      <c r="E22" s="64"/>
      <c r="F22" s="64"/>
      <c r="G22" s="65"/>
      <c r="I22" s="63"/>
      <c r="J22" s="64"/>
      <c r="K22" s="64"/>
      <c r="L22" s="64"/>
      <c r="M22" s="64"/>
      <c r="N22" s="65"/>
    </row>
    <row r="23" spans="2:14" ht="15" thickBot="1">
      <c r="B23" s="66" t="s">
        <v>367</v>
      </c>
      <c r="C23" s="67">
        <f>C21/(1+'Cours en bourse'!$L$18)^(C5-$C$5)</f>
        <v>-4652.3076923076924</v>
      </c>
      <c r="D23" s="67">
        <f>D21/(1+'Cours en bourse'!$L$18)^(D5-$C$5)</f>
        <v>-16728.024760770848</v>
      </c>
      <c r="E23" s="67">
        <f>E21/(1+'Cours en bourse'!$L$18)^(E5-$C$5)</f>
        <v>-1253.0824794561952</v>
      </c>
      <c r="F23" s="67">
        <f>F21/(1+'Cours en bourse'!$L$18)^(F5-$C$5)</f>
        <v>0</v>
      </c>
      <c r="G23" s="68">
        <f>G21/(1+'Cours en bourse'!$L$18)^(G5-$C$5)</f>
        <v>0</v>
      </c>
      <c r="I23" s="66" t="s">
        <v>371</v>
      </c>
      <c r="J23" s="67">
        <f>J21/(1+'Cours en bourse'!$L$18)^(J5-$J$5)</f>
        <v>-5053.8461538461543</v>
      </c>
      <c r="K23" s="67">
        <f>K21/(1+'Cours en bourse'!$L$18)^(K5-$J$5)</f>
        <v>-18171.812612146903</v>
      </c>
      <c r="L23" s="67">
        <f>L21/(1+'Cours en bourse'!$L$18)^(L5-$J$5)</f>
        <v>1361.2354315521168</v>
      </c>
      <c r="M23" s="67">
        <f>M21/(1+'Cours en bourse'!$L$18)^(M5-$J$5)</f>
        <v>0</v>
      </c>
      <c r="N23" s="68">
        <f>N21/(1+'Cours en bourse'!$L$18)^(N5-$J$5)</f>
        <v>0</v>
      </c>
    </row>
    <row r="24" spans="2:14" s="33" customFormat="1" ht="15" thickBot="1">
      <c r="D24" s="48"/>
      <c r="E24" s="48"/>
      <c r="F24" s="48"/>
      <c r="G24" s="48"/>
      <c r="I24"/>
      <c r="J24"/>
      <c r="K24" s="49"/>
      <c r="L24" s="49"/>
      <c r="M24" s="49"/>
      <c r="N24" s="49"/>
    </row>
    <row r="25" spans="2:14" ht="15" thickBot="1">
      <c r="B25" s="262" t="s">
        <v>360</v>
      </c>
      <c r="C25" s="263">
        <f>SUM(C23:G23)</f>
        <v>-22633.414932534735</v>
      </c>
      <c r="D25" s="31"/>
      <c r="E25" s="31"/>
      <c r="F25" s="31"/>
      <c r="G25" s="31"/>
      <c r="I25" s="262" t="s">
        <v>360</v>
      </c>
      <c r="J25" s="263">
        <f>SUM(J23:L23)</f>
        <v>-21864.423334440944</v>
      </c>
      <c r="K25" s="32"/>
      <c r="L25" s="32"/>
      <c r="M25" s="32"/>
      <c r="N25" s="32"/>
    </row>
    <row r="26" spans="2:14">
      <c r="B26" s="37"/>
      <c r="C26" s="38"/>
      <c r="D26" s="38"/>
      <c r="E26" s="38"/>
      <c r="F26" s="38"/>
      <c r="G26" s="38"/>
      <c r="H26" s="32"/>
      <c r="I26" s="11"/>
    </row>
    <row r="27" spans="2:14" ht="15.75" customHeight="1">
      <c r="C27" s="32"/>
      <c r="D27" s="32"/>
      <c r="E27" s="32"/>
      <c r="F27" s="32"/>
      <c r="G27" s="32"/>
      <c r="H27" s="32"/>
      <c r="I27" s="11"/>
    </row>
    <row r="28" spans="2:14">
      <c r="H28" s="32"/>
      <c r="I28" s="11"/>
    </row>
    <row r="29" spans="2:14" s="10" customFormat="1" ht="3.75" customHeight="1">
      <c r="H29" s="40"/>
      <c r="I29" s="41"/>
    </row>
    <row r="30" spans="2:14">
      <c r="H30" s="32"/>
      <c r="I30" s="11"/>
    </row>
    <row r="31" spans="2:14">
      <c r="H31" s="32"/>
      <c r="I31" s="11"/>
    </row>
    <row r="32" spans="2:14" ht="3.75" customHeight="1">
      <c r="H32" s="32"/>
      <c r="I32" s="11"/>
    </row>
    <row r="33" spans="8:9">
      <c r="H33" s="32"/>
      <c r="I33" s="11"/>
    </row>
    <row r="34" spans="8:9">
      <c r="H34" s="32"/>
      <c r="I34" s="11"/>
    </row>
    <row r="35" spans="8:9">
      <c r="H35" s="32"/>
      <c r="I35" s="11"/>
    </row>
    <row r="36" spans="8:9">
      <c r="H36" s="32"/>
      <c r="I36" s="11"/>
    </row>
    <row r="37" spans="8:9" ht="3.75" customHeight="1">
      <c r="H37" s="32"/>
      <c r="I37" s="11"/>
    </row>
    <row r="38" spans="8:9">
      <c r="H38" s="32"/>
      <c r="I38" s="11"/>
    </row>
    <row r="39" spans="8:9">
      <c r="H39" s="32"/>
      <c r="I39" s="11"/>
    </row>
    <row r="40" spans="8:9" ht="3.75" customHeight="1">
      <c r="H40" s="32"/>
      <c r="I40" s="11"/>
    </row>
    <row r="41" spans="8:9">
      <c r="H41" s="32"/>
      <c r="I41" s="11"/>
    </row>
    <row r="42" spans="8:9" s="33" customFormat="1">
      <c r="H42" s="34"/>
      <c r="I42" s="35"/>
    </row>
    <row r="43" spans="8:9" s="33" customFormat="1" ht="3.75" customHeight="1">
      <c r="H43" s="34"/>
      <c r="I43" s="35"/>
    </row>
    <row r="44" spans="8:9">
      <c r="H44" s="32"/>
      <c r="I44" s="11"/>
    </row>
    <row r="45" spans="8:9" ht="1.5" customHeight="1">
      <c r="H45" s="32"/>
      <c r="I45" s="11"/>
    </row>
    <row r="46" spans="8:9">
      <c r="H46" s="32"/>
      <c r="I46" s="11"/>
    </row>
    <row r="47" spans="8:9">
      <c r="H47" s="32"/>
      <c r="I47" s="11"/>
    </row>
    <row r="48" spans="8:9">
      <c r="H48" s="32"/>
    </row>
  </sheetData>
  <mergeCells count="1">
    <mergeCell ref="D2:I2"/>
  </mergeCells>
  <pageMargins left="0.7" right="0.7" top="0.75" bottom="0.75" header="0.3" footer="0.3"/>
  <ignoredErrors>
    <ignoredError sqref="C5:G5 I5:N5" numberStoredAsText="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5:Q22"/>
  <sheetViews>
    <sheetView showGridLines="0" topLeftCell="A5" workbookViewId="0">
      <selection activeCell="F12" sqref="F12"/>
    </sheetView>
  </sheetViews>
  <sheetFormatPr baseColWidth="10" defaultColWidth="9.1796875" defaultRowHeight="14.5"/>
  <cols>
    <col min="2" max="2" width="22.7265625" customWidth="1"/>
    <col min="3" max="3" width="18.81640625" customWidth="1"/>
    <col min="4" max="5" width="14.1796875" customWidth="1"/>
    <col min="6" max="6" width="17" bestFit="1" customWidth="1"/>
    <col min="7" max="7" width="11.26953125" customWidth="1"/>
    <col min="8" max="8" width="9.7265625" bestFit="1" customWidth="1"/>
    <col min="13" max="13" width="13.26953125" customWidth="1"/>
    <col min="14" max="16" width="11.81640625" customWidth="1"/>
  </cols>
  <sheetData>
    <row r="5" spans="2:7" ht="10.5" customHeight="1"/>
    <row r="6" spans="2:7" ht="22.5" customHeight="1">
      <c r="B6" s="928"/>
      <c r="C6" s="928"/>
      <c r="D6" s="121" t="s">
        <v>7</v>
      </c>
      <c r="E6" s="121" t="s">
        <v>8</v>
      </c>
      <c r="F6" s="121" t="s">
        <v>9</v>
      </c>
      <c r="G6" s="115"/>
    </row>
    <row r="7" spans="2:7" ht="19.5" customHeight="1">
      <c r="B7" s="933" t="s">
        <v>384</v>
      </c>
      <c r="C7" s="142" t="s">
        <v>1</v>
      </c>
      <c r="D7" s="122">
        <v>0.42</v>
      </c>
      <c r="E7" s="123">
        <v>0.12</v>
      </c>
      <c r="F7" s="123">
        <v>0.46</v>
      </c>
      <c r="G7" s="115"/>
    </row>
    <row r="8" spans="2:7" ht="19.5" customHeight="1">
      <c r="B8" s="934"/>
      <c r="C8" s="148" t="s">
        <v>13</v>
      </c>
      <c r="D8" s="124">
        <v>0.38</v>
      </c>
      <c r="E8" s="125">
        <v>0.19</v>
      </c>
      <c r="F8" s="125">
        <v>0.43</v>
      </c>
      <c r="G8" s="115"/>
    </row>
    <row r="9" spans="2:7" ht="19.5" customHeight="1">
      <c r="B9" s="929" t="s">
        <v>360</v>
      </c>
      <c r="C9" s="149" t="s">
        <v>1</v>
      </c>
      <c r="D9" s="126">
        <f>'Scénario 1'!C27</f>
        <v>-90276.297039525976</v>
      </c>
      <c r="E9" s="128">
        <f>'Scénario 2'!C28</f>
        <v>-86618.750547212971</v>
      </c>
      <c r="F9" s="128">
        <f>'Scénario 3'!C25</f>
        <v>-22633.414932534735</v>
      </c>
      <c r="G9" s="129"/>
    </row>
    <row r="10" spans="2:7" ht="19.5" customHeight="1">
      <c r="B10" s="930"/>
      <c r="C10" s="150" t="s">
        <v>13</v>
      </c>
      <c r="D10" s="127">
        <f>'Scénario 1'!C51</f>
        <v>-143241.18651713978</v>
      </c>
      <c r="E10" s="130">
        <f>'Scénario 2'!K28</f>
        <v>-89934.64395522284</v>
      </c>
      <c r="F10" s="130">
        <f>'Scénario 3'!J25</f>
        <v>-21864.423334440944</v>
      </c>
      <c r="G10" s="131" t="s">
        <v>385</v>
      </c>
    </row>
    <row r="11" spans="2:7" ht="19.5" customHeight="1">
      <c r="B11" s="931" t="s">
        <v>386</v>
      </c>
      <c r="C11" s="149" t="s">
        <v>1</v>
      </c>
      <c r="D11" s="126">
        <f>D7*D9</f>
        <v>-37916.04475660091</v>
      </c>
      <c r="E11" s="128">
        <f t="shared" ref="D11:F12" si="0">E7*E9</f>
        <v>-10394.250065665556</v>
      </c>
      <c r="F11" s="128">
        <f t="shared" si="0"/>
        <v>-10411.370868965978</v>
      </c>
      <c r="G11" s="128">
        <f>SUM(D11:F11)</f>
        <v>-58721.66569123244</v>
      </c>
    </row>
    <row r="12" spans="2:7" ht="19.5" customHeight="1">
      <c r="B12" s="932"/>
      <c r="C12" s="150" t="s">
        <v>13</v>
      </c>
      <c r="D12" s="127">
        <f t="shared" si="0"/>
        <v>-54431.650876513115</v>
      </c>
      <c r="E12" s="130">
        <f t="shared" si="0"/>
        <v>-17087.58235149234</v>
      </c>
      <c r="F12" s="130">
        <f t="shared" si="0"/>
        <v>-9401.7020338096063</v>
      </c>
      <c r="G12" s="130">
        <f>SUM(D12:F12)</f>
        <v>-80920.935261815059</v>
      </c>
    </row>
    <row r="18" spans="2:17" ht="15.5">
      <c r="M18" s="132" t="s">
        <v>392</v>
      </c>
      <c r="N18" s="10"/>
      <c r="O18" s="10"/>
      <c r="P18" s="10"/>
      <c r="Q18" s="6"/>
    </row>
    <row r="19" spans="2:17" ht="22.5" customHeight="1">
      <c r="B19" s="926" t="s">
        <v>387</v>
      </c>
      <c r="C19" s="927"/>
      <c r="D19" s="927"/>
      <c r="E19" s="935"/>
      <c r="F19" s="926" t="s">
        <v>388</v>
      </c>
      <c r="G19" s="927"/>
      <c r="H19" s="927"/>
      <c r="M19" s="138"/>
      <c r="N19" s="139" t="s">
        <v>7</v>
      </c>
      <c r="O19" s="140" t="s">
        <v>8</v>
      </c>
      <c r="P19" s="140" t="s">
        <v>9</v>
      </c>
      <c r="Q19" s="137"/>
    </row>
    <row r="20" spans="2:17" ht="19.5" customHeight="1">
      <c r="B20" s="120"/>
      <c r="C20" s="145" t="s">
        <v>7</v>
      </c>
      <c r="D20" s="146" t="s">
        <v>8</v>
      </c>
      <c r="E20" s="146" t="s">
        <v>9</v>
      </c>
      <c r="F20" s="142" t="s">
        <v>389</v>
      </c>
      <c r="G20" s="143" t="s">
        <v>390</v>
      </c>
      <c r="H20" s="144" t="s">
        <v>391</v>
      </c>
      <c r="M20" s="141" t="s">
        <v>1</v>
      </c>
      <c r="N20" s="134">
        <f>$C$21-C21</f>
        <v>0</v>
      </c>
      <c r="O20" s="134">
        <f t="shared" ref="O20:P20" si="1">$C$21-D21</f>
        <v>-3657.5464923130057</v>
      </c>
      <c r="P20" s="134">
        <f t="shared" si="1"/>
        <v>-67642.882106991237</v>
      </c>
    </row>
    <row r="21" spans="2:17" ht="21" customHeight="1">
      <c r="B21" s="142" t="s">
        <v>1</v>
      </c>
      <c r="C21" s="133">
        <f t="shared" ref="C21:E22" si="2">D9</f>
        <v>-90276.297039525976</v>
      </c>
      <c r="D21" s="134">
        <f t="shared" si="2"/>
        <v>-86618.750547212971</v>
      </c>
      <c r="E21" s="134">
        <f t="shared" si="2"/>
        <v>-22633.414932534735</v>
      </c>
      <c r="F21" s="133">
        <f>SUM(C21:E21)/3</f>
        <v>-66509.487506424557</v>
      </c>
      <c r="G21" s="134">
        <f>C21</f>
        <v>-90276.297039525976</v>
      </c>
      <c r="H21" s="134">
        <f>E21</f>
        <v>-22633.414932534735</v>
      </c>
      <c r="M21" s="147" t="s">
        <v>13</v>
      </c>
      <c r="N21" s="136">
        <f>D22-C22</f>
        <v>53306.54256191694</v>
      </c>
      <c r="O21" s="135">
        <f>$D$22-D22</f>
        <v>0</v>
      </c>
      <c r="P21" s="135">
        <f>$D$22-E22</f>
        <v>-68070.220620781896</v>
      </c>
    </row>
    <row r="22" spans="2:17" ht="21" customHeight="1">
      <c r="B22" s="148" t="s">
        <v>13</v>
      </c>
      <c r="C22" s="135">
        <f t="shared" si="2"/>
        <v>-143241.18651713978</v>
      </c>
      <c r="D22" s="136">
        <f t="shared" si="2"/>
        <v>-89934.64395522284</v>
      </c>
      <c r="E22" s="136">
        <f t="shared" si="2"/>
        <v>-21864.423334440944</v>
      </c>
      <c r="F22" s="135">
        <f>SUM(C22:E22)/3</f>
        <v>-85013.417935601188</v>
      </c>
      <c r="G22" s="136">
        <f>C22</f>
        <v>-143241.18651713978</v>
      </c>
      <c r="H22" s="136">
        <f>E22</f>
        <v>-21864.423334440944</v>
      </c>
    </row>
  </sheetData>
  <mergeCells count="6">
    <mergeCell ref="F19:H19"/>
    <mergeCell ref="B6:C6"/>
    <mergeCell ref="B9:B10"/>
    <mergeCell ref="B11:B12"/>
    <mergeCell ref="B7:B8"/>
    <mergeCell ref="B19:E19"/>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showGridLines="0" topLeftCell="C2" zoomScale="90" zoomScaleNormal="90" zoomScalePageLayoutView="90" workbookViewId="0">
      <selection activeCell="L41" sqref="L41"/>
    </sheetView>
  </sheetViews>
  <sheetFormatPr baseColWidth="10" defaultColWidth="9.1796875" defaultRowHeight="14.5"/>
  <sheetData/>
  <pageMargins left="0.7" right="0.7" top="0.75" bottom="0.75" header="0.3" footer="0.3"/>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59999389629810485"/>
  </sheetPr>
  <dimension ref="A1:Y875"/>
  <sheetViews>
    <sheetView showGridLines="0" topLeftCell="I1" zoomScale="70" zoomScaleNormal="70" zoomScalePageLayoutView="70" workbookViewId="0">
      <pane ySplit="1" topLeftCell="A770" activePane="bottomLeft" state="frozen"/>
      <selection pane="bottomLeft" activeCell="V24" sqref="V24"/>
    </sheetView>
  </sheetViews>
  <sheetFormatPr baseColWidth="10" defaultColWidth="9.1796875" defaultRowHeight="14.5"/>
  <cols>
    <col min="1" max="1" width="30" customWidth="1"/>
    <col min="2" max="2" width="13.7265625" bestFit="1" customWidth="1"/>
    <col min="3" max="3" width="17.26953125" bestFit="1" customWidth="1"/>
    <col min="4" max="4" width="10.453125" bestFit="1" customWidth="1"/>
    <col min="5" max="5" width="9.453125" bestFit="1" customWidth="1"/>
    <col min="6" max="6" width="21" customWidth="1"/>
    <col min="7" max="7" width="19.26953125" customWidth="1"/>
    <col min="10" max="10" width="27.7265625" customWidth="1"/>
    <col min="11" max="11" width="13.26953125" bestFit="1" customWidth="1"/>
    <col min="12" max="12" width="13.81640625" bestFit="1" customWidth="1"/>
    <col min="13" max="13" width="11.26953125" customWidth="1"/>
    <col min="14" max="14" width="11" bestFit="1" customWidth="1"/>
    <col min="15" max="15" width="13.26953125" bestFit="1" customWidth="1"/>
    <col min="16" max="17" width="13.81640625" bestFit="1" customWidth="1"/>
    <col min="18" max="18" width="13.1796875" bestFit="1" customWidth="1"/>
    <col min="19" max="22" width="11" bestFit="1" customWidth="1"/>
    <col min="23" max="23" width="13.1796875" customWidth="1"/>
    <col min="25" max="25" width="12" customWidth="1"/>
  </cols>
  <sheetData>
    <row r="1" spans="1:25" ht="70.5" customHeight="1">
      <c r="A1" s="936" t="s">
        <v>442</v>
      </c>
      <c r="B1" s="936"/>
      <c r="C1" s="936"/>
      <c r="D1" s="936"/>
      <c r="E1" s="936"/>
      <c r="F1" s="936"/>
      <c r="G1" s="936"/>
      <c r="H1" s="936"/>
      <c r="I1" s="936"/>
      <c r="J1" s="936"/>
      <c r="K1" s="936"/>
      <c r="L1" s="936"/>
      <c r="M1" s="936"/>
      <c r="N1" s="936"/>
      <c r="O1" s="936"/>
      <c r="P1" s="936"/>
      <c r="Q1" s="936"/>
      <c r="R1" s="936"/>
      <c r="S1" s="936"/>
      <c r="T1" s="936"/>
      <c r="U1" s="936"/>
      <c r="V1" s="936"/>
      <c r="W1" s="936"/>
      <c r="X1" s="936"/>
      <c r="Y1" s="936"/>
    </row>
    <row r="2" spans="1:25" ht="15" customHeight="1">
      <c r="H2" s="322"/>
      <c r="I2" s="322"/>
      <c r="J2" s="322"/>
      <c r="K2" s="322"/>
      <c r="L2" s="322"/>
    </row>
    <row r="3" spans="1:25" ht="15" customHeight="1">
      <c r="H3" s="322"/>
      <c r="I3" s="322"/>
      <c r="J3" s="322"/>
      <c r="K3" s="322"/>
      <c r="L3" s="322"/>
    </row>
    <row r="4" spans="1:25" ht="15" customHeight="1">
      <c r="H4" s="322"/>
      <c r="I4" s="322"/>
      <c r="J4" s="322"/>
      <c r="K4" s="322"/>
      <c r="L4" s="322"/>
    </row>
    <row r="5" spans="1:25" ht="15.75" customHeight="1"/>
    <row r="9" spans="1:25">
      <c r="J9">
        <v>1111111</v>
      </c>
    </row>
    <row r="11" spans="1:25" ht="24.75" customHeight="1">
      <c r="A11" s="10"/>
      <c r="B11" s="296" t="s">
        <v>393</v>
      </c>
      <c r="C11" s="297" t="s">
        <v>384</v>
      </c>
      <c r="D11" s="298" t="s">
        <v>394</v>
      </c>
      <c r="E11" s="287"/>
      <c r="F11" s="942" t="s">
        <v>395</v>
      </c>
      <c r="G11" s="943"/>
      <c r="J11" s="276" t="s">
        <v>407</v>
      </c>
      <c r="K11" s="276">
        <v>2013</v>
      </c>
      <c r="L11" s="276">
        <v>2014</v>
      </c>
      <c r="M11" s="276">
        <v>2015</v>
      </c>
      <c r="N11" s="276">
        <v>2016</v>
      </c>
      <c r="O11" s="276">
        <v>2017</v>
      </c>
      <c r="P11" s="276">
        <v>2018</v>
      </c>
      <c r="Q11" s="276">
        <v>2019</v>
      </c>
      <c r="R11" s="276">
        <v>2020</v>
      </c>
      <c r="S11" s="276">
        <v>2021</v>
      </c>
      <c r="T11" s="276">
        <v>2022</v>
      </c>
      <c r="U11" s="276">
        <v>2023</v>
      </c>
      <c r="V11" s="276">
        <v>2024</v>
      </c>
    </row>
    <row r="12" spans="1:25" ht="15.75" customHeight="1">
      <c r="A12" s="944" t="s">
        <v>33</v>
      </c>
      <c r="B12" s="299">
        <v>1</v>
      </c>
      <c r="C12" s="300">
        <v>0.7</v>
      </c>
      <c r="D12" s="301">
        <v>0.02</v>
      </c>
      <c r="E12" s="937">
        <v>4</v>
      </c>
      <c r="F12" s="315" t="s">
        <v>396</v>
      </c>
      <c r="G12" s="310">
        <f>AVERAGE(G19:G23)</f>
        <v>1.4760000000000001E-2</v>
      </c>
      <c r="J12" s="269" t="s">
        <v>33</v>
      </c>
      <c r="K12" s="277">
        <f>Données!$C$5</f>
        <v>560000</v>
      </c>
      <c r="L12" s="278">
        <f>K12*(1+$D$12)</f>
        <v>571200</v>
      </c>
      <c r="M12" s="278">
        <f>L12*(1+$D$12)</f>
        <v>582624</v>
      </c>
      <c r="N12" s="278">
        <f t="shared" ref="N12:V12" si="0">M12*(1+$D$12)</f>
        <v>594276.48</v>
      </c>
      <c r="O12" s="278">
        <f t="shared" si="0"/>
        <v>606162.00959999999</v>
      </c>
      <c r="P12" s="278">
        <f t="shared" si="0"/>
        <v>618285.24979200005</v>
      </c>
      <c r="Q12" s="278">
        <f t="shared" si="0"/>
        <v>630650.95478784002</v>
      </c>
      <c r="R12" s="278">
        <f t="shared" si="0"/>
        <v>643263.97388359683</v>
      </c>
      <c r="S12" s="278">
        <f t="shared" si="0"/>
        <v>656129.25336126878</v>
      </c>
      <c r="T12" s="278">
        <f t="shared" si="0"/>
        <v>669251.83842849417</v>
      </c>
      <c r="U12" s="278">
        <f t="shared" si="0"/>
        <v>682636.87519706402</v>
      </c>
      <c r="V12" s="278">
        <f t="shared" si="0"/>
        <v>696289.6127010053</v>
      </c>
    </row>
    <row r="13" spans="1:25" ht="15.5">
      <c r="A13" s="945"/>
      <c r="B13" s="299">
        <v>2</v>
      </c>
      <c r="C13" s="300">
        <v>0.3</v>
      </c>
      <c r="D13" s="301">
        <v>0.01</v>
      </c>
      <c r="E13" s="937"/>
      <c r="F13" s="316" t="s">
        <v>406</v>
      </c>
      <c r="G13" s="311">
        <v>0.4</v>
      </c>
      <c r="J13" s="269" t="s">
        <v>408</v>
      </c>
      <c r="K13" s="279"/>
      <c r="L13" s="278">
        <f>L12*$D$14</f>
        <v>571200</v>
      </c>
      <c r="M13" s="278">
        <f t="shared" ref="M13:V13" si="1">M12*$D$14</f>
        <v>582624</v>
      </c>
      <c r="N13" s="278">
        <f t="shared" si="1"/>
        <v>594276.48</v>
      </c>
      <c r="O13" s="278">
        <f t="shared" si="1"/>
        <v>606162.00959999999</v>
      </c>
      <c r="P13" s="278">
        <f t="shared" si="1"/>
        <v>618285.24979200005</v>
      </c>
      <c r="Q13" s="278">
        <f t="shared" si="1"/>
        <v>630650.95478784002</v>
      </c>
      <c r="R13" s="278">
        <f t="shared" si="1"/>
        <v>643263.97388359683</v>
      </c>
      <c r="S13" s="278">
        <f t="shared" si="1"/>
        <v>656129.25336126878</v>
      </c>
      <c r="T13" s="278">
        <f t="shared" si="1"/>
        <v>669251.83842849417</v>
      </c>
      <c r="U13" s="278">
        <f t="shared" si="1"/>
        <v>682636.87519706402</v>
      </c>
      <c r="V13" s="278">
        <f t="shared" si="1"/>
        <v>696289.6127010053</v>
      </c>
    </row>
    <row r="14" spans="1:25" ht="15.5">
      <c r="A14" s="946" t="s">
        <v>397</v>
      </c>
      <c r="B14" s="302">
        <v>1</v>
      </c>
      <c r="C14" s="303">
        <v>0.4</v>
      </c>
      <c r="D14" s="304">
        <v>1</v>
      </c>
      <c r="E14" s="937">
        <v>3</v>
      </c>
      <c r="F14" s="315" t="s">
        <v>398</v>
      </c>
      <c r="G14" s="312">
        <v>0.16666666666666666</v>
      </c>
      <c r="J14" s="269" t="s">
        <v>409</v>
      </c>
      <c r="K14" s="280"/>
      <c r="L14" s="278">
        <f>L13*$D$16</f>
        <v>285600</v>
      </c>
      <c r="M14" s="278">
        <f t="shared" ref="M14:V14" si="2">M13*$D$16</f>
        <v>291312</v>
      </c>
      <c r="N14" s="278">
        <f t="shared" si="2"/>
        <v>297138.24</v>
      </c>
      <c r="O14" s="278">
        <f t="shared" si="2"/>
        <v>303081.0048</v>
      </c>
      <c r="P14" s="278">
        <f t="shared" si="2"/>
        <v>309142.62489600002</v>
      </c>
      <c r="Q14" s="278">
        <f t="shared" si="2"/>
        <v>315325.47739392001</v>
      </c>
      <c r="R14" s="278">
        <f t="shared" si="2"/>
        <v>321631.98694179842</v>
      </c>
      <c r="S14" s="278">
        <f t="shared" si="2"/>
        <v>328064.62668063439</v>
      </c>
      <c r="T14" s="278">
        <f t="shared" si="2"/>
        <v>334625.91921424709</v>
      </c>
      <c r="U14" s="278">
        <f t="shared" si="2"/>
        <v>341318.43759853201</v>
      </c>
      <c r="V14" s="278">
        <f t="shared" si="2"/>
        <v>348144.80635050265</v>
      </c>
    </row>
    <row r="15" spans="1:25" ht="15.5">
      <c r="A15" s="946"/>
      <c r="B15" s="302">
        <v>2</v>
      </c>
      <c r="C15" s="303">
        <v>0.6</v>
      </c>
      <c r="D15" s="304">
        <v>0.5</v>
      </c>
      <c r="E15" s="937"/>
      <c r="F15" s="316" t="s">
        <v>399</v>
      </c>
      <c r="G15" s="313">
        <v>2009</v>
      </c>
      <c r="J15" s="269" t="s">
        <v>410</v>
      </c>
      <c r="K15" s="281"/>
      <c r="L15" s="288">
        <f>1</f>
        <v>1</v>
      </c>
      <c r="M15" s="288">
        <f>L15*(1+$G$12)</f>
        <v>1.0147600000000001</v>
      </c>
      <c r="N15" s="288">
        <f t="shared" ref="N15:V15" si="3">M15*(1+$G$12)</f>
        <v>1.0297378576000003</v>
      </c>
      <c r="O15" s="288">
        <f t="shared" si="3"/>
        <v>1.0449367883781764</v>
      </c>
      <c r="P15" s="288">
        <f t="shared" si="3"/>
        <v>1.0603600553746384</v>
      </c>
      <c r="Q15" s="288">
        <f t="shared" si="3"/>
        <v>1.0760109697919682</v>
      </c>
      <c r="R15" s="288">
        <f t="shared" si="3"/>
        <v>1.0918928917060977</v>
      </c>
      <c r="S15" s="288">
        <f t="shared" si="3"/>
        <v>1.1080092307876799</v>
      </c>
      <c r="T15" s="288">
        <f t="shared" si="3"/>
        <v>1.1243634470341062</v>
      </c>
      <c r="U15" s="288">
        <f t="shared" si="3"/>
        <v>1.1409590515123298</v>
      </c>
      <c r="V15" s="288">
        <f t="shared" si="3"/>
        <v>1.157799607112652</v>
      </c>
    </row>
    <row r="16" spans="1:25" ht="15.5">
      <c r="A16" s="939" t="s">
        <v>400</v>
      </c>
      <c r="B16" s="299">
        <v>1</v>
      </c>
      <c r="C16" s="300">
        <v>0.1</v>
      </c>
      <c r="D16" s="301">
        <v>0.5</v>
      </c>
      <c r="E16" s="937">
        <v>2</v>
      </c>
      <c r="F16" s="317" t="s">
        <v>401</v>
      </c>
      <c r="G16" s="314">
        <f>'Cours en bourse'!L18</f>
        <v>0.11245834671835075</v>
      </c>
      <c r="J16" s="270" t="s">
        <v>411</v>
      </c>
      <c r="K16" s="282"/>
      <c r="L16" s="273">
        <f>L14*L15</f>
        <v>285600</v>
      </c>
      <c r="M16" s="273">
        <f t="shared" ref="M16:V16" si="4">M14*M15</f>
        <v>295611.76512000005</v>
      </c>
      <c r="N16" s="273">
        <f t="shared" si="4"/>
        <v>305974.49466863467</v>
      </c>
      <c r="O16" s="273">
        <f t="shared" si="4"/>
        <v>316700.49177414266</v>
      </c>
      <c r="P16" s="273">
        <f t="shared" si="4"/>
        <v>327802.49085338367</v>
      </c>
      <c r="Q16" s="273">
        <f t="shared" si="4"/>
        <v>339293.6727307472</v>
      </c>
      <c r="R16" s="273">
        <f t="shared" si="4"/>
        <v>351187.68028705812</v>
      </c>
      <c r="S16" s="273">
        <f t="shared" si="4"/>
        <v>363498.63465705706</v>
      </c>
      <c r="T16" s="273">
        <f t="shared" si="4"/>
        <v>376241.15199468721</v>
      </c>
      <c r="U16" s="273">
        <f t="shared" si="4"/>
        <v>389430.36082609138</v>
      </c>
      <c r="V16" s="273">
        <f t="shared" si="4"/>
        <v>403081.92001092224</v>
      </c>
    </row>
    <row r="17" spans="1:23" ht="16" thickBot="1">
      <c r="A17" s="939"/>
      <c r="B17" s="299">
        <v>2</v>
      </c>
      <c r="C17" s="300">
        <v>0.6</v>
      </c>
      <c r="D17" s="301">
        <v>0.33</v>
      </c>
      <c r="E17" s="937"/>
      <c r="F17" s="10"/>
      <c r="G17" s="10"/>
      <c r="J17" s="283" t="s">
        <v>34</v>
      </c>
      <c r="K17" s="274"/>
      <c r="L17" s="289">
        <f>D20</f>
        <v>0.2</v>
      </c>
      <c r="M17" s="289">
        <f>L17*(1+$G$12)</f>
        <v>0.20295200000000002</v>
      </c>
      <c r="N17" s="289">
        <f t="shared" ref="N17:V17" si="5">M17*(1+$G$12)</f>
        <v>0.20594757152000004</v>
      </c>
      <c r="O17" s="289">
        <f t="shared" si="5"/>
        <v>0.20898735767563525</v>
      </c>
      <c r="P17" s="289">
        <f t="shared" si="5"/>
        <v>0.21207201107492765</v>
      </c>
      <c r="Q17" s="289">
        <f t="shared" si="5"/>
        <v>0.2152021939583936</v>
      </c>
      <c r="R17" s="289">
        <f t="shared" si="5"/>
        <v>0.21837857834121951</v>
      </c>
      <c r="S17" s="289">
        <f t="shared" si="5"/>
        <v>0.22160184615753595</v>
      </c>
      <c r="T17" s="289">
        <f t="shared" si="5"/>
        <v>0.2248726894068212</v>
      </c>
      <c r="U17" s="289">
        <f t="shared" si="5"/>
        <v>0.22819181030246591</v>
      </c>
      <c r="V17" s="289">
        <f t="shared" si="5"/>
        <v>0.23155992142253032</v>
      </c>
    </row>
    <row r="18" spans="1:23" ht="16" thickBot="1">
      <c r="A18" s="939"/>
      <c r="B18" s="299">
        <v>3</v>
      </c>
      <c r="C18" s="300">
        <v>0.3</v>
      </c>
      <c r="D18" s="301">
        <v>0.2</v>
      </c>
      <c r="E18" s="937"/>
      <c r="F18" s="940" t="s">
        <v>404</v>
      </c>
      <c r="G18" s="941"/>
      <c r="J18" s="270" t="s">
        <v>412</v>
      </c>
      <c r="K18" s="282"/>
      <c r="L18" s="273">
        <f>L14*L17</f>
        <v>57120</v>
      </c>
      <c r="M18" s="273">
        <f t="shared" ref="M18:V18" si="6">M14*M17</f>
        <v>59122.353024000004</v>
      </c>
      <c r="N18" s="273">
        <f t="shared" si="6"/>
        <v>61194.898933726938</v>
      </c>
      <c r="O18" s="273">
        <f t="shared" si="6"/>
        <v>63340.098354828522</v>
      </c>
      <c r="P18" s="273">
        <f t="shared" si="6"/>
        <v>65560.498170676728</v>
      </c>
      <c r="Q18" s="273">
        <f t="shared" si="6"/>
        <v>67858.734546149426</v>
      </c>
      <c r="R18" s="273">
        <f t="shared" si="6"/>
        <v>70237.53605741162</v>
      </c>
      <c r="S18" s="273">
        <f t="shared" si="6"/>
        <v>72699.726931411409</v>
      </c>
      <c r="T18" s="273">
        <f t="shared" si="6"/>
        <v>75248.230398937434</v>
      </c>
      <c r="U18" s="273">
        <f t="shared" si="6"/>
        <v>77886.072165218269</v>
      </c>
      <c r="V18" s="273">
        <f t="shared" si="6"/>
        <v>80616.384002184423</v>
      </c>
    </row>
    <row r="19" spans="1:23" ht="15.5">
      <c r="A19" s="318" t="s">
        <v>402</v>
      </c>
      <c r="B19" s="302">
        <v>1</v>
      </c>
      <c r="C19" s="303">
        <v>1</v>
      </c>
      <c r="D19" s="305">
        <v>1</v>
      </c>
      <c r="E19" s="320"/>
      <c r="F19" s="265">
        <v>2009</v>
      </c>
      <c r="G19" s="264">
        <v>7.1000000000000004E-3</v>
      </c>
      <c r="J19" s="285" t="s">
        <v>418</v>
      </c>
      <c r="K19" s="274"/>
      <c r="L19" s="274">
        <f>L16*0.03</f>
        <v>8568</v>
      </c>
      <c r="M19" s="274">
        <f t="shared" ref="M19:V19" si="7">M16*0.03</f>
        <v>8868.3529536000005</v>
      </c>
      <c r="N19" s="274">
        <f t="shared" si="7"/>
        <v>9179.2348400590399</v>
      </c>
      <c r="O19" s="274">
        <f t="shared" si="7"/>
        <v>9501.014753224279</v>
      </c>
      <c r="P19" s="274">
        <f t="shared" si="7"/>
        <v>9834.0747256015093</v>
      </c>
      <c r="Q19" s="274">
        <f t="shared" si="7"/>
        <v>10178.810181922416</v>
      </c>
      <c r="R19" s="274">
        <f t="shared" si="7"/>
        <v>10535.630408611743</v>
      </c>
      <c r="S19" s="274">
        <f t="shared" si="7"/>
        <v>10904.959039711712</v>
      </c>
      <c r="T19" s="274">
        <f t="shared" si="7"/>
        <v>11287.234559840615</v>
      </c>
      <c r="U19" s="274">
        <f t="shared" si="7"/>
        <v>11682.910824782741</v>
      </c>
      <c r="V19" s="274">
        <f t="shared" si="7"/>
        <v>12092.457600327667</v>
      </c>
    </row>
    <row r="20" spans="1:23" ht="15.5">
      <c r="A20" s="939" t="s">
        <v>403</v>
      </c>
      <c r="B20" s="299">
        <v>1</v>
      </c>
      <c r="C20" s="300">
        <v>0.6</v>
      </c>
      <c r="D20" s="306">
        <v>0.2</v>
      </c>
      <c r="E20" s="937">
        <v>1</v>
      </c>
      <c r="F20" s="266">
        <v>2008</v>
      </c>
      <c r="G20" s="264">
        <v>2.8199999999999999E-2</v>
      </c>
      <c r="J20" s="285" t="s">
        <v>413</v>
      </c>
      <c r="K20" s="274"/>
      <c r="L20" s="284">
        <v>3000</v>
      </c>
      <c r="M20" s="274">
        <f>L20*(1+$G$12)</f>
        <v>3044.28</v>
      </c>
      <c r="N20" s="274">
        <f t="shared" ref="N20:V20" si="8">M20*(1+$G$12)</f>
        <v>3089.2135728000007</v>
      </c>
      <c r="O20" s="274">
        <f t="shared" si="8"/>
        <v>3134.8103651345291</v>
      </c>
      <c r="P20" s="274">
        <f t="shared" si="8"/>
        <v>3181.0801661239152</v>
      </c>
      <c r="Q20" s="274">
        <f t="shared" si="8"/>
        <v>3228.0329093759046</v>
      </c>
      <c r="R20" s="274">
        <f t="shared" si="8"/>
        <v>3275.6786751182935</v>
      </c>
      <c r="S20" s="274">
        <f t="shared" si="8"/>
        <v>3324.0276923630399</v>
      </c>
      <c r="T20" s="274">
        <f t="shared" si="8"/>
        <v>3373.0903411023187</v>
      </c>
      <c r="U20" s="274">
        <f t="shared" si="8"/>
        <v>3422.8771545369891</v>
      </c>
      <c r="V20" s="274">
        <f t="shared" si="8"/>
        <v>3473.3988213379553</v>
      </c>
    </row>
    <row r="21" spans="1:23" ht="15.5">
      <c r="A21" s="939"/>
      <c r="B21" s="299">
        <v>2</v>
      </c>
      <c r="C21" s="300">
        <v>0.3</v>
      </c>
      <c r="D21" s="306">
        <v>0.15</v>
      </c>
      <c r="E21" s="937"/>
      <c r="F21" s="266">
        <v>2007</v>
      </c>
      <c r="G21" s="264">
        <v>2.7000000000000001E-3</v>
      </c>
      <c r="J21" s="270" t="s">
        <v>35</v>
      </c>
      <c r="K21" s="282"/>
      <c r="L21" s="273">
        <f>L19+L20</f>
        <v>11568</v>
      </c>
      <c r="M21" s="273">
        <f t="shared" ref="M21:V21" si="9">M19+M20</f>
        <v>11912.632953600001</v>
      </c>
      <c r="N21" s="273">
        <f t="shared" si="9"/>
        <v>12268.448412859041</v>
      </c>
      <c r="O21" s="273">
        <f t="shared" si="9"/>
        <v>12635.825118358807</v>
      </c>
      <c r="P21" s="273">
        <f t="shared" si="9"/>
        <v>13015.154891725424</v>
      </c>
      <c r="Q21" s="273">
        <f t="shared" si="9"/>
        <v>13406.84309129832</v>
      </c>
      <c r="R21" s="273">
        <f t="shared" si="9"/>
        <v>13811.309083730037</v>
      </c>
      <c r="S21" s="273">
        <f t="shared" si="9"/>
        <v>14228.986732074751</v>
      </c>
      <c r="T21" s="273">
        <f t="shared" si="9"/>
        <v>14660.324900942935</v>
      </c>
      <c r="U21" s="273">
        <f t="shared" si="9"/>
        <v>15105.78797931973</v>
      </c>
      <c r="V21" s="273">
        <f t="shared" si="9"/>
        <v>15565.856421665623</v>
      </c>
    </row>
    <row r="22" spans="1:23" ht="15.5">
      <c r="A22" s="939"/>
      <c r="B22" s="299">
        <v>3</v>
      </c>
      <c r="C22" s="300">
        <v>0.1</v>
      </c>
      <c r="D22" s="306">
        <v>0.1</v>
      </c>
      <c r="E22" s="937"/>
      <c r="F22" s="266">
        <v>2006</v>
      </c>
      <c r="G22" s="264">
        <v>2.0199999999999999E-2</v>
      </c>
      <c r="J22" s="286" t="s">
        <v>414</v>
      </c>
      <c r="K22" s="274"/>
      <c r="L22" s="274">
        <f>L16-L18-L21</f>
        <v>216912</v>
      </c>
      <c r="M22" s="274">
        <f t="shared" ref="M22:V22" si="10">M16-M18-M21</f>
        <v>224576.77914240005</v>
      </c>
      <c r="N22" s="274">
        <f t="shared" si="10"/>
        <v>232511.14732204867</v>
      </c>
      <c r="O22" s="274">
        <f t="shared" si="10"/>
        <v>240724.56830095535</v>
      </c>
      <c r="P22" s="274">
        <f t="shared" si="10"/>
        <v>249226.83779098149</v>
      </c>
      <c r="Q22" s="274">
        <f t="shared" si="10"/>
        <v>258028.09509329943</v>
      </c>
      <c r="R22" s="274">
        <f t="shared" si="10"/>
        <v>267138.83514591644</v>
      </c>
      <c r="S22" s="274">
        <f t="shared" si="10"/>
        <v>276569.92099357088</v>
      </c>
      <c r="T22" s="274">
        <f t="shared" si="10"/>
        <v>286332.59669480688</v>
      </c>
      <c r="U22" s="274">
        <f t="shared" si="10"/>
        <v>296438.50068155333</v>
      </c>
      <c r="V22" s="274">
        <f t="shared" si="10"/>
        <v>306899.67958707217</v>
      </c>
    </row>
    <row r="23" spans="1:23" ht="18" customHeight="1" thickBot="1">
      <c r="A23" s="319" t="s">
        <v>405</v>
      </c>
      <c r="B23" s="307">
        <v>1</v>
      </c>
      <c r="C23" s="308">
        <v>1</v>
      </c>
      <c r="D23" s="309">
        <v>3000</v>
      </c>
      <c r="E23" s="10"/>
      <c r="F23" s="267">
        <v>2005</v>
      </c>
      <c r="G23" s="268">
        <v>1.5599999999999999E-2</v>
      </c>
      <c r="J23" s="286" t="s">
        <v>415</v>
      </c>
      <c r="K23" s="274"/>
      <c r="L23" s="274">
        <f>L22*$G$13</f>
        <v>86764.800000000003</v>
      </c>
      <c r="M23" s="274">
        <f t="shared" ref="M23:V23" si="11">M22*$G$13</f>
        <v>89830.711656960018</v>
      </c>
      <c r="N23" s="274">
        <f t="shared" si="11"/>
        <v>93004.458928819469</v>
      </c>
      <c r="O23" s="274">
        <f t="shared" si="11"/>
        <v>96289.827320382145</v>
      </c>
      <c r="P23" s="274">
        <f t="shared" si="11"/>
        <v>99690.735116392607</v>
      </c>
      <c r="Q23" s="274">
        <f t="shared" si="11"/>
        <v>103211.23803731978</v>
      </c>
      <c r="R23" s="274">
        <f>R22*$G$13</f>
        <v>106855.53405836658</v>
      </c>
      <c r="S23" s="274">
        <f t="shared" si="11"/>
        <v>110627.96839742835</v>
      </c>
      <c r="T23" s="274">
        <f t="shared" si="11"/>
        <v>114533.03867792276</v>
      </c>
      <c r="U23" s="274">
        <f t="shared" si="11"/>
        <v>118575.40027262134</v>
      </c>
      <c r="V23" s="274">
        <f t="shared" si="11"/>
        <v>122759.87183482887</v>
      </c>
    </row>
    <row r="24" spans="1:23" ht="15.5">
      <c r="A24" s="10"/>
      <c r="B24" s="10"/>
      <c r="C24" s="10"/>
      <c r="D24" s="10"/>
      <c r="E24" s="10"/>
      <c r="J24" s="270" t="s">
        <v>358</v>
      </c>
      <c r="K24" s="272"/>
      <c r="L24" s="273">
        <f>L22-L23</f>
        <v>130147.2</v>
      </c>
      <c r="M24" s="273">
        <f t="shared" ref="M24:V24" si="12">M22-M23</f>
        <v>134746.06748544003</v>
      </c>
      <c r="N24" s="273">
        <f t="shared" si="12"/>
        <v>139506.68839322921</v>
      </c>
      <c r="O24" s="273">
        <f t="shared" si="12"/>
        <v>144434.7409805732</v>
      </c>
      <c r="P24" s="273">
        <f t="shared" si="12"/>
        <v>149536.10267458888</v>
      </c>
      <c r="Q24" s="273">
        <f t="shared" si="12"/>
        <v>154816.85705597966</v>
      </c>
      <c r="R24" s="273">
        <f t="shared" si="12"/>
        <v>160283.30108754986</v>
      </c>
      <c r="S24" s="273">
        <f t="shared" si="12"/>
        <v>165941.95259614254</v>
      </c>
      <c r="T24" s="273">
        <f t="shared" si="12"/>
        <v>171799.55801688414</v>
      </c>
      <c r="U24" s="273">
        <f t="shared" si="12"/>
        <v>177863.10040893199</v>
      </c>
      <c r="V24" s="273">
        <f t="shared" si="12"/>
        <v>184139.8077522433</v>
      </c>
    </row>
    <row r="25" spans="1:23" ht="15.5">
      <c r="A25" s="10"/>
      <c r="B25" s="10"/>
      <c r="C25" s="10"/>
      <c r="D25" s="10"/>
      <c r="E25" s="10"/>
      <c r="J25" s="270" t="s">
        <v>419</v>
      </c>
      <c r="K25" s="272"/>
      <c r="L25" s="273">
        <f>M16*$G$14</f>
        <v>49268.627520000009</v>
      </c>
      <c r="M25" s="273">
        <f t="shared" ref="M25:V25" si="13">N16*$G$14</f>
        <v>50995.749111439109</v>
      </c>
      <c r="N25" s="273">
        <f t="shared" si="13"/>
        <v>52783.415295690444</v>
      </c>
      <c r="O25" s="273">
        <f t="shared" si="13"/>
        <v>54633.748475563945</v>
      </c>
      <c r="P25" s="273">
        <f t="shared" si="13"/>
        <v>56548.945455124529</v>
      </c>
      <c r="Q25" s="273">
        <f t="shared" si="13"/>
        <v>58531.280047843014</v>
      </c>
      <c r="R25" s="273">
        <f t="shared" si="13"/>
        <v>60583.105776176177</v>
      </c>
      <c r="S25" s="273">
        <f t="shared" si="13"/>
        <v>62706.858665781197</v>
      </c>
      <c r="T25" s="273">
        <f t="shared" si="13"/>
        <v>64905.060137681896</v>
      </c>
      <c r="U25" s="273">
        <f t="shared" si="13"/>
        <v>67180.320001820364</v>
      </c>
      <c r="V25" s="273">
        <f t="shared" si="13"/>
        <v>0</v>
      </c>
    </row>
    <row r="26" spans="1:23" ht="16" thickBot="1">
      <c r="J26" s="270" t="s">
        <v>416</v>
      </c>
      <c r="K26" s="290">
        <f>L16*$G$14</f>
        <v>47600</v>
      </c>
      <c r="L26" s="273">
        <f>L25-K26</f>
        <v>1668.6275200000091</v>
      </c>
      <c r="M26" s="273">
        <f>M25-L25</f>
        <v>1727.1215914390996</v>
      </c>
      <c r="N26" s="273">
        <f t="shared" ref="N26:V26" si="14">N25-M25</f>
        <v>1787.6661842513349</v>
      </c>
      <c r="O26" s="273">
        <f t="shared" si="14"/>
        <v>1850.3331798735016</v>
      </c>
      <c r="P26" s="273">
        <f t="shared" si="14"/>
        <v>1915.1969795605837</v>
      </c>
      <c r="Q26" s="273">
        <f t="shared" si="14"/>
        <v>1982.3345927184855</v>
      </c>
      <c r="R26" s="273">
        <f t="shared" si="14"/>
        <v>2051.8257283331623</v>
      </c>
      <c r="S26" s="273">
        <f t="shared" si="14"/>
        <v>2123.7528896050208</v>
      </c>
      <c r="T26" s="273">
        <f t="shared" si="14"/>
        <v>2198.2014719006984</v>
      </c>
      <c r="U26" s="273">
        <f t="shared" si="14"/>
        <v>2275.2598641384684</v>
      </c>
      <c r="V26" s="273">
        <f t="shared" si="14"/>
        <v>-67180.320001820364</v>
      </c>
    </row>
    <row r="27" spans="1:23" ht="15.5">
      <c r="J27" s="271" t="s">
        <v>417</v>
      </c>
      <c r="K27" s="275">
        <f>K24-K26</f>
        <v>-47600</v>
      </c>
      <c r="L27" s="275">
        <f t="shared" ref="L27:V27" si="15">L24-L26</f>
        <v>128478.57247999999</v>
      </c>
      <c r="M27" s="275">
        <f t="shared" si="15"/>
        <v>133018.94589400094</v>
      </c>
      <c r="N27" s="275">
        <f t="shared" si="15"/>
        <v>137719.02220897787</v>
      </c>
      <c r="O27" s="275">
        <f t="shared" si="15"/>
        <v>142584.4078006997</v>
      </c>
      <c r="P27" s="275">
        <f t="shared" si="15"/>
        <v>147620.90569502831</v>
      </c>
      <c r="Q27" s="275">
        <f t="shared" si="15"/>
        <v>152834.52246326118</v>
      </c>
      <c r="R27" s="275">
        <f t="shared" si="15"/>
        <v>158231.47535921668</v>
      </c>
      <c r="S27" s="275">
        <f t="shared" si="15"/>
        <v>163818.19970653753</v>
      </c>
      <c r="T27" s="275">
        <f t="shared" si="15"/>
        <v>169601.35654498346</v>
      </c>
      <c r="U27" s="275">
        <f t="shared" si="15"/>
        <v>175587.84054479352</v>
      </c>
      <c r="V27" s="293">
        <f t="shared" si="15"/>
        <v>251320.12775406367</v>
      </c>
      <c r="W27" s="295" t="s">
        <v>360</v>
      </c>
    </row>
    <row r="28" spans="1:23" ht="16" thickBot="1">
      <c r="J28" s="271" t="s">
        <v>367</v>
      </c>
      <c r="K28" s="291">
        <f>K27/(1+$G$16)^(K11-$G$15)</f>
        <v>-31079.34928226691</v>
      </c>
      <c r="L28" s="291">
        <f>L27/(1+$G$16)^(L11-$G$15)</f>
        <v>75407.042557835681</v>
      </c>
      <c r="M28" s="291">
        <f t="shared" ref="M28:V28" si="16">M27/(1+$G$16)^(M11-$G$15)</f>
        <v>70179.609731563134</v>
      </c>
      <c r="N28" s="291">
        <f t="shared" si="16"/>
        <v>65314.201020990484</v>
      </c>
      <c r="O28" s="291">
        <f t="shared" si="16"/>
        <v>60785.775994824748</v>
      </c>
      <c r="P28" s="291">
        <f t="shared" si="16"/>
        <v>56571.02344169993</v>
      </c>
      <c r="Q28" s="291">
        <f t="shared" si="16"/>
        <v>52648.242200213164</v>
      </c>
      <c r="R28" s="291">
        <f t="shared" si="16"/>
        <v>48997.230179935272</v>
      </c>
      <c r="S28" s="291">
        <f t="shared" si="16"/>
        <v>45599.181012323497</v>
      </c>
      <c r="T28" s="291">
        <f t="shared" si="16"/>
        <v>42436.587808725235</v>
      </c>
      <c r="U28" s="291">
        <f t="shared" si="16"/>
        <v>39493.153538330444</v>
      </c>
      <c r="V28" s="292">
        <f t="shared" si="16"/>
        <v>50812.538133764137</v>
      </c>
      <c r="W28" s="294">
        <f>SUM(K28:V28)</f>
        <v>577165.23633793893</v>
      </c>
    </row>
    <row r="33" spans="10:22">
      <c r="J33">
        <v>1111311</v>
      </c>
    </row>
    <row r="35" spans="10:22" ht="15.5">
      <c r="J35" s="276" t="s">
        <v>407</v>
      </c>
      <c r="K35" s="276">
        <v>2013</v>
      </c>
      <c r="L35" s="276">
        <v>2014</v>
      </c>
      <c r="M35" s="276">
        <v>2015</v>
      </c>
      <c r="N35" s="276">
        <v>2016</v>
      </c>
      <c r="O35" s="276">
        <v>2017</v>
      </c>
      <c r="P35" s="276">
        <v>2018</v>
      </c>
      <c r="Q35" s="276">
        <v>2019</v>
      </c>
      <c r="R35" s="276">
        <v>2020</v>
      </c>
      <c r="S35" s="276">
        <v>2021</v>
      </c>
      <c r="T35" s="276">
        <v>2022</v>
      </c>
      <c r="U35" s="276">
        <v>2023</v>
      </c>
      <c r="V35" s="276">
        <v>2024</v>
      </c>
    </row>
    <row r="36" spans="10:22">
      <c r="J36" s="269" t="s">
        <v>33</v>
      </c>
      <c r="K36" s="277">
        <f>Données!$C$5</f>
        <v>560000</v>
      </c>
      <c r="L36" s="278">
        <f>K36*(1+$D$12)</f>
        <v>571200</v>
      </c>
      <c r="M36" s="278">
        <f t="shared" ref="M36" si="17">L36*(1+$D$12)</f>
        <v>582624</v>
      </c>
      <c r="N36" s="278">
        <f t="shared" ref="N36" si="18">M36*(1+$D$12)</f>
        <v>594276.48</v>
      </c>
      <c r="O36" s="278">
        <f t="shared" ref="O36" si="19">N36*(1+$D$12)</f>
        <v>606162.00959999999</v>
      </c>
      <c r="P36" s="278">
        <f t="shared" ref="P36" si="20">O36*(1+$D$12)</f>
        <v>618285.24979200005</v>
      </c>
      <c r="Q36" s="278">
        <f t="shared" ref="Q36" si="21">P36*(1+$D$12)</f>
        <v>630650.95478784002</v>
      </c>
      <c r="R36" s="278">
        <f t="shared" ref="R36" si="22">Q36*(1+$D$12)</f>
        <v>643263.97388359683</v>
      </c>
      <c r="S36" s="278">
        <f t="shared" ref="S36" si="23">R36*(1+$D$12)</f>
        <v>656129.25336126878</v>
      </c>
      <c r="T36" s="278">
        <f t="shared" ref="T36" si="24">S36*(1+$D$12)</f>
        <v>669251.83842849417</v>
      </c>
      <c r="U36" s="278">
        <f t="shared" ref="U36" si="25">T36*(1+$D$12)</f>
        <v>682636.87519706402</v>
      </c>
      <c r="V36" s="278">
        <f t="shared" ref="V36" si="26">U36*(1+$D$12)</f>
        <v>696289.6127010053</v>
      </c>
    </row>
    <row r="37" spans="10:22">
      <c r="J37" s="269" t="s">
        <v>408</v>
      </c>
      <c r="K37" s="279"/>
      <c r="L37" s="278">
        <f>L36*$D$14</f>
        <v>571200</v>
      </c>
      <c r="M37" s="278">
        <f t="shared" ref="M37:V37" si="27">M36*$D$14</f>
        <v>582624</v>
      </c>
      <c r="N37" s="278">
        <f t="shared" si="27"/>
        <v>594276.48</v>
      </c>
      <c r="O37" s="278">
        <f t="shared" si="27"/>
        <v>606162.00959999999</v>
      </c>
      <c r="P37" s="278">
        <f t="shared" si="27"/>
        <v>618285.24979200005</v>
      </c>
      <c r="Q37" s="278">
        <f t="shared" si="27"/>
        <v>630650.95478784002</v>
      </c>
      <c r="R37" s="278">
        <f t="shared" si="27"/>
        <v>643263.97388359683</v>
      </c>
      <c r="S37" s="278">
        <f t="shared" si="27"/>
        <v>656129.25336126878</v>
      </c>
      <c r="T37" s="278">
        <f t="shared" si="27"/>
        <v>669251.83842849417</v>
      </c>
      <c r="U37" s="278">
        <f t="shared" si="27"/>
        <v>682636.87519706402</v>
      </c>
      <c r="V37" s="278">
        <f t="shared" si="27"/>
        <v>696289.6127010053</v>
      </c>
    </row>
    <row r="38" spans="10:22">
      <c r="J38" s="269" t="s">
        <v>409</v>
      </c>
      <c r="K38" s="280"/>
      <c r="L38" s="278">
        <f>L37*$D$18</f>
        <v>114240</v>
      </c>
      <c r="M38" s="278">
        <f>M37*$D$18</f>
        <v>116524.8</v>
      </c>
      <c r="N38" s="278">
        <f>N37*$D$18</f>
        <v>118855.296</v>
      </c>
      <c r="O38" s="278">
        <f t="shared" ref="O38:V38" si="28">O37*$D$18</f>
        <v>121232.40192</v>
      </c>
      <c r="P38" s="278">
        <f t="shared" si="28"/>
        <v>123657.04995840002</v>
      </c>
      <c r="Q38" s="278">
        <f t="shared" si="28"/>
        <v>126130.190957568</v>
      </c>
      <c r="R38" s="278">
        <f t="shared" si="28"/>
        <v>128652.79477671937</v>
      </c>
      <c r="S38" s="278">
        <f t="shared" si="28"/>
        <v>131225.85067225376</v>
      </c>
      <c r="T38" s="278">
        <f t="shared" si="28"/>
        <v>133850.36768569885</v>
      </c>
      <c r="U38" s="278">
        <f t="shared" si="28"/>
        <v>136527.37503941281</v>
      </c>
      <c r="V38" s="278">
        <f t="shared" si="28"/>
        <v>139257.92254020108</v>
      </c>
    </row>
    <row r="39" spans="10:22">
      <c r="J39" s="269" t="s">
        <v>410</v>
      </c>
      <c r="K39" s="281"/>
      <c r="L39" s="288">
        <f>1</f>
        <v>1</v>
      </c>
      <c r="M39" s="288">
        <f>L39*(1+$G$12)</f>
        <v>1.0147600000000001</v>
      </c>
      <c r="N39" s="288">
        <f t="shared" ref="N39" si="29">M39*(1+$G$12)</f>
        <v>1.0297378576000003</v>
      </c>
      <c r="O39" s="288">
        <f t="shared" ref="O39" si="30">N39*(1+$G$12)</f>
        <v>1.0449367883781764</v>
      </c>
      <c r="P39" s="288">
        <f t="shared" ref="P39" si="31">O39*(1+$G$12)</f>
        <v>1.0603600553746384</v>
      </c>
      <c r="Q39" s="288">
        <f t="shared" ref="Q39" si="32">P39*(1+$G$12)</f>
        <v>1.0760109697919682</v>
      </c>
      <c r="R39" s="288">
        <f t="shared" ref="R39" si="33">Q39*(1+$G$12)</f>
        <v>1.0918928917060977</v>
      </c>
      <c r="S39" s="288">
        <f t="shared" ref="S39" si="34">R39*(1+$G$12)</f>
        <v>1.1080092307876799</v>
      </c>
      <c r="T39" s="288">
        <f t="shared" ref="T39" si="35">S39*(1+$G$12)</f>
        <v>1.1243634470341062</v>
      </c>
      <c r="U39" s="288">
        <f t="shared" ref="U39" si="36">T39*(1+$G$12)</f>
        <v>1.1409590515123298</v>
      </c>
      <c r="V39" s="288">
        <f t="shared" ref="V39" si="37">U39*(1+$G$12)</f>
        <v>1.157799607112652</v>
      </c>
    </row>
    <row r="40" spans="10:22" ht="15.5">
      <c r="J40" s="270" t="s">
        <v>411</v>
      </c>
      <c r="K40" s="282"/>
      <c r="L40" s="273">
        <f>L38*L39</f>
        <v>114240</v>
      </c>
      <c r="M40" s="273">
        <f t="shared" ref="M40:V40" si="38">M38*M39</f>
        <v>118244.70604800002</v>
      </c>
      <c r="N40" s="273">
        <f t="shared" si="38"/>
        <v>122389.79786745388</v>
      </c>
      <c r="O40" s="273">
        <f t="shared" si="38"/>
        <v>126680.19670965707</v>
      </c>
      <c r="P40" s="273">
        <f t="shared" si="38"/>
        <v>131120.99634135349</v>
      </c>
      <c r="Q40" s="273">
        <f t="shared" si="38"/>
        <v>135717.46909229888</v>
      </c>
      <c r="R40" s="273">
        <f t="shared" si="38"/>
        <v>140475.07211482327</v>
      </c>
      <c r="S40" s="273">
        <f t="shared" si="38"/>
        <v>145399.45386282282</v>
      </c>
      <c r="T40" s="273">
        <f t="shared" si="38"/>
        <v>150496.4607978749</v>
      </c>
      <c r="U40" s="273">
        <f t="shared" si="38"/>
        <v>155772.14433043657</v>
      </c>
      <c r="V40" s="273">
        <f t="shared" si="38"/>
        <v>161232.76800436893</v>
      </c>
    </row>
    <row r="41" spans="10:22">
      <c r="J41" s="283" t="s">
        <v>34</v>
      </c>
      <c r="K41" s="274"/>
      <c r="L41" s="289">
        <f>D20</f>
        <v>0.2</v>
      </c>
      <c r="M41" s="289">
        <f>L41*(1+$G$12)</f>
        <v>0.20295200000000002</v>
      </c>
      <c r="N41" s="289">
        <f t="shared" ref="N41" si="39">M41*(1+$G$12)</f>
        <v>0.20594757152000004</v>
      </c>
      <c r="O41" s="289">
        <f t="shared" ref="O41" si="40">N41*(1+$G$12)</f>
        <v>0.20898735767563525</v>
      </c>
      <c r="P41" s="289">
        <f t="shared" ref="P41" si="41">O41*(1+$G$12)</f>
        <v>0.21207201107492765</v>
      </c>
      <c r="Q41" s="289">
        <f t="shared" ref="Q41" si="42">P41*(1+$G$12)</f>
        <v>0.2152021939583936</v>
      </c>
      <c r="R41" s="289">
        <f t="shared" ref="R41" si="43">Q41*(1+$G$12)</f>
        <v>0.21837857834121951</v>
      </c>
      <c r="S41" s="289">
        <f t="shared" ref="S41" si="44">R41*(1+$G$12)</f>
        <v>0.22160184615753595</v>
      </c>
      <c r="T41" s="289">
        <f t="shared" ref="T41" si="45">S41*(1+$G$12)</f>
        <v>0.2248726894068212</v>
      </c>
      <c r="U41" s="289">
        <f t="shared" ref="U41" si="46">T41*(1+$G$12)</f>
        <v>0.22819181030246591</v>
      </c>
      <c r="V41" s="289">
        <f t="shared" ref="V41" si="47">U41*(1+$G$12)</f>
        <v>0.23155992142253032</v>
      </c>
    </row>
    <row r="42" spans="10:22" ht="15.5">
      <c r="J42" s="270" t="s">
        <v>412</v>
      </c>
      <c r="K42" s="282"/>
      <c r="L42" s="273">
        <f>L38*L41</f>
        <v>22848</v>
      </c>
      <c r="M42" s="273">
        <f t="shared" ref="M42:V42" si="48">M38*M41</f>
        <v>23648.941209600001</v>
      </c>
      <c r="N42" s="273">
        <f t="shared" si="48"/>
        <v>24477.959573490774</v>
      </c>
      <c r="O42" s="273">
        <f t="shared" si="48"/>
        <v>25336.03934193141</v>
      </c>
      <c r="P42" s="273">
        <f t="shared" si="48"/>
        <v>26224.199268270691</v>
      </c>
      <c r="Q42" s="273">
        <f t="shared" si="48"/>
        <v>27143.49381845977</v>
      </c>
      <c r="R42" s="273">
        <f t="shared" si="48"/>
        <v>28095.014422964647</v>
      </c>
      <c r="S42" s="273">
        <f t="shared" si="48"/>
        <v>29079.890772564562</v>
      </c>
      <c r="T42" s="273">
        <f t="shared" si="48"/>
        <v>30099.292159574972</v>
      </c>
      <c r="U42" s="273">
        <f t="shared" si="48"/>
        <v>31154.428866087306</v>
      </c>
      <c r="V42" s="273">
        <f t="shared" si="48"/>
        <v>32246.553600873776</v>
      </c>
    </row>
    <row r="43" spans="10:22">
      <c r="J43" s="285" t="s">
        <v>418</v>
      </c>
      <c r="K43" s="274"/>
      <c r="L43" s="274">
        <f>L40*0.03</f>
        <v>3427.2</v>
      </c>
      <c r="M43" s="274">
        <f t="shared" ref="M43:V43" si="49">M40*0.03</f>
        <v>3547.3411814400006</v>
      </c>
      <c r="N43" s="274">
        <f t="shared" si="49"/>
        <v>3671.6939360236161</v>
      </c>
      <c r="O43" s="274">
        <f t="shared" si="49"/>
        <v>3800.4059012897119</v>
      </c>
      <c r="P43" s="274">
        <f t="shared" si="49"/>
        <v>3933.6298902406043</v>
      </c>
      <c r="Q43" s="274">
        <f t="shared" si="49"/>
        <v>4071.5240727689661</v>
      </c>
      <c r="R43" s="274">
        <f t="shared" si="49"/>
        <v>4214.2521634446975</v>
      </c>
      <c r="S43" s="274">
        <f t="shared" si="49"/>
        <v>4361.9836158846847</v>
      </c>
      <c r="T43" s="274">
        <f t="shared" si="49"/>
        <v>4514.8938239362469</v>
      </c>
      <c r="U43" s="274">
        <f t="shared" si="49"/>
        <v>4673.1643299130965</v>
      </c>
      <c r="V43" s="274">
        <f t="shared" si="49"/>
        <v>4836.9830401310674</v>
      </c>
    </row>
    <row r="44" spans="10:22">
      <c r="J44" s="285" t="s">
        <v>413</v>
      </c>
      <c r="K44" s="274"/>
      <c r="L44" s="284">
        <v>3000</v>
      </c>
      <c r="M44" s="274">
        <f>L44*(1+$G$12)</f>
        <v>3044.28</v>
      </c>
      <c r="N44" s="274">
        <f t="shared" ref="N44" si="50">M44*(1+$G$12)</f>
        <v>3089.2135728000007</v>
      </c>
      <c r="O44" s="274">
        <f t="shared" ref="O44" si="51">N44*(1+$G$12)</f>
        <v>3134.8103651345291</v>
      </c>
      <c r="P44" s="274">
        <f t="shared" ref="P44" si="52">O44*(1+$G$12)</f>
        <v>3181.0801661239152</v>
      </c>
      <c r="Q44" s="274">
        <f t="shared" ref="Q44" si="53">P44*(1+$G$12)</f>
        <v>3228.0329093759046</v>
      </c>
      <c r="R44" s="274">
        <f t="shared" ref="R44" si="54">Q44*(1+$G$12)</f>
        <v>3275.6786751182935</v>
      </c>
      <c r="S44" s="274">
        <f t="shared" ref="S44" si="55">R44*(1+$G$12)</f>
        <v>3324.0276923630399</v>
      </c>
      <c r="T44" s="274">
        <f t="shared" ref="T44" si="56">S44*(1+$G$12)</f>
        <v>3373.0903411023187</v>
      </c>
      <c r="U44" s="274">
        <f t="shared" ref="U44" si="57">T44*(1+$G$12)</f>
        <v>3422.8771545369891</v>
      </c>
      <c r="V44" s="274">
        <f t="shared" ref="V44" si="58">U44*(1+$G$12)</f>
        <v>3473.3988213379553</v>
      </c>
    </row>
    <row r="45" spans="10:22" ht="15.5">
      <c r="J45" s="270" t="s">
        <v>35</v>
      </c>
      <c r="K45" s="282"/>
      <c r="L45" s="273">
        <f>L43+L44</f>
        <v>6427.2</v>
      </c>
      <c r="M45" s="273">
        <f t="shared" ref="M45:V45" si="59">M43+M44</f>
        <v>6591.6211814400012</v>
      </c>
      <c r="N45" s="273">
        <f t="shared" si="59"/>
        <v>6760.9075088236168</v>
      </c>
      <c r="O45" s="273">
        <f t="shared" si="59"/>
        <v>6935.2162664242405</v>
      </c>
      <c r="P45" s="273">
        <f t="shared" si="59"/>
        <v>7114.7100563645199</v>
      </c>
      <c r="Q45" s="273">
        <f t="shared" si="59"/>
        <v>7299.5569821448707</v>
      </c>
      <c r="R45" s="273">
        <f t="shared" si="59"/>
        <v>7489.9308385629911</v>
      </c>
      <c r="S45" s="273">
        <f t="shared" si="59"/>
        <v>7686.0113082477246</v>
      </c>
      <c r="T45" s="273">
        <f t="shared" si="59"/>
        <v>7887.9841650385661</v>
      </c>
      <c r="U45" s="273">
        <f t="shared" si="59"/>
        <v>8096.0414844500856</v>
      </c>
      <c r="V45" s="273">
        <f t="shared" si="59"/>
        <v>8310.3818614690226</v>
      </c>
    </row>
    <row r="46" spans="10:22">
      <c r="J46" s="286" t="s">
        <v>414</v>
      </c>
      <c r="K46" s="274"/>
      <c r="L46" s="274">
        <f>L40-L42-L45</f>
        <v>84964.800000000003</v>
      </c>
      <c r="M46" s="274">
        <f t="shared" ref="M46:V46" si="60">M40-M42-M45</f>
        <v>88004.143656960019</v>
      </c>
      <c r="N46" s="274">
        <f t="shared" si="60"/>
        <v>91150.930785139484</v>
      </c>
      <c r="O46" s="274">
        <f t="shared" si="60"/>
        <v>94408.941101301432</v>
      </c>
      <c r="P46" s="274">
        <f t="shared" si="60"/>
        <v>97782.087016718273</v>
      </c>
      <c r="Q46" s="274">
        <f t="shared" si="60"/>
        <v>101274.41829169424</v>
      </c>
      <c r="R46" s="274">
        <f t="shared" si="60"/>
        <v>104890.12685329563</v>
      </c>
      <c r="S46" s="274">
        <f t="shared" si="60"/>
        <v>108633.55178201053</v>
      </c>
      <c r="T46" s="274">
        <f t="shared" si="60"/>
        <v>112509.18447326135</v>
      </c>
      <c r="U46" s="274">
        <f t="shared" si="60"/>
        <v>116521.67397989916</v>
      </c>
      <c r="V46" s="274">
        <f t="shared" si="60"/>
        <v>120675.83254202614</v>
      </c>
    </row>
    <row r="47" spans="10:22">
      <c r="J47" s="286" t="s">
        <v>415</v>
      </c>
      <c r="K47" s="274"/>
      <c r="L47" s="274">
        <f>L46*$G$13</f>
        <v>33985.920000000006</v>
      </c>
      <c r="M47" s="274">
        <f t="shared" ref="M47:Q47" si="61">M46*$G$13</f>
        <v>35201.657462784009</v>
      </c>
      <c r="N47" s="274">
        <f t="shared" si="61"/>
        <v>36460.372314055792</v>
      </c>
      <c r="O47" s="274">
        <f t="shared" si="61"/>
        <v>37763.576440520577</v>
      </c>
      <c r="P47" s="274">
        <f t="shared" si="61"/>
        <v>39112.834806687308</v>
      </c>
      <c r="Q47" s="274">
        <f t="shared" si="61"/>
        <v>40509.767316677695</v>
      </c>
      <c r="R47" s="274">
        <f>R46*$G$13</f>
        <v>41956.050741318257</v>
      </c>
      <c r="S47" s="274">
        <f t="shared" ref="S47:V47" si="62">S46*$G$13</f>
        <v>43453.420712804218</v>
      </c>
      <c r="T47" s="274">
        <f t="shared" si="62"/>
        <v>45003.673789304543</v>
      </c>
      <c r="U47" s="274">
        <f t="shared" si="62"/>
        <v>46608.669591959668</v>
      </c>
      <c r="V47" s="274">
        <f t="shared" si="62"/>
        <v>48270.333016810459</v>
      </c>
    </row>
    <row r="48" spans="10:22" ht="15.5">
      <c r="J48" s="270" t="s">
        <v>358</v>
      </c>
      <c r="K48" s="272"/>
      <c r="L48" s="273">
        <f>L46-L47</f>
        <v>50978.879999999997</v>
      </c>
      <c r="M48" s="273">
        <f t="shared" ref="M48:V48" si="63">M46-M47</f>
        <v>52802.48619417601</v>
      </c>
      <c r="N48" s="273">
        <f t="shared" si="63"/>
        <v>54690.558471083692</v>
      </c>
      <c r="O48" s="273">
        <f t="shared" si="63"/>
        <v>56645.364660780855</v>
      </c>
      <c r="P48" s="273">
        <f t="shared" si="63"/>
        <v>58669.252210030965</v>
      </c>
      <c r="Q48" s="273">
        <f t="shared" si="63"/>
        <v>60764.650975016542</v>
      </c>
      <c r="R48" s="273">
        <f t="shared" si="63"/>
        <v>62934.076111977374</v>
      </c>
      <c r="S48" s="273">
        <f t="shared" si="63"/>
        <v>65180.131069206313</v>
      </c>
      <c r="T48" s="273">
        <f t="shared" si="63"/>
        <v>67505.510683956818</v>
      </c>
      <c r="U48" s="273">
        <f t="shared" si="63"/>
        <v>69913.004387939494</v>
      </c>
      <c r="V48" s="273">
        <f t="shared" si="63"/>
        <v>72405.49952521568</v>
      </c>
    </row>
    <row r="49" spans="10:23" ht="15.5">
      <c r="J49" s="270" t="s">
        <v>419</v>
      </c>
      <c r="K49" s="272"/>
      <c r="L49" s="273">
        <f>M40*$G$14</f>
        <v>19707.451008000004</v>
      </c>
      <c r="M49" s="273">
        <f t="shared" ref="M49" si="64">N40*$G$14</f>
        <v>20398.299644575643</v>
      </c>
      <c r="N49" s="273">
        <f t="shared" ref="N49" si="65">O40*$G$14</f>
        <v>21113.366118276179</v>
      </c>
      <c r="O49" s="273">
        <f t="shared" ref="O49" si="66">P40*$G$14</f>
        <v>21853.499390225581</v>
      </c>
      <c r="P49" s="273">
        <f t="shared" ref="P49" si="67">Q40*$G$14</f>
        <v>22619.578182049812</v>
      </c>
      <c r="Q49" s="273">
        <f t="shared" ref="Q49" si="68">R40*$G$14</f>
        <v>23412.512019137212</v>
      </c>
      <c r="R49" s="273">
        <f t="shared" ref="R49" si="69">S40*$G$14</f>
        <v>24233.242310470469</v>
      </c>
      <c r="S49" s="273">
        <f t="shared" ref="S49" si="70">T40*$G$14</f>
        <v>25082.74346631248</v>
      </c>
      <c r="T49" s="273">
        <f t="shared" ref="T49" si="71">U40*$G$14</f>
        <v>25962.024055072761</v>
      </c>
      <c r="U49" s="273">
        <f t="shared" ref="U49" si="72">V40*$G$14</f>
        <v>26872.128000728153</v>
      </c>
      <c r="V49" s="273">
        <f t="shared" ref="V49" si="73">W40*$G$14</f>
        <v>0</v>
      </c>
    </row>
    <row r="50" spans="10:23" ht="16" thickBot="1">
      <c r="J50" s="270" t="s">
        <v>416</v>
      </c>
      <c r="K50" s="290">
        <f>L40*$G$14</f>
        <v>19040</v>
      </c>
      <c r="L50" s="273">
        <f>L49-K50</f>
        <v>667.45100800000364</v>
      </c>
      <c r="M50" s="273">
        <f>M49-L49</f>
        <v>690.84863657563983</v>
      </c>
      <c r="N50" s="273">
        <f t="shared" ref="N50" si="74">N49-M49</f>
        <v>715.06647370053543</v>
      </c>
      <c r="O50" s="273">
        <f t="shared" ref="O50" si="75">O49-N49</f>
        <v>740.13327194940211</v>
      </c>
      <c r="P50" s="273">
        <f t="shared" ref="P50" si="76">P49-O49</f>
        <v>766.0787918242313</v>
      </c>
      <c r="Q50" s="273">
        <f t="shared" ref="Q50" si="77">Q49-P49</f>
        <v>792.9338370873993</v>
      </c>
      <c r="R50" s="273">
        <f t="shared" ref="R50" si="78">R49-Q49</f>
        <v>820.7302913332569</v>
      </c>
      <c r="S50" s="273">
        <f t="shared" ref="S50" si="79">S49-R49</f>
        <v>849.50115584201194</v>
      </c>
      <c r="T50" s="273">
        <f t="shared" ref="T50" si="80">T49-S49</f>
        <v>879.28058876028081</v>
      </c>
      <c r="U50" s="273">
        <f t="shared" ref="U50" si="81">U49-T49</f>
        <v>910.10394565539173</v>
      </c>
      <c r="V50" s="273">
        <f t="shared" ref="V50" si="82">V49-U49</f>
        <v>-26872.128000728153</v>
      </c>
    </row>
    <row r="51" spans="10:23" ht="15.5">
      <c r="J51" s="271" t="s">
        <v>417</v>
      </c>
      <c r="K51" s="275">
        <f>K48-K50</f>
        <v>-19040</v>
      </c>
      <c r="L51" s="275">
        <f>L48-L50</f>
        <v>50311.428991999994</v>
      </c>
      <c r="M51" s="275">
        <f>M48-M50</f>
        <v>52111.63755760037</v>
      </c>
      <c r="N51" s="275">
        <f t="shared" ref="N51:V51" si="83">N48-N50</f>
        <v>53975.491997383157</v>
      </c>
      <c r="O51" s="275">
        <f t="shared" si="83"/>
        <v>55905.231388831453</v>
      </c>
      <c r="P51" s="275">
        <f t="shared" si="83"/>
        <v>57903.17341820673</v>
      </c>
      <c r="Q51" s="275">
        <f t="shared" si="83"/>
        <v>59971.717137929139</v>
      </c>
      <c r="R51" s="275">
        <f t="shared" si="83"/>
        <v>62113.345820644114</v>
      </c>
      <c r="S51" s="275">
        <f t="shared" si="83"/>
        <v>64330.629913364304</v>
      </c>
      <c r="T51" s="275">
        <f t="shared" si="83"/>
        <v>66626.230095196544</v>
      </c>
      <c r="U51" s="275">
        <f t="shared" si="83"/>
        <v>69002.900442284095</v>
      </c>
      <c r="V51" s="275">
        <f t="shared" si="83"/>
        <v>99277.627525943826</v>
      </c>
      <c r="W51" s="295" t="s">
        <v>360</v>
      </c>
    </row>
    <row r="52" spans="10:23" ht="16" thickBot="1">
      <c r="J52" s="271" t="s">
        <v>367</v>
      </c>
      <c r="K52" s="291">
        <f>K51/(1+$G$16)^(K35-$G$15)</f>
        <v>-12431.739712906765</v>
      </c>
      <c r="L52" s="291">
        <f>L51/(1+$G$16)^(L35-$G$15)</f>
        <v>29528.940070811033</v>
      </c>
      <c r="M52" s="291">
        <f t="shared" ref="M52:V52" si="84">M51/(1+$G$16)^(M35-$G$15)</f>
        <v>27493.635298984867</v>
      </c>
      <c r="N52" s="291">
        <f t="shared" si="84"/>
        <v>25598.251265351555</v>
      </c>
      <c r="O52" s="291">
        <f t="shared" si="84"/>
        <v>23833.201151210855</v>
      </c>
      <c r="P52" s="291">
        <f t="shared" si="84"/>
        <v>22189.552119110926</v>
      </c>
      <c r="Q52" s="291">
        <f t="shared" si="84"/>
        <v>20658.980956343516</v>
      </c>
      <c r="R52" s="291">
        <f t="shared" si="84"/>
        <v>19233.732704008115</v>
      </c>
      <c r="S52" s="291">
        <f t="shared" si="84"/>
        <v>17906.582072756271</v>
      </c>
      <c r="T52" s="291">
        <f t="shared" si="84"/>
        <v>16670.7974593896</v>
      </c>
      <c r="U52" s="291">
        <f t="shared" si="84"/>
        <v>15520.107390705423</v>
      </c>
      <c r="V52" s="291">
        <f t="shared" si="84"/>
        <v>20072.201457052164</v>
      </c>
      <c r="W52" s="294">
        <f>SUM(K52:V52)</f>
        <v>226274.2422328176</v>
      </c>
    </row>
    <row r="57" spans="10:23">
      <c r="J57">
        <v>1111312</v>
      </c>
    </row>
    <row r="59" spans="10:23" ht="15.5">
      <c r="J59" s="276" t="s">
        <v>407</v>
      </c>
      <c r="K59" s="276">
        <v>2013</v>
      </c>
      <c r="L59" s="276">
        <v>2014</v>
      </c>
      <c r="M59" s="276">
        <v>2015</v>
      </c>
      <c r="N59" s="276">
        <v>2016</v>
      </c>
      <c r="O59" s="276">
        <v>2017</v>
      </c>
      <c r="P59" s="276">
        <v>2018</v>
      </c>
      <c r="Q59" s="276">
        <v>2019</v>
      </c>
      <c r="R59" s="276">
        <v>2020</v>
      </c>
      <c r="S59" s="276">
        <v>2021</v>
      </c>
      <c r="T59" s="276">
        <v>2022</v>
      </c>
      <c r="U59" s="276">
        <v>2023</v>
      </c>
      <c r="V59" s="276">
        <v>2024</v>
      </c>
    </row>
    <row r="60" spans="10:23">
      <c r="J60" s="269" t="s">
        <v>33</v>
      </c>
      <c r="K60" s="277">
        <f>Données!$C$5</f>
        <v>560000</v>
      </c>
      <c r="L60" s="278">
        <f>K60*(1+$D$13)</f>
        <v>565600</v>
      </c>
      <c r="M60" s="278">
        <f t="shared" ref="M60:V60" si="85">L60*(1+$D$13)</f>
        <v>571256</v>
      </c>
      <c r="N60" s="278">
        <f t="shared" si="85"/>
        <v>576968.56000000006</v>
      </c>
      <c r="O60" s="278">
        <f t="shared" si="85"/>
        <v>582738.24560000002</v>
      </c>
      <c r="P60" s="278">
        <f t="shared" si="85"/>
        <v>588565.62805599999</v>
      </c>
      <c r="Q60" s="278">
        <f t="shared" si="85"/>
        <v>594451.28433655994</v>
      </c>
      <c r="R60" s="278">
        <f t="shared" si="85"/>
        <v>600395.79717992549</v>
      </c>
      <c r="S60" s="278">
        <f t="shared" si="85"/>
        <v>606399.75515172479</v>
      </c>
      <c r="T60" s="278">
        <f t="shared" si="85"/>
        <v>612463.752703242</v>
      </c>
      <c r="U60" s="278">
        <f t="shared" si="85"/>
        <v>618588.39023027441</v>
      </c>
      <c r="V60" s="278">
        <f t="shared" si="85"/>
        <v>624774.27413257712</v>
      </c>
    </row>
    <row r="61" spans="10:23">
      <c r="J61" s="269" t="s">
        <v>408</v>
      </c>
      <c r="K61" s="279"/>
      <c r="L61" s="278">
        <f>L60*$D$14</f>
        <v>565600</v>
      </c>
      <c r="M61" s="278">
        <f t="shared" ref="M61:V61" si="86">M60*$D$14</f>
        <v>571256</v>
      </c>
      <c r="N61" s="278">
        <f t="shared" si="86"/>
        <v>576968.56000000006</v>
      </c>
      <c r="O61" s="278">
        <f t="shared" si="86"/>
        <v>582738.24560000002</v>
      </c>
      <c r="P61" s="278">
        <f t="shared" si="86"/>
        <v>588565.62805599999</v>
      </c>
      <c r="Q61" s="278">
        <f t="shared" si="86"/>
        <v>594451.28433655994</v>
      </c>
      <c r="R61" s="278">
        <f t="shared" si="86"/>
        <v>600395.79717992549</v>
      </c>
      <c r="S61" s="278">
        <f t="shared" si="86"/>
        <v>606399.75515172479</v>
      </c>
      <c r="T61" s="278">
        <f t="shared" si="86"/>
        <v>612463.752703242</v>
      </c>
      <c r="U61" s="278">
        <f t="shared" si="86"/>
        <v>618588.39023027441</v>
      </c>
      <c r="V61" s="278">
        <f t="shared" si="86"/>
        <v>624774.27413257712</v>
      </c>
    </row>
    <row r="62" spans="10:23">
      <c r="J62" s="269" t="s">
        <v>409</v>
      </c>
      <c r="K62" s="280"/>
      <c r="L62" s="278">
        <f>L61*$D$18</f>
        <v>113120</v>
      </c>
      <c r="M62" s="278">
        <f t="shared" ref="M62" si="87">M61*$D$18</f>
        <v>114251.20000000001</v>
      </c>
      <c r="N62" s="278">
        <f>N61*$D$18</f>
        <v>115393.71200000001</v>
      </c>
      <c r="O62" s="278">
        <f t="shared" ref="O62" si="88">O61*$D$18</f>
        <v>116547.64912000002</v>
      </c>
      <c r="P62" s="278">
        <f t="shared" ref="P62" si="89">P61*$D$18</f>
        <v>117713.1256112</v>
      </c>
      <c r="Q62" s="278">
        <f t="shared" ref="Q62" si="90">Q61*$D$18</f>
        <v>118890.256867312</v>
      </c>
      <c r="R62" s="278">
        <f t="shared" ref="R62" si="91">R61*$D$18</f>
        <v>120079.1594359851</v>
      </c>
      <c r="S62" s="278">
        <f t="shared" ref="S62" si="92">S61*$D$18</f>
        <v>121279.95103034496</v>
      </c>
      <c r="T62" s="278">
        <f t="shared" ref="T62" si="93">T61*$D$18</f>
        <v>122492.75054064841</v>
      </c>
      <c r="U62" s="278">
        <f t="shared" ref="U62" si="94">U61*$D$18</f>
        <v>123717.67804605489</v>
      </c>
      <c r="V62" s="278">
        <f t="shared" ref="V62" si="95">V61*$D$18</f>
        <v>124954.85482651542</v>
      </c>
    </row>
    <row r="63" spans="10:23">
      <c r="J63" s="269" t="s">
        <v>410</v>
      </c>
      <c r="K63" s="281"/>
      <c r="L63" s="288">
        <f>1</f>
        <v>1</v>
      </c>
      <c r="M63" s="288">
        <f>L63*(1+$G$12)</f>
        <v>1.0147600000000001</v>
      </c>
      <c r="N63" s="288">
        <f t="shared" ref="N63" si="96">M63*(1+$G$12)</f>
        <v>1.0297378576000003</v>
      </c>
      <c r="O63" s="288">
        <f t="shared" ref="O63" si="97">N63*(1+$G$12)</f>
        <v>1.0449367883781764</v>
      </c>
      <c r="P63" s="288">
        <f t="shared" ref="P63" si="98">O63*(1+$G$12)</f>
        <v>1.0603600553746384</v>
      </c>
      <c r="Q63" s="288">
        <f t="shared" ref="Q63" si="99">P63*(1+$G$12)</f>
        <v>1.0760109697919682</v>
      </c>
      <c r="R63" s="288">
        <f t="shared" ref="R63" si="100">Q63*(1+$G$12)</f>
        <v>1.0918928917060977</v>
      </c>
      <c r="S63" s="288">
        <f t="shared" ref="S63" si="101">R63*(1+$G$12)</f>
        <v>1.1080092307876799</v>
      </c>
      <c r="T63" s="288">
        <f t="shared" ref="T63" si="102">S63*(1+$G$12)</f>
        <v>1.1243634470341062</v>
      </c>
      <c r="U63" s="288">
        <f t="shared" ref="U63" si="103">T63*(1+$G$12)</f>
        <v>1.1409590515123298</v>
      </c>
      <c r="V63" s="288">
        <f t="shared" ref="V63" si="104">U63*(1+$G$12)</f>
        <v>1.157799607112652</v>
      </c>
    </row>
    <row r="64" spans="10:23" ht="15.5">
      <c r="J64" s="270" t="s">
        <v>411</v>
      </c>
      <c r="K64" s="282"/>
      <c r="L64" s="273">
        <f>L62*L63</f>
        <v>113120</v>
      </c>
      <c r="M64" s="273">
        <f t="shared" ref="M64:V64" si="105">M62*M63</f>
        <v>115937.54771200003</v>
      </c>
      <c r="N64" s="273">
        <f t="shared" si="105"/>
        <v>118825.27377539146</v>
      </c>
      <c r="O64" s="273">
        <f t="shared" si="105"/>
        <v>121784.92616447942</v>
      </c>
      <c r="P64" s="273">
        <f t="shared" si="105"/>
        <v>124818.29639141379</v>
      </c>
      <c r="Q64" s="273">
        <f t="shared" si="105"/>
        <v>127927.22059061259</v>
      </c>
      <c r="R64" s="273">
        <f t="shared" si="105"/>
        <v>131113.58063019533</v>
      </c>
      <c r="S64" s="273">
        <f t="shared" si="105"/>
        <v>134379.30525110001</v>
      </c>
      <c r="T64" s="273">
        <f t="shared" si="105"/>
        <v>137726.37123457232</v>
      </c>
      <c r="U64" s="273">
        <f t="shared" si="105"/>
        <v>141156.80459873457</v>
      </c>
      <c r="V64" s="273">
        <f t="shared" si="105"/>
        <v>144672.68182495801</v>
      </c>
    </row>
    <row r="65" spans="10:23">
      <c r="J65" s="283" t="s">
        <v>34</v>
      </c>
      <c r="K65" s="274"/>
      <c r="L65" s="289">
        <f>D20</f>
        <v>0.2</v>
      </c>
      <c r="M65" s="289">
        <f>L65*(1+$G$12)</f>
        <v>0.20295200000000002</v>
      </c>
      <c r="N65" s="289">
        <f t="shared" ref="N65" si="106">M65*(1+$G$12)</f>
        <v>0.20594757152000004</v>
      </c>
      <c r="O65" s="289">
        <f t="shared" ref="O65" si="107">N65*(1+$G$12)</f>
        <v>0.20898735767563525</v>
      </c>
      <c r="P65" s="289">
        <f t="shared" ref="P65" si="108">O65*(1+$G$12)</f>
        <v>0.21207201107492765</v>
      </c>
      <c r="Q65" s="289">
        <f t="shared" ref="Q65" si="109">P65*(1+$G$12)</f>
        <v>0.2152021939583936</v>
      </c>
      <c r="R65" s="289">
        <f t="shared" ref="R65" si="110">Q65*(1+$G$12)</f>
        <v>0.21837857834121951</v>
      </c>
      <c r="S65" s="289">
        <f t="shared" ref="S65" si="111">R65*(1+$G$12)</f>
        <v>0.22160184615753595</v>
      </c>
      <c r="T65" s="289">
        <f t="shared" ref="T65" si="112">S65*(1+$G$12)</f>
        <v>0.2248726894068212</v>
      </c>
      <c r="U65" s="289">
        <f t="shared" ref="U65" si="113">T65*(1+$G$12)</f>
        <v>0.22819181030246591</v>
      </c>
      <c r="V65" s="289">
        <f t="shared" ref="V65" si="114">U65*(1+$G$12)</f>
        <v>0.23155992142253032</v>
      </c>
    </row>
    <row r="66" spans="10:23" ht="15.5">
      <c r="J66" s="270" t="s">
        <v>412</v>
      </c>
      <c r="K66" s="282"/>
      <c r="L66" s="273">
        <f>L62*L65</f>
        <v>22624</v>
      </c>
      <c r="M66" s="273">
        <f t="shared" ref="M66:V66" si="115">M62*M65</f>
        <v>23187.509542400006</v>
      </c>
      <c r="N66" s="273">
        <f t="shared" si="115"/>
        <v>23765.05475507829</v>
      </c>
      <c r="O66" s="273">
        <f t="shared" si="115"/>
        <v>24356.98523289588</v>
      </c>
      <c r="P66" s="273">
        <f t="shared" si="115"/>
        <v>24963.659278282757</v>
      </c>
      <c r="Q66" s="273">
        <f t="shared" si="115"/>
        <v>25585.444118122512</v>
      </c>
      <c r="R66" s="273">
        <f t="shared" si="115"/>
        <v>26222.71612603906</v>
      </c>
      <c r="S66" s="273">
        <f t="shared" si="115"/>
        <v>26875.861050219999</v>
      </c>
      <c r="T66" s="273">
        <f t="shared" si="115"/>
        <v>27545.274246914461</v>
      </c>
      <c r="U66" s="273">
        <f t="shared" si="115"/>
        <v>28231.360919746909</v>
      </c>
      <c r="V66" s="273">
        <f t="shared" si="115"/>
        <v>28934.536364991596</v>
      </c>
    </row>
    <row r="67" spans="10:23">
      <c r="J67" s="285" t="s">
        <v>418</v>
      </c>
      <c r="K67" s="274"/>
      <c r="L67" s="274">
        <f>L64*0.03</f>
        <v>3393.6</v>
      </c>
      <c r="M67" s="274">
        <f t="shared" ref="M67:V67" si="116">M64*0.03</f>
        <v>3478.1264313600009</v>
      </c>
      <c r="N67" s="274">
        <f t="shared" si="116"/>
        <v>3564.7582132617435</v>
      </c>
      <c r="O67" s="274">
        <f t="shared" si="116"/>
        <v>3653.5477849343824</v>
      </c>
      <c r="P67" s="274">
        <f t="shared" si="116"/>
        <v>3744.5488917424136</v>
      </c>
      <c r="Q67" s="274">
        <f t="shared" si="116"/>
        <v>3837.8166177183775</v>
      </c>
      <c r="R67" s="274">
        <f t="shared" si="116"/>
        <v>3933.4074189058597</v>
      </c>
      <c r="S67" s="274">
        <f t="shared" si="116"/>
        <v>4031.3791575330001</v>
      </c>
      <c r="T67" s="274">
        <f t="shared" si="116"/>
        <v>4131.7911370371694</v>
      </c>
      <c r="U67" s="274">
        <f t="shared" si="116"/>
        <v>4234.7041379620368</v>
      </c>
      <c r="V67" s="274">
        <f t="shared" si="116"/>
        <v>4340.18045474874</v>
      </c>
    </row>
    <row r="68" spans="10:23">
      <c r="J68" s="285" t="s">
        <v>413</v>
      </c>
      <c r="K68" s="274"/>
      <c r="L68" s="284">
        <v>3000</v>
      </c>
      <c r="M68" s="274">
        <f>L68*(1+$G$12)</f>
        <v>3044.28</v>
      </c>
      <c r="N68" s="274">
        <f t="shared" ref="N68" si="117">M68*(1+$G$12)</f>
        <v>3089.2135728000007</v>
      </c>
      <c r="O68" s="274">
        <f t="shared" ref="O68" si="118">N68*(1+$G$12)</f>
        <v>3134.8103651345291</v>
      </c>
      <c r="P68" s="274">
        <f t="shared" ref="P68" si="119">O68*(1+$G$12)</f>
        <v>3181.0801661239152</v>
      </c>
      <c r="Q68" s="274">
        <f t="shared" ref="Q68" si="120">P68*(1+$G$12)</f>
        <v>3228.0329093759046</v>
      </c>
      <c r="R68" s="274">
        <f t="shared" ref="R68" si="121">Q68*(1+$G$12)</f>
        <v>3275.6786751182935</v>
      </c>
      <c r="S68" s="274">
        <f t="shared" ref="S68" si="122">R68*(1+$G$12)</f>
        <v>3324.0276923630399</v>
      </c>
      <c r="T68" s="274">
        <f t="shared" ref="T68" si="123">S68*(1+$G$12)</f>
        <v>3373.0903411023187</v>
      </c>
      <c r="U68" s="274">
        <f t="shared" ref="U68" si="124">T68*(1+$G$12)</f>
        <v>3422.8771545369891</v>
      </c>
      <c r="V68" s="274">
        <f t="shared" ref="V68" si="125">U68*(1+$G$12)</f>
        <v>3473.3988213379553</v>
      </c>
    </row>
    <row r="69" spans="10:23" ht="15.5">
      <c r="J69" s="270" t="s">
        <v>35</v>
      </c>
      <c r="K69" s="282"/>
      <c r="L69" s="273">
        <f>L67+L68</f>
        <v>6393.6</v>
      </c>
      <c r="M69" s="273">
        <f t="shared" ref="M69:V69" si="126">M67+M68</f>
        <v>6522.4064313600011</v>
      </c>
      <c r="N69" s="273">
        <f t="shared" si="126"/>
        <v>6653.9717860617438</v>
      </c>
      <c r="O69" s="273">
        <f t="shared" si="126"/>
        <v>6788.3581500689115</v>
      </c>
      <c r="P69" s="273">
        <f t="shared" si="126"/>
        <v>6925.6290578663284</v>
      </c>
      <c r="Q69" s="273">
        <f t="shared" si="126"/>
        <v>7065.8495270942822</v>
      </c>
      <c r="R69" s="273">
        <f t="shared" si="126"/>
        <v>7209.0860940241528</v>
      </c>
      <c r="S69" s="273">
        <f t="shared" si="126"/>
        <v>7355.4068498960405</v>
      </c>
      <c r="T69" s="273">
        <f t="shared" si="126"/>
        <v>7504.8814781394885</v>
      </c>
      <c r="U69" s="273">
        <f t="shared" si="126"/>
        <v>7657.5812924990259</v>
      </c>
      <c r="V69" s="273">
        <f t="shared" si="126"/>
        <v>7813.5792760866952</v>
      </c>
    </row>
    <row r="70" spans="10:23">
      <c r="J70" s="286" t="s">
        <v>414</v>
      </c>
      <c r="K70" s="274"/>
      <c r="L70" s="274">
        <f>L64-L66-L69</f>
        <v>84102.399999999994</v>
      </c>
      <c r="M70" s="274">
        <f t="shared" ref="M70:V70" si="127">M64-M66-M69</f>
        <v>86227.63173824003</v>
      </c>
      <c r="N70" s="274">
        <f t="shared" si="127"/>
        <v>88406.247234251423</v>
      </c>
      <c r="O70" s="274">
        <f t="shared" si="127"/>
        <v>90639.582781514619</v>
      </c>
      <c r="P70" s="274">
        <f t="shared" si="127"/>
        <v>92929.008055264698</v>
      </c>
      <c r="Q70" s="274">
        <f t="shared" si="127"/>
        <v>95275.926945395797</v>
      </c>
      <c r="R70" s="274">
        <f t="shared" si="127"/>
        <v>97681.778410132116</v>
      </c>
      <c r="S70" s="274">
        <f t="shared" si="127"/>
        <v>100148.03735098397</v>
      </c>
      <c r="T70" s="274">
        <f t="shared" si="127"/>
        <v>102676.21550951837</v>
      </c>
      <c r="U70" s="274">
        <f t="shared" si="127"/>
        <v>105267.86238648863</v>
      </c>
      <c r="V70" s="274">
        <f t="shared" si="127"/>
        <v>107924.56618387972</v>
      </c>
    </row>
    <row r="71" spans="10:23">
      <c r="J71" s="286" t="s">
        <v>415</v>
      </c>
      <c r="K71" s="274"/>
      <c r="L71" s="274">
        <f>L70*$G$13</f>
        <v>33640.959999999999</v>
      </c>
      <c r="M71" s="274">
        <f t="shared" ref="M71:Q71" si="128">M70*$G$13</f>
        <v>34491.052695296014</v>
      </c>
      <c r="N71" s="274">
        <f t="shared" si="128"/>
        <v>35362.498893700569</v>
      </c>
      <c r="O71" s="274">
        <f t="shared" si="128"/>
        <v>36255.833112605847</v>
      </c>
      <c r="P71" s="274">
        <f t="shared" si="128"/>
        <v>37171.603222105878</v>
      </c>
      <c r="Q71" s="274">
        <f t="shared" si="128"/>
        <v>38110.370778158322</v>
      </c>
      <c r="R71" s="274">
        <f>R70*$G$13</f>
        <v>39072.711364052848</v>
      </c>
      <c r="S71" s="274">
        <f t="shared" ref="S71:V71" si="129">S70*$G$13</f>
        <v>40059.214940393591</v>
      </c>
      <c r="T71" s="274">
        <f t="shared" si="129"/>
        <v>41070.486203807348</v>
      </c>
      <c r="U71" s="274">
        <f t="shared" si="129"/>
        <v>42107.144954595453</v>
      </c>
      <c r="V71" s="274">
        <f t="shared" si="129"/>
        <v>43169.82647355189</v>
      </c>
    </row>
    <row r="72" spans="10:23" ht="15.5">
      <c r="J72" s="270" t="s">
        <v>358</v>
      </c>
      <c r="K72" s="272"/>
      <c r="L72" s="273">
        <f>L70-L71</f>
        <v>50461.439999999995</v>
      </c>
      <c r="M72" s="273">
        <f t="shared" ref="M72:V72" si="130">M70-M71</f>
        <v>51736.579042944017</v>
      </c>
      <c r="N72" s="273">
        <f t="shared" si="130"/>
        <v>53043.748340550854</v>
      </c>
      <c r="O72" s="273">
        <f t="shared" si="130"/>
        <v>54383.749668908771</v>
      </c>
      <c r="P72" s="273">
        <f t="shared" si="130"/>
        <v>55757.40483315882</v>
      </c>
      <c r="Q72" s="273">
        <f t="shared" si="130"/>
        <v>57165.556167237475</v>
      </c>
      <c r="R72" s="273">
        <f t="shared" si="130"/>
        <v>58609.067046079268</v>
      </c>
      <c r="S72" s="273">
        <f t="shared" si="130"/>
        <v>60088.822410590379</v>
      </c>
      <c r="T72" s="273">
        <f t="shared" si="130"/>
        <v>61605.729305711022</v>
      </c>
      <c r="U72" s="273">
        <f t="shared" si="130"/>
        <v>63160.717431893179</v>
      </c>
      <c r="V72" s="273">
        <f t="shared" si="130"/>
        <v>64754.739710327834</v>
      </c>
    </row>
    <row r="73" spans="10:23" ht="15.5">
      <c r="J73" s="270" t="s">
        <v>419</v>
      </c>
      <c r="K73" s="272"/>
      <c r="L73" s="273">
        <f>M64*$G$14</f>
        <v>19322.924618666671</v>
      </c>
      <c r="M73" s="273">
        <f t="shared" ref="M73" si="131">N64*$G$14</f>
        <v>19804.212295898575</v>
      </c>
      <c r="N73" s="273">
        <f t="shared" ref="N73" si="132">O64*$G$14</f>
        <v>20297.4876940799</v>
      </c>
      <c r="O73" s="273">
        <f t="shared" ref="O73" si="133">P64*$G$14</f>
        <v>20803.049398568965</v>
      </c>
      <c r="P73" s="273">
        <f t="shared" ref="P73" si="134">Q64*$G$14</f>
        <v>21321.203431768765</v>
      </c>
      <c r="Q73" s="273">
        <f t="shared" ref="Q73" si="135">R64*$G$14</f>
        <v>21852.263438365888</v>
      </c>
      <c r="R73" s="273">
        <f t="shared" ref="R73" si="136">S64*$G$14</f>
        <v>22396.550875183333</v>
      </c>
      <c r="S73" s="273">
        <f t="shared" ref="S73" si="137">T64*$G$14</f>
        <v>22954.395205762052</v>
      </c>
      <c r="T73" s="273">
        <f t="shared" ref="T73" si="138">U64*$G$14</f>
        <v>23526.134099789095</v>
      </c>
      <c r="U73" s="273">
        <f t="shared" ref="U73" si="139">V64*$G$14</f>
        <v>24112.113637492999</v>
      </c>
      <c r="V73" s="273">
        <f t="shared" ref="V73" si="140">W64*$G$14</f>
        <v>0</v>
      </c>
    </row>
    <row r="74" spans="10:23" ht="16" thickBot="1">
      <c r="J74" s="270" t="s">
        <v>416</v>
      </c>
      <c r="K74" s="290">
        <f>L64*$G$14</f>
        <v>18853.333333333332</v>
      </c>
      <c r="L74" s="273">
        <f>L73-K74</f>
        <v>469.59128533333933</v>
      </c>
      <c r="M74" s="273">
        <f>M73-L73</f>
        <v>481.28767723190322</v>
      </c>
      <c r="N74" s="273">
        <f t="shared" ref="N74" si="141">N73-M73</f>
        <v>493.27539818132573</v>
      </c>
      <c r="O74" s="273">
        <f t="shared" ref="O74" si="142">O73-N73</f>
        <v>505.56170448906414</v>
      </c>
      <c r="P74" s="273">
        <f t="shared" ref="P74" si="143">P73-O73</f>
        <v>518.15403319980032</v>
      </c>
      <c r="Q74" s="273">
        <f t="shared" ref="Q74" si="144">Q73-P73</f>
        <v>531.06000659712299</v>
      </c>
      <c r="R74" s="273">
        <f t="shared" ref="R74" si="145">R73-Q73</f>
        <v>544.28743681744527</v>
      </c>
      <c r="S74" s="273">
        <f t="shared" ref="S74" si="146">S73-R73</f>
        <v>557.84433057871865</v>
      </c>
      <c r="T74" s="273">
        <f t="shared" ref="T74" si="147">T73-S73</f>
        <v>571.73889402704299</v>
      </c>
      <c r="U74" s="273">
        <f t="shared" ref="U74" si="148">U73-T73</f>
        <v>585.9795377039045</v>
      </c>
      <c r="V74" s="273">
        <f t="shared" ref="V74" si="149">V73-U73</f>
        <v>-24112.113637492999</v>
      </c>
    </row>
    <row r="75" spans="10:23" ht="15.5">
      <c r="J75" s="271" t="s">
        <v>417</v>
      </c>
      <c r="K75" s="275">
        <f>K72-K74</f>
        <v>-18853.333333333332</v>
      </c>
      <c r="L75" s="275">
        <f>L72-L74</f>
        <v>49991.848714666659</v>
      </c>
      <c r="M75" s="275">
        <f>M72-M74</f>
        <v>51255.29136571211</v>
      </c>
      <c r="N75" s="275">
        <f t="shared" ref="N75:V75" si="150">N72-N74</f>
        <v>52550.472942369524</v>
      </c>
      <c r="O75" s="275">
        <f t="shared" si="150"/>
        <v>53878.187964419703</v>
      </c>
      <c r="P75" s="275">
        <f t="shared" si="150"/>
        <v>55239.250799959016</v>
      </c>
      <c r="Q75" s="275">
        <f t="shared" si="150"/>
        <v>56634.496160640352</v>
      </c>
      <c r="R75" s="275">
        <f t="shared" si="150"/>
        <v>58064.779609261823</v>
      </c>
      <c r="S75" s="275">
        <f t="shared" si="150"/>
        <v>59530.978080011657</v>
      </c>
      <c r="T75" s="275">
        <f t="shared" si="150"/>
        <v>61033.990411683975</v>
      </c>
      <c r="U75" s="275">
        <f t="shared" si="150"/>
        <v>62574.737894189275</v>
      </c>
      <c r="V75" s="275">
        <f t="shared" si="150"/>
        <v>88866.853347820841</v>
      </c>
      <c r="W75" s="295" t="s">
        <v>360</v>
      </c>
    </row>
    <row r="76" spans="10:23" ht="16" thickBot="1">
      <c r="J76" s="271" t="s">
        <v>367</v>
      </c>
      <c r="K76" s="291">
        <f>K75/(1+$G$16)^(K59-$G$15)</f>
        <v>-12309.859911799835</v>
      </c>
      <c r="L76" s="291">
        <f>L75/(1+$G$16)^(L59-$G$15)</f>
        <v>29341.371022460415</v>
      </c>
      <c r="M76" s="291">
        <f t="shared" ref="M76:V76" si="151">M75/(1+$G$16)^(M59-$G$15)</f>
        <v>27041.834684133213</v>
      </c>
      <c r="N76" s="291">
        <f t="shared" si="151"/>
        <v>24922.42609955369</v>
      </c>
      <c r="O76" s="291">
        <f t="shared" si="151"/>
        <v>22969.043495906062</v>
      </c>
      <c r="P76" s="291">
        <f t="shared" si="151"/>
        <v>21168.688385927355</v>
      </c>
      <c r="Q76" s="291">
        <f t="shared" si="151"/>
        <v>19509.379312315956</v>
      </c>
      <c r="R76" s="291">
        <f t="shared" si="151"/>
        <v>17980.072330131989</v>
      </c>
      <c r="S76" s="291">
        <f t="shared" si="151"/>
        <v>16570.587701329641</v>
      </c>
      <c r="T76" s="291">
        <f t="shared" si="151"/>
        <v>15271.542316557794</v>
      </c>
      <c r="U76" s="291">
        <f t="shared" si="151"/>
        <v>14074.287397170672</v>
      </c>
      <c r="V76" s="291">
        <f t="shared" si="151"/>
        <v>17967.324841496935</v>
      </c>
      <c r="W76" s="294">
        <f>SUM(K76:V76)</f>
        <v>214506.69767518388</v>
      </c>
    </row>
    <row r="81" spans="10:22">
      <c r="J81">
        <v>1111321</v>
      </c>
    </row>
    <row r="83" spans="10:22" ht="15.5">
      <c r="J83" s="276" t="s">
        <v>407</v>
      </c>
      <c r="K83" s="276">
        <v>2013</v>
      </c>
      <c r="L83" s="276">
        <v>2014</v>
      </c>
      <c r="M83" s="276">
        <v>2015</v>
      </c>
      <c r="N83" s="276">
        <v>2016</v>
      </c>
      <c r="O83" s="276">
        <v>2017</v>
      </c>
      <c r="P83" s="276">
        <v>2018</v>
      </c>
      <c r="Q83" s="276">
        <v>2019</v>
      </c>
      <c r="R83" s="276">
        <v>2020</v>
      </c>
      <c r="S83" s="276">
        <v>2021</v>
      </c>
      <c r="T83" s="276">
        <v>2022</v>
      </c>
      <c r="U83" s="276">
        <v>2023</v>
      </c>
      <c r="V83" s="276">
        <v>2024</v>
      </c>
    </row>
    <row r="84" spans="10:22">
      <c r="J84" s="269" t="s">
        <v>33</v>
      </c>
      <c r="K84" s="277">
        <f>Données!$C$5</f>
        <v>560000</v>
      </c>
      <c r="L84" s="278">
        <f>K84*(1+$D$12)</f>
        <v>571200</v>
      </c>
      <c r="M84" s="278">
        <f t="shared" ref="M84:V84" si="152">L84*(1+$D$12)</f>
        <v>582624</v>
      </c>
      <c r="N84" s="278">
        <f t="shared" si="152"/>
        <v>594276.48</v>
      </c>
      <c r="O84" s="278">
        <f t="shared" si="152"/>
        <v>606162.00959999999</v>
      </c>
      <c r="P84" s="278">
        <f t="shared" si="152"/>
        <v>618285.24979200005</v>
      </c>
      <c r="Q84" s="278">
        <f t="shared" si="152"/>
        <v>630650.95478784002</v>
      </c>
      <c r="R84" s="278">
        <f t="shared" si="152"/>
        <v>643263.97388359683</v>
      </c>
      <c r="S84" s="278">
        <f t="shared" si="152"/>
        <v>656129.25336126878</v>
      </c>
      <c r="T84" s="278">
        <f t="shared" si="152"/>
        <v>669251.83842849417</v>
      </c>
      <c r="U84" s="278">
        <f t="shared" si="152"/>
        <v>682636.87519706402</v>
      </c>
      <c r="V84" s="278">
        <f t="shared" si="152"/>
        <v>696289.6127010053</v>
      </c>
    </row>
    <row r="85" spans="10:22">
      <c r="J85" s="269" t="s">
        <v>408</v>
      </c>
      <c r="K85" s="279"/>
      <c r="L85" s="278">
        <f>L84*$D$15</f>
        <v>285600</v>
      </c>
      <c r="M85" s="278">
        <f t="shared" ref="M85:V85" si="153">M84*$D$15</f>
        <v>291312</v>
      </c>
      <c r="N85" s="278">
        <f t="shared" si="153"/>
        <v>297138.24</v>
      </c>
      <c r="O85" s="278">
        <f t="shared" si="153"/>
        <v>303081.0048</v>
      </c>
      <c r="P85" s="278">
        <f t="shared" si="153"/>
        <v>309142.62489600002</v>
      </c>
      <c r="Q85" s="278">
        <f t="shared" si="153"/>
        <v>315325.47739392001</v>
      </c>
      <c r="R85" s="278">
        <f t="shared" si="153"/>
        <v>321631.98694179842</v>
      </c>
      <c r="S85" s="278">
        <f t="shared" si="153"/>
        <v>328064.62668063439</v>
      </c>
      <c r="T85" s="278">
        <f t="shared" si="153"/>
        <v>334625.91921424709</v>
      </c>
      <c r="U85" s="278">
        <f t="shared" si="153"/>
        <v>341318.43759853201</v>
      </c>
      <c r="V85" s="278">
        <f t="shared" si="153"/>
        <v>348144.80635050265</v>
      </c>
    </row>
    <row r="86" spans="10:22">
      <c r="J86" s="269" t="s">
        <v>409</v>
      </c>
      <c r="K86" s="280"/>
      <c r="L86" s="278">
        <f>L85*$D$18</f>
        <v>57120</v>
      </c>
      <c r="M86" s="278">
        <f t="shared" ref="M86" si="154">M85*$D$18</f>
        <v>58262.400000000001</v>
      </c>
      <c r="N86" s="278">
        <f>N85*$D$18</f>
        <v>59427.648000000001</v>
      </c>
      <c r="O86" s="278">
        <f t="shared" ref="O86" si="155">O85*$D$18</f>
        <v>60616.200960000002</v>
      </c>
      <c r="P86" s="278">
        <f t="shared" ref="P86" si="156">P85*$D$18</f>
        <v>61828.52497920001</v>
      </c>
      <c r="Q86" s="278">
        <f t="shared" ref="Q86" si="157">Q85*$D$18</f>
        <v>63065.095478784002</v>
      </c>
      <c r="R86" s="278">
        <f t="shared" ref="R86" si="158">R85*$D$18</f>
        <v>64326.397388359685</v>
      </c>
      <c r="S86" s="278">
        <f t="shared" ref="S86" si="159">S85*$D$18</f>
        <v>65612.925336126878</v>
      </c>
      <c r="T86" s="278">
        <f t="shared" ref="T86" si="160">T85*$D$18</f>
        <v>66925.183842849423</v>
      </c>
      <c r="U86" s="278">
        <f t="shared" ref="U86" si="161">U85*$D$18</f>
        <v>68263.687519706407</v>
      </c>
      <c r="V86" s="278">
        <f t="shared" ref="V86" si="162">V85*$D$18</f>
        <v>69628.961270100539</v>
      </c>
    </row>
    <row r="87" spans="10:22">
      <c r="J87" s="269" t="s">
        <v>410</v>
      </c>
      <c r="K87" s="281"/>
      <c r="L87" s="288">
        <f>1</f>
        <v>1</v>
      </c>
      <c r="M87" s="288">
        <f>L87*(1+$G$12)</f>
        <v>1.0147600000000001</v>
      </c>
      <c r="N87" s="288">
        <f t="shared" ref="N87" si="163">M87*(1+$G$12)</f>
        <v>1.0297378576000003</v>
      </c>
      <c r="O87" s="288">
        <f t="shared" ref="O87" si="164">N87*(1+$G$12)</f>
        <v>1.0449367883781764</v>
      </c>
      <c r="P87" s="288">
        <f t="shared" ref="P87" si="165">O87*(1+$G$12)</f>
        <v>1.0603600553746384</v>
      </c>
      <c r="Q87" s="288">
        <f t="shared" ref="Q87" si="166">P87*(1+$G$12)</f>
        <v>1.0760109697919682</v>
      </c>
      <c r="R87" s="288">
        <f t="shared" ref="R87" si="167">Q87*(1+$G$12)</f>
        <v>1.0918928917060977</v>
      </c>
      <c r="S87" s="288">
        <f t="shared" ref="S87" si="168">R87*(1+$G$12)</f>
        <v>1.1080092307876799</v>
      </c>
      <c r="T87" s="288">
        <f t="shared" ref="T87" si="169">S87*(1+$G$12)</f>
        <v>1.1243634470341062</v>
      </c>
      <c r="U87" s="288">
        <f t="shared" ref="U87" si="170">T87*(1+$G$12)</f>
        <v>1.1409590515123298</v>
      </c>
      <c r="V87" s="288">
        <f t="shared" ref="V87" si="171">U87*(1+$G$12)</f>
        <v>1.157799607112652</v>
      </c>
    </row>
    <row r="88" spans="10:22" ht="15.5">
      <c r="J88" s="270" t="s">
        <v>411</v>
      </c>
      <c r="K88" s="282"/>
      <c r="L88" s="273">
        <f>L86*L87</f>
        <v>57120</v>
      </c>
      <c r="M88" s="273">
        <f t="shared" ref="M88:V88" si="172">M86*M87</f>
        <v>59122.353024000011</v>
      </c>
      <c r="N88" s="273">
        <f t="shared" si="172"/>
        <v>61194.898933726938</v>
      </c>
      <c r="O88" s="273">
        <f t="shared" si="172"/>
        <v>63340.098354828537</v>
      </c>
      <c r="P88" s="273">
        <f t="shared" si="172"/>
        <v>65560.498170676743</v>
      </c>
      <c r="Q88" s="273">
        <f t="shared" si="172"/>
        <v>67858.734546149441</v>
      </c>
      <c r="R88" s="273">
        <f t="shared" si="172"/>
        <v>70237.536057411635</v>
      </c>
      <c r="S88" s="273">
        <f t="shared" si="172"/>
        <v>72699.726931411409</v>
      </c>
      <c r="T88" s="273">
        <f t="shared" si="172"/>
        <v>75248.230398937449</v>
      </c>
      <c r="U88" s="273">
        <f t="shared" si="172"/>
        <v>77886.072165218284</v>
      </c>
      <c r="V88" s="273">
        <f t="shared" si="172"/>
        <v>80616.384002184466</v>
      </c>
    </row>
    <row r="89" spans="10:22">
      <c r="J89" s="283" t="s">
        <v>34</v>
      </c>
      <c r="K89" s="274"/>
      <c r="L89" s="289">
        <f>D20</f>
        <v>0.2</v>
      </c>
      <c r="M89" s="289">
        <f>L89*(1+$G$12)</f>
        <v>0.20295200000000002</v>
      </c>
      <c r="N89" s="289">
        <f t="shared" ref="N89" si="173">M89*(1+$G$12)</f>
        <v>0.20594757152000004</v>
      </c>
      <c r="O89" s="289">
        <f t="shared" ref="O89" si="174">N89*(1+$G$12)</f>
        <v>0.20898735767563525</v>
      </c>
      <c r="P89" s="289">
        <f t="shared" ref="P89" si="175">O89*(1+$G$12)</f>
        <v>0.21207201107492765</v>
      </c>
      <c r="Q89" s="289">
        <f t="shared" ref="Q89" si="176">P89*(1+$G$12)</f>
        <v>0.2152021939583936</v>
      </c>
      <c r="R89" s="289">
        <f t="shared" ref="R89" si="177">Q89*(1+$G$12)</f>
        <v>0.21837857834121951</v>
      </c>
      <c r="S89" s="289">
        <f t="shared" ref="S89" si="178">R89*(1+$G$12)</f>
        <v>0.22160184615753595</v>
      </c>
      <c r="T89" s="289">
        <f t="shared" ref="T89" si="179">S89*(1+$G$12)</f>
        <v>0.2248726894068212</v>
      </c>
      <c r="U89" s="289">
        <f t="shared" ref="U89" si="180">T89*(1+$G$12)</f>
        <v>0.22819181030246591</v>
      </c>
      <c r="V89" s="289">
        <f t="shared" ref="V89" si="181">U89*(1+$G$12)</f>
        <v>0.23155992142253032</v>
      </c>
    </row>
    <row r="90" spans="10:22" ht="15.5">
      <c r="J90" s="270" t="s">
        <v>412</v>
      </c>
      <c r="K90" s="282"/>
      <c r="L90" s="273">
        <f>L86*L89</f>
        <v>11424</v>
      </c>
      <c r="M90" s="273">
        <f t="shared" ref="M90:V90" si="182">M86*M89</f>
        <v>11824.470604800001</v>
      </c>
      <c r="N90" s="273">
        <f t="shared" si="182"/>
        <v>12238.979786745387</v>
      </c>
      <c r="O90" s="273">
        <f t="shared" si="182"/>
        <v>12668.019670965705</v>
      </c>
      <c r="P90" s="273">
        <f t="shared" si="182"/>
        <v>13112.099634135346</v>
      </c>
      <c r="Q90" s="273">
        <f t="shared" si="182"/>
        <v>13571.746909229885</v>
      </c>
      <c r="R90" s="273">
        <f t="shared" si="182"/>
        <v>14047.507211482323</v>
      </c>
      <c r="S90" s="273">
        <f t="shared" si="182"/>
        <v>14539.945386282281</v>
      </c>
      <c r="T90" s="273">
        <f t="shared" si="182"/>
        <v>15049.646079787486</v>
      </c>
      <c r="U90" s="273">
        <f t="shared" si="182"/>
        <v>15577.214433043653</v>
      </c>
      <c r="V90" s="273">
        <f t="shared" si="182"/>
        <v>16123.276800436888</v>
      </c>
    </row>
    <row r="91" spans="10:22">
      <c r="J91" s="285" t="s">
        <v>418</v>
      </c>
      <c r="K91" s="274"/>
      <c r="L91" s="274">
        <f>L88*0.03</f>
        <v>1713.6</v>
      </c>
      <c r="M91" s="274">
        <f t="shared" ref="M91:V91" si="183">M88*0.03</f>
        <v>1773.6705907200003</v>
      </c>
      <c r="N91" s="274">
        <f t="shared" si="183"/>
        <v>1835.846968011808</v>
      </c>
      <c r="O91" s="274">
        <f t="shared" si="183"/>
        <v>1900.2029506448559</v>
      </c>
      <c r="P91" s="274">
        <f t="shared" si="183"/>
        <v>1966.8149451203021</v>
      </c>
      <c r="Q91" s="274">
        <f t="shared" si="183"/>
        <v>2035.7620363844831</v>
      </c>
      <c r="R91" s="274">
        <f t="shared" si="183"/>
        <v>2107.1260817223488</v>
      </c>
      <c r="S91" s="274">
        <f t="shared" si="183"/>
        <v>2180.9918079423423</v>
      </c>
      <c r="T91" s="274">
        <f t="shared" si="183"/>
        <v>2257.4469119681235</v>
      </c>
      <c r="U91" s="274">
        <f t="shared" si="183"/>
        <v>2336.5821649565482</v>
      </c>
      <c r="V91" s="274">
        <f t="shared" si="183"/>
        <v>2418.4915200655337</v>
      </c>
    </row>
    <row r="92" spans="10:22">
      <c r="J92" s="285" t="s">
        <v>413</v>
      </c>
      <c r="K92" s="274"/>
      <c r="L92" s="284">
        <v>3000</v>
      </c>
      <c r="M92" s="274">
        <f>L92*(1+$G$12)</f>
        <v>3044.28</v>
      </c>
      <c r="N92" s="274">
        <f t="shared" ref="N92" si="184">M92*(1+$G$12)</f>
        <v>3089.2135728000007</v>
      </c>
      <c r="O92" s="274">
        <f t="shared" ref="O92" si="185">N92*(1+$G$12)</f>
        <v>3134.8103651345291</v>
      </c>
      <c r="P92" s="274">
        <f t="shared" ref="P92" si="186">O92*(1+$G$12)</f>
        <v>3181.0801661239152</v>
      </c>
      <c r="Q92" s="274">
        <f t="shared" ref="Q92" si="187">P92*(1+$G$12)</f>
        <v>3228.0329093759046</v>
      </c>
      <c r="R92" s="274">
        <f t="shared" ref="R92" si="188">Q92*(1+$G$12)</f>
        <v>3275.6786751182935</v>
      </c>
      <c r="S92" s="274">
        <f t="shared" ref="S92" si="189">R92*(1+$G$12)</f>
        <v>3324.0276923630399</v>
      </c>
      <c r="T92" s="274">
        <f t="shared" ref="T92" si="190">S92*(1+$G$12)</f>
        <v>3373.0903411023187</v>
      </c>
      <c r="U92" s="274">
        <f t="shared" ref="U92" si="191">T92*(1+$G$12)</f>
        <v>3422.8771545369891</v>
      </c>
      <c r="V92" s="274">
        <f t="shared" ref="V92" si="192">U92*(1+$G$12)</f>
        <v>3473.3988213379553</v>
      </c>
    </row>
    <row r="93" spans="10:22" ht="15.5">
      <c r="J93" s="270" t="s">
        <v>35</v>
      </c>
      <c r="K93" s="282"/>
      <c r="L93" s="273">
        <f>L91+L92</f>
        <v>4713.6000000000004</v>
      </c>
      <c r="M93" s="273">
        <f t="shared" ref="M93:V93" si="193">M91+M92</f>
        <v>4817.95059072</v>
      </c>
      <c r="N93" s="273">
        <f t="shared" si="193"/>
        <v>4925.060540811809</v>
      </c>
      <c r="O93" s="273">
        <f t="shared" si="193"/>
        <v>5035.0133157793853</v>
      </c>
      <c r="P93" s="273">
        <f t="shared" si="193"/>
        <v>5147.8951112442173</v>
      </c>
      <c r="Q93" s="273">
        <f t="shared" si="193"/>
        <v>5263.7949457603881</v>
      </c>
      <c r="R93" s="273">
        <f t="shared" si="193"/>
        <v>5382.8047568406419</v>
      </c>
      <c r="S93" s="273">
        <f t="shared" si="193"/>
        <v>5505.0195003053823</v>
      </c>
      <c r="T93" s="273">
        <f t="shared" si="193"/>
        <v>5630.5372530704426</v>
      </c>
      <c r="U93" s="273">
        <f t="shared" si="193"/>
        <v>5759.4593194935369</v>
      </c>
      <c r="V93" s="273">
        <f t="shared" si="193"/>
        <v>5891.8903414034885</v>
      </c>
    </row>
    <row r="94" spans="10:22">
      <c r="J94" s="286" t="s">
        <v>414</v>
      </c>
      <c r="K94" s="274"/>
      <c r="L94" s="274">
        <f>L88-L90-L93</f>
        <v>40982.400000000001</v>
      </c>
      <c r="M94" s="274">
        <f t="shared" ref="M94:V94" si="194">M88-M90-M93</f>
        <v>42479.93182848001</v>
      </c>
      <c r="N94" s="274">
        <f t="shared" si="194"/>
        <v>44030.858606169742</v>
      </c>
      <c r="O94" s="274">
        <f t="shared" si="194"/>
        <v>45637.065368083451</v>
      </c>
      <c r="P94" s="274">
        <f t="shared" si="194"/>
        <v>47300.503425297182</v>
      </c>
      <c r="Q94" s="274">
        <f t="shared" si="194"/>
        <v>49023.192691159165</v>
      </c>
      <c r="R94" s="274">
        <f t="shared" si="194"/>
        <v>50807.224089088668</v>
      </c>
      <c r="S94" s="274">
        <f t="shared" si="194"/>
        <v>52654.762044823743</v>
      </c>
      <c r="T94" s="274">
        <f t="shared" si="194"/>
        <v>54568.047066079518</v>
      </c>
      <c r="U94" s="274">
        <f t="shared" si="194"/>
        <v>56549.39841268109</v>
      </c>
      <c r="V94" s="274">
        <f t="shared" si="194"/>
        <v>58601.216860344095</v>
      </c>
    </row>
    <row r="95" spans="10:22">
      <c r="J95" s="286" t="s">
        <v>415</v>
      </c>
      <c r="K95" s="274"/>
      <c r="L95" s="274">
        <f>L94*$G$13</f>
        <v>16392.960000000003</v>
      </c>
      <c r="M95" s="274">
        <f t="shared" ref="M95:Q95" si="195">M94*$G$13</f>
        <v>16991.972731392005</v>
      </c>
      <c r="N95" s="274">
        <f t="shared" si="195"/>
        <v>17612.343442467896</v>
      </c>
      <c r="O95" s="274">
        <f t="shared" si="195"/>
        <v>18254.82614723338</v>
      </c>
      <c r="P95" s="274">
        <f t="shared" si="195"/>
        <v>18920.201370118873</v>
      </c>
      <c r="Q95" s="274">
        <f t="shared" si="195"/>
        <v>19609.277076463666</v>
      </c>
      <c r="R95" s="274">
        <f>R94*$G$13</f>
        <v>20322.889635635467</v>
      </c>
      <c r="S95" s="274">
        <f t="shared" ref="S95:V95" si="196">S94*$G$13</f>
        <v>21061.904817929499</v>
      </c>
      <c r="T95" s="274">
        <f t="shared" si="196"/>
        <v>21827.21882643181</v>
      </c>
      <c r="U95" s="274">
        <f t="shared" si="196"/>
        <v>22619.759365072438</v>
      </c>
      <c r="V95" s="274">
        <f t="shared" si="196"/>
        <v>23440.486744137641</v>
      </c>
    </row>
    <row r="96" spans="10:22" ht="15.5">
      <c r="J96" s="270" t="s">
        <v>358</v>
      </c>
      <c r="K96" s="272"/>
      <c r="L96" s="273">
        <f>L94-L95</f>
        <v>24589.439999999999</v>
      </c>
      <c r="M96" s="273">
        <f t="shared" ref="M96:V96" si="197">M94-M95</f>
        <v>25487.959097088005</v>
      </c>
      <c r="N96" s="273">
        <f t="shared" si="197"/>
        <v>26418.515163701846</v>
      </c>
      <c r="O96" s="273">
        <f t="shared" si="197"/>
        <v>27382.239220850071</v>
      </c>
      <c r="P96" s="273">
        <f t="shared" si="197"/>
        <v>28380.302055178308</v>
      </c>
      <c r="Q96" s="273">
        <f t="shared" si="197"/>
        <v>29413.915614695499</v>
      </c>
      <c r="R96" s="273">
        <f t="shared" si="197"/>
        <v>30484.334453453201</v>
      </c>
      <c r="S96" s="273">
        <f t="shared" si="197"/>
        <v>31592.857226894244</v>
      </c>
      <c r="T96" s="273">
        <f t="shared" si="197"/>
        <v>32740.828239647708</v>
      </c>
      <c r="U96" s="273">
        <f t="shared" si="197"/>
        <v>33929.639047608653</v>
      </c>
      <c r="V96" s="273">
        <f t="shared" si="197"/>
        <v>35160.730116206454</v>
      </c>
    </row>
    <row r="97" spans="10:23" ht="15.5">
      <c r="J97" s="270" t="s">
        <v>419</v>
      </c>
      <c r="K97" s="272"/>
      <c r="L97" s="273">
        <f>M88*$G$14</f>
        <v>9853.7255040000018</v>
      </c>
      <c r="M97" s="273">
        <f t="shared" ref="M97" si="198">N88*$G$14</f>
        <v>10199.149822287822</v>
      </c>
      <c r="N97" s="273">
        <f t="shared" ref="N97" si="199">O88*$G$14</f>
        <v>10556.683059138089</v>
      </c>
      <c r="O97" s="273">
        <f t="shared" ref="O97" si="200">P88*$G$14</f>
        <v>10926.749695112791</v>
      </c>
      <c r="P97" s="273">
        <f t="shared" ref="P97" si="201">Q88*$G$14</f>
        <v>11309.789091024906</v>
      </c>
      <c r="Q97" s="273">
        <f t="shared" ref="Q97" si="202">R88*$G$14</f>
        <v>11706.256009568606</v>
      </c>
      <c r="R97" s="273">
        <f t="shared" ref="R97" si="203">S88*$G$14</f>
        <v>12116.621155235234</v>
      </c>
      <c r="S97" s="273">
        <f t="shared" ref="S97" si="204">T88*$G$14</f>
        <v>12541.37173315624</v>
      </c>
      <c r="T97" s="273">
        <f t="shared" ref="T97" si="205">U88*$G$14</f>
        <v>12981.012027536381</v>
      </c>
      <c r="U97" s="273">
        <f t="shared" ref="U97" si="206">V88*$G$14</f>
        <v>13436.064000364076</v>
      </c>
      <c r="V97" s="273">
        <f t="shared" ref="V97" si="207">W88*$G$14</f>
        <v>0</v>
      </c>
    </row>
    <row r="98" spans="10:23" ht="16" thickBot="1">
      <c r="J98" s="270" t="s">
        <v>416</v>
      </c>
      <c r="K98" s="290">
        <f>L88*$G$14</f>
        <v>9520</v>
      </c>
      <c r="L98" s="273">
        <f>L97-K98</f>
        <v>333.72550400000182</v>
      </c>
      <c r="M98" s="273">
        <f>M97-L97</f>
        <v>345.42431828781991</v>
      </c>
      <c r="N98" s="273">
        <f t="shared" ref="N98" si="208">N97-M97</f>
        <v>357.53323685026771</v>
      </c>
      <c r="O98" s="273">
        <f t="shared" ref="O98" si="209">O97-N97</f>
        <v>370.06663597470106</v>
      </c>
      <c r="P98" s="273">
        <f t="shared" ref="P98" si="210">P97-O97</f>
        <v>383.03939591211565</v>
      </c>
      <c r="Q98" s="273">
        <f t="shared" ref="Q98" si="211">Q97-P97</f>
        <v>396.46691854369965</v>
      </c>
      <c r="R98" s="273">
        <f t="shared" ref="R98" si="212">R97-Q97</f>
        <v>410.36514566662845</v>
      </c>
      <c r="S98" s="273">
        <f t="shared" ref="S98" si="213">S97-R97</f>
        <v>424.75057792100597</v>
      </c>
      <c r="T98" s="273">
        <f t="shared" ref="T98" si="214">T97-S97</f>
        <v>439.6402943801404</v>
      </c>
      <c r="U98" s="273">
        <f t="shared" ref="U98" si="215">U97-T97</f>
        <v>455.05197282769586</v>
      </c>
      <c r="V98" s="273">
        <f t="shared" ref="V98" si="216">V97-U97</f>
        <v>-13436.064000364076</v>
      </c>
    </row>
    <row r="99" spans="10:23" ht="15.5">
      <c r="J99" s="271" t="s">
        <v>417</v>
      </c>
      <c r="K99" s="275">
        <f>K96-K98</f>
        <v>-9520</v>
      </c>
      <c r="L99" s="275">
        <f>L96-L98</f>
        <v>24255.714495999997</v>
      </c>
      <c r="M99" s="275">
        <f>M96-M98</f>
        <v>25142.534778800185</v>
      </c>
      <c r="N99" s="275">
        <f t="shared" ref="N99:V99" si="217">N96-N98</f>
        <v>26060.981926851578</v>
      </c>
      <c r="O99" s="275">
        <f t="shared" si="217"/>
        <v>27012.17258487537</v>
      </c>
      <c r="P99" s="275">
        <f t="shared" si="217"/>
        <v>27997.262659266191</v>
      </c>
      <c r="Q99" s="275">
        <f t="shared" si="217"/>
        <v>29017.448696151798</v>
      </c>
      <c r="R99" s="275">
        <f t="shared" si="217"/>
        <v>30073.969307786574</v>
      </c>
      <c r="S99" s="275">
        <f t="shared" si="217"/>
        <v>31168.10664897324</v>
      </c>
      <c r="T99" s="275">
        <f t="shared" si="217"/>
        <v>32301.187945267568</v>
      </c>
      <c r="U99" s="275">
        <f t="shared" si="217"/>
        <v>33474.587074780953</v>
      </c>
      <c r="V99" s="275">
        <f t="shared" si="217"/>
        <v>48596.794116570527</v>
      </c>
      <c r="W99" s="295" t="s">
        <v>360</v>
      </c>
    </row>
    <row r="100" spans="10:23" ht="16" thickBot="1">
      <c r="J100" s="271" t="s">
        <v>367</v>
      </c>
      <c r="K100" s="291">
        <f>K99/(1+$G$16)^(K83-$G$15)</f>
        <v>-6215.8698564533825</v>
      </c>
      <c r="L100" s="291">
        <f>L99/(1+$G$16)^(L83-$G$15)</f>
        <v>14236.239241802819</v>
      </c>
      <c r="M100" s="291">
        <f t="shared" ref="M100:V100" si="218">M99/(1+$G$16)^(M83-$G$15)</f>
        <v>13264.97715479211</v>
      </c>
      <c r="N100" s="291">
        <f t="shared" si="218"/>
        <v>12359.601346805242</v>
      </c>
      <c r="O100" s="291">
        <f t="shared" si="218"/>
        <v>11515.676203339555</v>
      </c>
      <c r="P100" s="291">
        <f t="shared" si="218"/>
        <v>10729.061678247917</v>
      </c>
      <c r="Q100" s="291">
        <f t="shared" si="218"/>
        <v>9995.8938750536345</v>
      </c>
      <c r="R100" s="291">
        <f t="shared" si="218"/>
        <v>9312.5668786990573</v>
      </c>
      <c r="S100" s="291">
        <f t="shared" si="218"/>
        <v>8675.7157595671997</v>
      </c>
      <c r="T100" s="291">
        <f t="shared" si="218"/>
        <v>8082.200676277721</v>
      </c>
      <c r="U100" s="291">
        <f t="shared" si="218"/>
        <v>7529.0920081637505</v>
      </c>
      <c r="V100" s="291">
        <f t="shared" si="218"/>
        <v>9825.4225648148349</v>
      </c>
      <c r="W100" s="294">
        <f>SUM(K100:V100)</f>
        <v>109310.57753111047</v>
      </c>
    </row>
    <row r="105" spans="10:23">
      <c r="J105">
        <v>1111322</v>
      </c>
    </row>
    <row r="107" spans="10:23" ht="15.5">
      <c r="J107" s="276" t="s">
        <v>407</v>
      </c>
      <c r="K107" s="276">
        <v>2013</v>
      </c>
      <c r="L107" s="276">
        <v>2014</v>
      </c>
      <c r="M107" s="276">
        <v>2015</v>
      </c>
      <c r="N107" s="276">
        <v>2016</v>
      </c>
      <c r="O107" s="276">
        <v>2017</v>
      </c>
      <c r="P107" s="276">
        <v>2018</v>
      </c>
      <c r="Q107" s="276">
        <v>2019</v>
      </c>
      <c r="R107" s="276">
        <v>2020</v>
      </c>
      <c r="S107" s="276">
        <v>2021</v>
      </c>
      <c r="T107" s="276">
        <v>2022</v>
      </c>
      <c r="U107" s="276">
        <v>2023</v>
      </c>
      <c r="V107" s="276">
        <v>2024</v>
      </c>
    </row>
    <row r="108" spans="10:23">
      <c r="J108" s="269" t="s">
        <v>33</v>
      </c>
      <c r="K108" s="277">
        <f>Données!$C$5</f>
        <v>560000</v>
      </c>
      <c r="L108" s="278">
        <f>K108*(1+$D$13)</f>
        <v>565600</v>
      </c>
      <c r="M108" s="278">
        <f t="shared" ref="M108:V108" si="219">L108*(1+$D$13)</f>
        <v>571256</v>
      </c>
      <c r="N108" s="278">
        <f t="shared" si="219"/>
        <v>576968.56000000006</v>
      </c>
      <c r="O108" s="278">
        <f t="shared" si="219"/>
        <v>582738.24560000002</v>
      </c>
      <c r="P108" s="278">
        <f t="shared" si="219"/>
        <v>588565.62805599999</v>
      </c>
      <c r="Q108" s="278">
        <f t="shared" si="219"/>
        <v>594451.28433655994</v>
      </c>
      <c r="R108" s="278">
        <f t="shared" si="219"/>
        <v>600395.79717992549</v>
      </c>
      <c r="S108" s="278">
        <f t="shared" si="219"/>
        <v>606399.75515172479</v>
      </c>
      <c r="T108" s="278">
        <f t="shared" si="219"/>
        <v>612463.752703242</v>
      </c>
      <c r="U108" s="278">
        <f t="shared" si="219"/>
        <v>618588.39023027441</v>
      </c>
      <c r="V108" s="278">
        <f t="shared" si="219"/>
        <v>624774.27413257712</v>
      </c>
    </row>
    <row r="109" spans="10:23">
      <c r="J109" s="269" t="s">
        <v>408</v>
      </c>
      <c r="K109" s="279"/>
      <c r="L109" s="278">
        <f>L108*$D$15</f>
        <v>282800</v>
      </c>
      <c r="M109" s="278">
        <f t="shared" ref="M109" si="220">M108*$D$15</f>
        <v>285628</v>
      </c>
      <c r="N109" s="278">
        <f t="shared" ref="N109" si="221">N108*$D$15</f>
        <v>288484.28000000003</v>
      </c>
      <c r="O109" s="278">
        <f t="shared" ref="O109" si="222">O108*$D$15</f>
        <v>291369.12280000001</v>
      </c>
      <c r="P109" s="278">
        <f t="shared" ref="P109" si="223">P108*$D$15</f>
        <v>294282.81402799999</v>
      </c>
      <c r="Q109" s="278">
        <f t="shared" ref="Q109" si="224">Q108*$D$15</f>
        <v>297225.64216827997</v>
      </c>
      <c r="R109" s="278">
        <f t="shared" ref="R109" si="225">R108*$D$15</f>
        <v>300197.89858996274</v>
      </c>
      <c r="S109" s="278">
        <f t="shared" ref="S109" si="226">S108*$D$15</f>
        <v>303199.8775758624</v>
      </c>
      <c r="T109" s="278">
        <f t="shared" ref="T109" si="227">T108*$D$15</f>
        <v>306231.876351621</v>
      </c>
      <c r="U109" s="278">
        <f t="shared" ref="U109" si="228">U108*$D$15</f>
        <v>309294.1951151372</v>
      </c>
      <c r="V109" s="278">
        <f t="shared" ref="V109" si="229">V108*$D$15</f>
        <v>312387.13706628856</v>
      </c>
    </row>
    <row r="110" spans="10:23">
      <c r="J110" s="269" t="s">
        <v>409</v>
      </c>
      <c r="K110" s="280"/>
      <c r="L110" s="278">
        <f>L109*$D$18</f>
        <v>56560</v>
      </c>
      <c r="M110" s="278">
        <f t="shared" ref="M110" si="230">M109*$D$18</f>
        <v>57125.600000000006</v>
      </c>
      <c r="N110" s="278">
        <f>N109*$D$18</f>
        <v>57696.856000000007</v>
      </c>
      <c r="O110" s="278">
        <f t="shared" ref="O110" si="231">O109*$D$18</f>
        <v>58273.824560000008</v>
      </c>
      <c r="P110" s="278">
        <f t="shared" ref="P110" si="232">P109*$D$18</f>
        <v>58856.562805599999</v>
      </c>
      <c r="Q110" s="278">
        <f t="shared" ref="Q110" si="233">Q109*$D$18</f>
        <v>59445.128433655998</v>
      </c>
      <c r="R110" s="278">
        <f t="shared" ref="R110" si="234">R109*$D$18</f>
        <v>60039.57971799255</v>
      </c>
      <c r="S110" s="278">
        <f t="shared" ref="S110" si="235">S109*$D$18</f>
        <v>60639.975515172482</v>
      </c>
      <c r="T110" s="278">
        <f t="shared" ref="T110" si="236">T109*$D$18</f>
        <v>61246.375270324206</v>
      </c>
      <c r="U110" s="278">
        <f t="shared" ref="U110" si="237">U109*$D$18</f>
        <v>61858.839023027445</v>
      </c>
      <c r="V110" s="278">
        <f t="shared" ref="V110" si="238">V109*$D$18</f>
        <v>62477.427413257712</v>
      </c>
    </row>
    <row r="111" spans="10:23">
      <c r="J111" s="269" t="s">
        <v>410</v>
      </c>
      <c r="K111" s="281"/>
      <c r="L111" s="288">
        <f>1</f>
        <v>1</v>
      </c>
      <c r="M111" s="288">
        <f>L111*(1+$G$12)</f>
        <v>1.0147600000000001</v>
      </c>
      <c r="N111" s="288">
        <f t="shared" ref="N111" si="239">M111*(1+$G$12)</f>
        <v>1.0297378576000003</v>
      </c>
      <c r="O111" s="288">
        <f t="shared" ref="O111" si="240">N111*(1+$G$12)</f>
        <v>1.0449367883781764</v>
      </c>
      <c r="P111" s="288">
        <f t="shared" ref="P111" si="241">O111*(1+$G$12)</f>
        <v>1.0603600553746384</v>
      </c>
      <c r="Q111" s="288">
        <f t="shared" ref="Q111" si="242">P111*(1+$G$12)</f>
        <v>1.0760109697919682</v>
      </c>
      <c r="R111" s="288">
        <f t="shared" ref="R111" si="243">Q111*(1+$G$12)</f>
        <v>1.0918928917060977</v>
      </c>
      <c r="S111" s="288">
        <f t="shared" ref="S111" si="244">R111*(1+$G$12)</f>
        <v>1.1080092307876799</v>
      </c>
      <c r="T111" s="288">
        <f t="shared" ref="T111" si="245">S111*(1+$G$12)</f>
        <v>1.1243634470341062</v>
      </c>
      <c r="U111" s="288">
        <f t="shared" ref="U111" si="246">T111*(1+$G$12)</f>
        <v>1.1409590515123298</v>
      </c>
      <c r="V111" s="288">
        <f t="shared" ref="V111" si="247">U111*(1+$G$12)</f>
        <v>1.157799607112652</v>
      </c>
    </row>
    <row r="112" spans="10:23" ht="15.5">
      <c r="J112" s="270" t="s">
        <v>411</v>
      </c>
      <c r="K112" s="282"/>
      <c r="L112" s="273">
        <f>L110*L111</f>
        <v>56560</v>
      </c>
      <c r="M112" s="273">
        <f t="shared" ref="M112:V112" si="248">M110*M111</f>
        <v>57968.773856000014</v>
      </c>
      <c r="N112" s="273">
        <f t="shared" si="248"/>
        <v>59412.636887695728</v>
      </c>
      <c r="O112" s="273">
        <f t="shared" si="248"/>
        <v>60892.463082239708</v>
      </c>
      <c r="P112" s="273">
        <f t="shared" si="248"/>
        <v>62409.148195706897</v>
      </c>
      <c r="Q112" s="273">
        <f t="shared" si="248"/>
        <v>63963.610295306295</v>
      </c>
      <c r="R112" s="273">
        <f t="shared" si="248"/>
        <v>65556.790315097664</v>
      </c>
      <c r="S112" s="273">
        <f t="shared" si="248"/>
        <v>67189.652625550007</v>
      </c>
      <c r="T112" s="273">
        <f t="shared" si="248"/>
        <v>68863.185617286159</v>
      </c>
      <c r="U112" s="273">
        <f t="shared" si="248"/>
        <v>70578.402299367284</v>
      </c>
      <c r="V112" s="273">
        <f t="shared" si="248"/>
        <v>72336.340912479005</v>
      </c>
    </row>
    <row r="113" spans="10:23">
      <c r="J113" s="283" t="s">
        <v>34</v>
      </c>
      <c r="K113" s="274"/>
      <c r="L113" s="289">
        <f>D20</f>
        <v>0.2</v>
      </c>
      <c r="M113" s="289">
        <f>L113*(1+$G$12)</f>
        <v>0.20295200000000002</v>
      </c>
      <c r="N113" s="289">
        <f t="shared" ref="N113" si="249">M113*(1+$G$12)</f>
        <v>0.20594757152000004</v>
      </c>
      <c r="O113" s="289">
        <f t="shared" ref="O113" si="250">N113*(1+$G$12)</f>
        <v>0.20898735767563525</v>
      </c>
      <c r="P113" s="289">
        <f t="shared" ref="P113" si="251">O113*(1+$G$12)</f>
        <v>0.21207201107492765</v>
      </c>
      <c r="Q113" s="289">
        <f t="shared" ref="Q113" si="252">P113*(1+$G$12)</f>
        <v>0.2152021939583936</v>
      </c>
      <c r="R113" s="289">
        <f t="shared" ref="R113" si="253">Q113*(1+$G$12)</f>
        <v>0.21837857834121951</v>
      </c>
      <c r="S113" s="289">
        <f t="shared" ref="S113" si="254">R113*(1+$G$12)</f>
        <v>0.22160184615753595</v>
      </c>
      <c r="T113" s="289">
        <f t="shared" ref="T113" si="255">S113*(1+$G$12)</f>
        <v>0.2248726894068212</v>
      </c>
      <c r="U113" s="289">
        <f t="shared" ref="U113" si="256">T113*(1+$G$12)</f>
        <v>0.22819181030246591</v>
      </c>
      <c r="V113" s="289">
        <f t="shared" ref="V113" si="257">U113*(1+$G$12)</f>
        <v>0.23155992142253032</v>
      </c>
    </row>
    <row r="114" spans="10:23" ht="15.5">
      <c r="J114" s="270" t="s">
        <v>412</v>
      </c>
      <c r="K114" s="282"/>
      <c r="L114" s="273">
        <f>L110*L113</f>
        <v>11312</v>
      </c>
      <c r="M114" s="273">
        <f t="shared" ref="M114:V114" si="258">M110*M113</f>
        <v>11593.754771200003</v>
      </c>
      <c r="N114" s="273">
        <f t="shared" si="258"/>
        <v>11882.527377539145</v>
      </c>
      <c r="O114" s="273">
        <f t="shared" si="258"/>
        <v>12178.49261644794</v>
      </c>
      <c r="P114" s="273">
        <f t="shared" si="258"/>
        <v>12481.829639141379</v>
      </c>
      <c r="Q114" s="273">
        <f t="shared" si="258"/>
        <v>12792.722059061256</v>
      </c>
      <c r="R114" s="273">
        <f t="shared" si="258"/>
        <v>13111.35806301953</v>
      </c>
      <c r="S114" s="273">
        <f t="shared" si="258"/>
        <v>13437.93052511</v>
      </c>
      <c r="T114" s="273">
        <f t="shared" si="258"/>
        <v>13772.637123457231</v>
      </c>
      <c r="U114" s="273">
        <f t="shared" si="258"/>
        <v>14115.680459873454</v>
      </c>
      <c r="V114" s="273">
        <f t="shared" si="258"/>
        <v>14467.268182495798</v>
      </c>
    </row>
    <row r="115" spans="10:23">
      <c r="J115" s="285" t="s">
        <v>418</v>
      </c>
      <c r="K115" s="274"/>
      <c r="L115" s="274">
        <f>L112*0.03</f>
        <v>1696.8</v>
      </c>
      <c r="M115" s="274">
        <f t="shared" ref="M115:V115" si="259">M112*0.03</f>
        <v>1739.0632156800004</v>
      </c>
      <c r="N115" s="274">
        <f t="shared" si="259"/>
        <v>1782.3791066308718</v>
      </c>
      <c r="O115" s="274">
        <f t="shared" si="259"/>
        <v>1826.7738924671912</v>
      </c>
      <c r="P115" s="274">
        <f t="shared" si="259"/>
        <v>1872.2744458712068</v>
      </c>
      <c r="Q115" s="274">
        <f t="shared" si="259"/>
        <v>1918.9083088591888</v>
      </c>
      <c r="R115" s="274">
        <f t="shared" si="259"/>
        <v>1966.7037094529298</v>
      </c>
      <c r="S115" s="274">
        <f t="shared" si="259"/>
        <v>2015.6895787665001</v>
      </c>
      <c r="T115" s="274">
        <f t="shared" si="259"/>
        <v>2065.8955685185847</v>
      </c>
      <c r="U115" s="274">
        <f t="shared" si="259"/>
        <v>2117.3520689810184</v>
      </c>
      <c r="V115" s="274">
        <f t="shared" si="259"/>
        <v>2170.09022737437</v>
      </c>
    </row>
    <row r="116" spans="10:23">
      <c r="J116" s="285" t="s">
        <v>413</v>
      </c>
      <c r="K116" s="274"/>
      <c r="L116" s="284">
        <v>3000</v>
      </c>
      <c r="M116" s="274">
        <f>L116*(1+$G$12)</f>
        <v>3044.28</v>
      </c>
      <c r="N116" s="274">
        <f t="shared" ref="N116" si="260">M116*(1+$G$12)</f>
        <v>3089.2135728000007</v>
      </c>
      <c r="O116" s="274">
        <f t="shared" ref="O116" si="261">N116*(1+$G$12)</f>
        <v>3134.8103651345291</v>
      </c>
      <c r="P116" s="274">
        <f t="shared" ref="P116" si="262">O116*(1+$G$12)</f>
        <v>3181.0801661239152</v>
      </c>
      <c r="Q116" s="274">
        <f t="shared" ref="Q116" si="263">P116*(1+$G$12)</f>
        <v>3228.0329093759046</v>
      </c>
      <c r="R116" s="274">
        <f t="shared" ref="R116" si="264">Q116*(1+$G$12)</f>
        <v>3275.6786751182935</v>
      </c>
      <c r="S116" s="274">
        <f t="shared" ref="S116" si="265">R116*(1+$G$12)</f>
        <v>3324.0276923630399</v>
      </c>
      <c r="T116" s="274">
        <f t="shared" ref="T116" si="266">S116*(1+$G$12)</f>
        <v>3373.0903411023187</v>
      </c>
      <c r="U116" s="274">
        <f t="shared" ref="U116" si="267">T116*(1+$G$12)</f>
        <v>3422.8771545369891</v>
      </c>
      <c r="V116" s="274">
        <f t="shared" ref="V116" si="268">U116*(1+$G$12)</f>
        <v>3473.3988213379553</v>
      </c>
    </row>
    <row r="117" spans="10:23" ht="15.5">
      <c r="J117" s="270" t="s">
        <v>35</v>
      </c>
      <c r="K117" s="282"/>
      <c r="L117" s="273">
        <f>L115+L116</f>
        <v>4696.8</v>
      </c>
      <c r="M117" s="273">
        <f t="shared" ref="M117:V117" si="269">M115+M116</f>
        <v>4783.3432156800009</v>
      </c>
      <c r="N117" s="273">
        <f t="shared" si="269"/>
        <v>4871.5926794308725</v>
      </c>
      <c r="O117" s="273">
        <f t="shared" si="269"/>
        <v>4961.5842576017203</v>
      </c>
      <c r="P117" s="273">
        <f t="shared" si="269"/>
        <v>5053.3546119951225</v>
      </c>
      <c r="Q117" s="273">
        <f t="shared" si="269"/>
        <v>5146.9412182350934</v>
      </c>
      <c r="R117" s="273">
        <f t="shared" si="269"/>
        <v>5242.3823845712232</v>
      </c>
      <c r="S117" s="273">
        <f t="shared" si="269"/>
        <v>5339.7172711295398</v>
      </c>
      <c r="T117" s="273">
        <f t="shared" si="269"/>
        <v>5438.9859096209038</v>
      </c>
      <c r="U117" s="273">
        <f t="shared" si="269"/>
        <v>5540.2292235180075</v>
      </c>
      <c r="V117" s="273">
        <f t="shared" si="269"/>
        <v>5643.4890487123248</v>
      </c>
    </row>
    <row r="118" spans="10:23">
      <c r="J118" s="286" t="s">
        <v>414</v>
      </c>
      <c r="K118" s="274"/>
      <c r="L118" s="274">
        <f>L112-L114-L117</f>
        <v>40551.199999999997</v>
      </c>
      <c r="M118" s="274">
        <f t="shared" ref="M118:V118" si="270">M112-M114-M117</f>
        <v>41591.675869120008</v>
      </c>
      <c r="N118" s="274">
        <f t="shared" si="270"/>
        <v>42658.516830725712</v>
      </c>
      <c r="O118" s="274">
        <f t="shared" si="270"/>
        <v>43752.386208190044</v>
      </c>
      <c r="P118" s="274">
        <f t="shared" si="270"/>
        <v>44873.963944570394</v>
      </c>
      <c r="Q118" s="274">
        <f t="shared" si="270"/>
        <v>46023.947018009945</v>
      </c>
      <c r="R118" s="274">
        <f t="shared" si="270"/>
        <v>47203.04986750691</v>
      </c>
      <c r="S118" s="274">
        <f t="shared" si="270"/>
        <v>48412.004829310463</v>
      </c>
      <c r="T118" s="274">
        <f t="shared" si="270"/>
        <v>49651.562584208026</v>
      </c>
      <c r="U118" s="274">
        <f t="shared" si="270"/>
        <v>50922.492615975825</v>
      </c>
      <c r="V118" s="274">
        <f t="shared" si="270"/>
        <v>52225.58368127088</v>
      </c>
    </row>
    <row r="119" spans="10:23">
      <c r="J119" s="286" t="s">
        <v>415</v>
      </c>
      <c r="K119" s="274"/>
      <c r="L119" s="274">
        <f>L118*$G$13</f>
        <v>16220.48</v>
      </c>
      <c r="M119" s="274">
        <f t="shared" ref="M119:Q119" si="271">M118*$G$13</f>
        <v>16636.670347648003</v>
      </c>
      <c r="N119" s="274">
        <f t="shared" si="271"/>
        <v>17063.406732290285</v>
      </c>
      <c r="O119" s="274">
        <f t="shared" si="271"/>
        <v>17500.954483276018</v>
      </c>
      <c r="P119" s="274">
        <f t="shared" si="271"/>
        <v>17949.585577828158</v>
      </c>
      <c r="Q119" s="274">
        <f t="shared" si="271"/>
        <v>18409.57880720398</v>
      </c>
      <c r="R119" s="274">
        <f>R118*$G$13</f>
        <v>18881.219947002766</v>
      </c>
      <c r="S119" s="274">
        <f t="shared" ref="S119:V119" si="272">S118*$G$13</f>
        <v>19364.801931724185</v>
      </c>
      <c r="T119" s="274">
        <f t="shared" si="272"/>
        <v>19860.625033683213</v>
      </c>
      <c r="U119" s="274">
        <f t="shared" si="272"/>
        <v>20368.99704639033</v>
      </c>
      <c r="V119" s="274">
        <f t="shared" si="272"/>
        <v>20890.233472508353</v>
      </c>
    </row>
    <row r="120" spans="10:23" ht="15.5">
      <c r="J120" s="270" t="s">
        <v>358</v>
      </c>
      <c r="K120" s="272"/>
      <c r="L120" s="273">
        <f>L118-L119</f>
        <v>24330.719999999998</v>
      </c>
      <c r="M120" s="273">
        <f t="shared" ref="M120:V120" si="273">M118-M119</f>
        <v>24955.005521472005</v>
      </c>
      <c r="N120" s="273">
        <f t="shared" si="273"/>
        <v>25595.110098435427</v>
      </c>
      <c r="O120" s="273">
        <f t="shared" si="273"/>
        <v>26251.431724914026</v>
      </c>
      <c r="P120" s="273">
        <f t="shared" si="273"/>
        <v>26924.378366742236</v>
      </c>
      <c r="Q120" s="273">
        <f t="shared" si="273"/>
        <v>27614.368210805966</v>
      </c>
      <c r="R120" s="273">
        <f t="shared" si="273"/>
        <v>28321.829920504144</v>
      </c>
      <c r="S120" s="273">
        <f t="shared" si="273"/>
        <v>29047.202897586278</v>
      </c>
      <c r="T120" s="273">
        <f t="shared" si="273"/>
        <v>29790.937550524814</v>
      </c>
      <c r="U120" s="273">
        <f t="shared" si="273"/>
        <v>30553.495569585495</v>
      </c>
      <c r="V120" s="273">
        <f t="shared" si="273"/>
        <v>31335.350208762527</v>
      </c>
    </row>
    <row r="121" spans="10:23" ht="15.5">
      <c r="J121" s="270" t="s">
        <v>419</v>
      </c>
      <c r="K121" s="272"/>
      <c r="L121" s="273">
        <f>M112*$G$14</f>
        <v>9661.4623093333357</v>
      </c>
      <c r="M121" s="273">
        <f t="shared" ref="M121" si="274">N112*$G$14</f>
        <v>9902.1061479492873</v>
      </c>
      <c r="N121" s="273">
        <f t="shared" ref="N121" si="275">O112*$G$14</f>
        <v>10148.74384703995</v>
      </c>
      <c r="O121" s="273">
        <f t="shared" ref="O121" si="276">P112*$G$14</f>
        <v>10401.524699284482</v>
      </c>
      <c r="P121" s="273">
        <f t="shared" ref="P121" si="277">Q112*$G$14</f>
        <v>10660.601715884382</v>
      </c>
      <c r="Q121" s="273">
        <f t="shared" ref="Q121" si="278">R112*$G$14</f>
        <v>10926.131719182944</v>
      </c>
      <c r="R121" s="273">
        <f t="shared" ref="R121" si="279">S112*$G$14</f>
        <v>11198.275437591667</v>
      </c>
      <c r="S121" s="273">
        <f t="shared" ref="S121" si="280">T112*$G$14</f>
        <v>11477.197602881026</v>
      </c>
      <c r="T121" s="273">
        <f t="shared" ref="T121" si="281">U112*$G$14</f>
        <v>11763.067049894547</v>
      </c>
      <c r="U121" s="273">
        <f t="shared" ref="U121" si="282">V112*$G$14</f>
        <v>12056.0568187465</v>
      </c>
      <c r="V121" s="273">
        <f t="shared" ref="V121" si="283">W112*$G$14</f>
        <v>0</v>
      </c>
    </row>
    <row r="122" spans="10:23" ht="16" thickBot="1">
      <c r="J122" s="270" t="s">
        <v>416</v>
      </c>
      <c r="K122" s="290">
        <f>L112*$G$14</f>
        <v>9426.6666666666661</v>
      </c>
      <c r="L122" s="273">
        <f>L121-K122</f>
        <v>234.79564266666966</v>
      </c>
      <c r="M122" s="273">
        <f>M121-L121</f>
        <v>240.64383861595161</v>
      </c>
      <c r="N122" s="273">
        <f t="shared" ref="N122" si="284">N121-M121</f>
        <v>246.63769909066286</v>
      </c>
      <c r="O122" s="273">
        <f t="shared" ref="O122" si="285">O121-N121</f>
        <v>252.78085224453207</v>
      </c>
      <c r="P122" s="273">
        <f t="shared" ref="P122" si="286">P121-O121</f>
        <v>259.07701659990016</v>
      </c>
      <c r="Q122" s="273">
        <f t="shared" ref="Q122" si="287">Q121-P121</f>
        <v>265.5300032985615</v>
      </c>
      <c r="R122" s="273">
        <f t="shared" ref="R122" si="288">R121-Q121</f>
        <v>272.14371840872263</v>
      </c>
      <c r="S122" s="273">
        <f t="shared" ref="S122" si="289">S121-R121</f>
        <v>278.92216528935933</v>
      </c>
      <c r="T122" s="273">
        <f t="shared" ref="T122" si="290">T121-S121</f>
        <v>285.86944701352149</v>
      </c>
      <c r="U122" s="273">
        <f t="shared" ref="U122" si="291">U121-T121</f>
        <v>292.98976885195225</v>
      </c>
      <c r="V122" s="273">
        <f t="shared" ref="V122" si="292">V121-U121</f>
        <v>-12056.0568187465</v>
      </c>
    </row>
    <row r="123" spans="10:23" ht="15.5">
      <c r="J123" s="271" t="s">
        <v>417</v>
      </c>
      <c r="K123" s="275">
        <f>K120-K122</f>
        <v>-9426.6666666666661</v>
      </c>
      <c r="L123" s="275">
        <f>L120-L122</f>
        <v>24095.92435733333</v>
      </c>
      <c r="M123" s="275">
        <f>M120-M122</f>
        <v>24714.361682856055</v>
      </c>
      <c r="N123" s="275">
        <f t="shared" ref="N123:V123" si="293">N120-N122</f>
        <v>25348.472399344762</v>
      </c>
      <c r="O123" s="275">
        <f t="shared" si="293"/>
        <v>25998.650872669496</v>
      </c>
      <c r="P123" s="275">
        <f t="shared" si="293"/>
        <v>26665.301350142334</v>
      </c>
      <c r="Q123" s="275">
        <f t="shared" si="293"/>
        <v>27348.838207507404</v>
      </c>
      <c r="R123" s="275">
        <f t="shared" si="293"/>
        <v>28049.686202095421</v>
      </c>
      <c r="S123" s="275">
        <f t="shared" si="293"/>
        <v>28768.280732296917</v>
      </c>
      <c r="T123" s="275">
        <f t="shared" si="293"/>
        <v>29505.068103511294</v>
      </c>
      <c r="U123" s="275">
        <f t="shared" si="293"/>
        <v>30260.505800733543</v>
      </c>
      <c r="V123" s="275">
        <f t="shared" si="293"/>
        <v>43391.407027509027</v>
      </c>
      <c r="W123" s="295" t="s">
        <v>360</v>
      </c>
    </row>
    <row r="124" spans="10:23" ht="16" thickBot="1">
      <c r="J124" s="271" t="s">
        <v>367</v>
      </c>
      <c r="K124" s="291">
        <f>K123/(1+$G$16)^(K107-$G$15)</f>
        <v>-6154.9299558999173</v>
      </c>
      <c r="L124" s="291">
        <f>L123/(1+$G$16)^(L107-$G$15)</f>
        <v>14142.45471762751</v>
      </c>
      <c r="M124" s="291">
        <f t="shared" ref="M124:V124" si="294">M123/(1+$G$16)^(M107-$G$15)</f>
        <v>13039.076847366283</v>
      </c>
      <c r="N124" s="291">
        <f t="shared" si="294"/>
        <v>12021.68876390631</v>
      </c>
      <c r="O124" s="291">
        <f t="shared" si="294"/>
        <v>11083.597375687159</v>
      </c>
      <c r="P124" s="291">
        <f t="shared" si="294"/>
        <v>10218.629811656132</v>
      </c>
      <c r="Q124" s="291">
        <f t="shared" si="294"/>
        <v>9421.0930530398546</v>
      </c>
      <c r="R124" s="291">
        <f t="shared" si="294"/>
        <v>8685.7366917609925</v>
      </c>
      <c r="S124" s="291">
        <f t="shared" si="294"/>
        <v>8007.7185738538847</v>
      </c>
      <c r="T124" s="291">
        <f t="shared" si="294"/>
        <v>7382.5731048618209</v>
      </c>
      <c r="U124" s="291">
        <f t="shared" si="294"/>
        <v>6806.1820113963749</v>
      </c>
      <c r="V124" s="291">
        <f t="shared" si="294"/>
        <v>8772.9842570372202</v>
      </c>
      <c r="W124" s="294">
        <f>SUM(K124:V124)</f>
        <v>103426.80525229362</v>
      </c>
    </row>
    <row r="129" spans="10:22">
      <c r="J129">
        <v>1112111</v>
      </c>
    </row>
    <row r="131" spans="10:22" ht="15.5">
      <c r="J131" s="276" t="s">
        <v>407</v>
      </c>
      <c r="K131" s="276">
        <v>2013</v>
      </c>
      <c r="L131" s="276">
        <v>2014</v>
      </c>
      <c r="M131" s="276">
        <v>2015</v>
      </c>
      <c r="N131" s="276">
        <v>2016</v>
      </c>
      <c r="O131" s="276">
        <v>2017</v>
      </c>
      <c r="P131" s="276">
        <v>2018</v>
      </c>
      <c r="Q131" s="276">
        <v>2019</v>
      </c>
      <c r="R131" s="276">
        <v>2020</v>
      </c>
      <c r="S131" s="276">
        <v>2021</v>
      </c>
      <c r="T131" s="276">
        <v>2022</v>
      </c>
      <c r="U131" s="276">
        <v>2023</v>
      </c>
      <c r="V131" s="276">
        <v>2024</v>
      </c>
    </row>
    <row r="132" spans="10:22">
      <c r="J132" s="269" t="s">
        <v>33</v>
      </c>
      <c r="K132" s="277">
        <f>Données!$C$5</f>
        <v>560000</v>
      </c>
      <c r="L132" s="278">
        <f>K132*(1+$D$12)</f>
        <v>571200</v>
      </c>
      <c r="M132" s="278">
        <f t="shared" ref="M132:V132" si="295">L132*(1+$D$12)</f>
        <v>582624</v>
      </c>
      <c r="N132" s="278">
        <f t="shared" si="295"/>
        <v>594276.48</v>
      </c>
      <c r="O132" s="278">
        <f t="shared" si="295"/>
        <v>606162.00959999999</v>
      </c>
      <c r="P132" s="278">
        <f t="shared" si="295"/>
        <v>618285.24979200005</v>
      </c>
      <c r="Q132" s="278">
        <f t="shared" si="295"/>
        <v>630650.95478784002</v>
      </c>
      <c r="R132" s="278">
        <f t="shared" si="295"/>
        <v>643263.97388359683</v>
      </c>
      <c r="S132" s="278">
        <f t="shared" si="295"/>
        <v>656129.25336126878</v>
      </c>
      <c r="T132" s="278">
        <f t="shared" si="295"/>
        <v>669251.83842849417</v>
      </c>
      <c r="U132" s="278">
        <f t="shared" si="295"/>
        <v>682636.87519706402</v>
      </c>
      <c r="V132" s="278">
        <f t="shared" si="295"/>
        <v>696289.6127010053</v>
      </c>
    </row>
    <row r="133" spans="10:22">
      <c r="J133" s="269" t="s">
        <v>408</v>
      </c>
      <c r="K133" s="279"/>
      <c r="L133" s="278">
        <f>L132*$D$14</f>
        <v>571200</v>
      </c>
      <c r="M133" s="278">
        <f t="shared" ref="M133:V133" si="296">M132*$D$14</f>
        <v>582624</v>
      </c>
      <c r="N133" s="278">
        <f t="shared" si="296"/>
        <v>594276.48</v>
      </c>
      <c r="O133" s="278">
        <f t="shared" si="296"/>
        <v>606162.00959999999</v>
      </c>
      <c r="P133" s="278">
        <f t="shared" si="296"/>
        <v>618285.24979200005</v>
      </c>
      <c r="Q133" s="278">
        <f t="shared" si="296"/>
        <v>630650.95478784002</v>
      </c>
      <c r="R133" s="278">
        <f t="shared" si="296"/>
        <v>643263.97388359683</v>
      </c>
      <c r="S133" s="278">
        <f t="shared" si="296"/>
        <v>656129.25336126878</v>
      </c>
      <c r="T133" s="278">
        <f t="shared" si="296"/>
        <v>669251.83842849417</v>
      </c>
      <c r="U133" s="278">
        <f t="shared" si="296"/>
        <v>682636.87519706402</v>
      </c>
      <c r="V133" s="278">
        <f t="shared" si="296"/>
        <v>696289.6127010053</v>
      </c>
    </row>
    <row r="134" spans="10:22">
      <c r="J134" s="269" t="s">
        <v>409</v>
      </c>
      <c r="K134" s="280"/>
      <c r="L134" s="278">
        <f>L133*$D$16</f>
        <v>285600</v>
      </c>
      <c r="M134" s="278">
        <f t="shared" ref="M134:V134" si="297">M133*$D$16</f>
        <v>291312</v>
      </c>
      <c r="N134" s="278">
        <f t="shared" si="297"/>
        <v>297138.24</v>
      </c>
      <c r="O134" s="278">
        <f t="shared" si="297"/>
        <v>303081.0048</v>
      </c>
      <c r="P134" s="278">
        <f t="shared" si="297"/>
        <v>309142.62489600002</v>
      </c>
      <c r="Q134" s="278">
        <f t="shared" si="297"/>
        <v>315325.47739392001</v>
      </c>
      <c r="R134" s="278">
        <f t="shared" si="297"/>
        <v>321631.98694179842</v>
      </c>
      <c r="S134" s="278">
        <f t="shared" si="297"/>
        <v>328064.62668063439</v>
      </c>
      <c r="T134" s="278">
        <f t="shared" si="297"/>
        <v>334625.91921424709</v>
      </c>
      <c r="U134" s="278">
        <f t="shared" si="297"/>
        <v>341318.43759853201</v>
      </c>
      <c r="V134" s="278">
        <f t="shared" si="297"/>
        <v>348144.80635050265</v>
      </c>
    </row>
    <row r="135" spans="10:22">
      <c r="J135" s="269" t="s">
        <v>410</v>
      </c>
      <c r="K135" s="281"/>
      <c r="L135" s="288">
        <f>1</f>
        <v>1</v>
      </c>
      <c r="M135" s="288">
        <f>L135*(1+$G$12)</f>
        <v>1.0147600000000001</v>
      </c>
      <c r="N135" s="288">
        <f t="shared" ref="N135" si="298">M135*(1+$G$12)</f>
        <v>1.0297378576000003</v>
      </c>
      <c r="O135" s="288">
        <f t="shared" ref="O135" si="299">N135*(1+$G$12)</f>
        <v>1.0449367883781764</v>
      </c>
      <c r="P135" s="288">
        <f t="shared" ref="P135" si="300">O135*(1+$G$12)</f>
        <v>1.0603600553746384</v>
      </c>
      <c r="Q135" s="288">
        <f t="shared" ref="Q135" si="301">P135*(1+$G$12)</f>
        <v>1.0760109697919682</v>
      </c>
      <c r="R135" s="288">
        <f t="shared" ref="R135" si="302">Q135*(1+$G$12)</f>
        <v>1.0918928917060977</v>
      </c>
      <c r="S135" s="288">
        <f t="shared" ref="S135" si="303">R135*(1+$G$12)</f>
        <v>1.1080092307876799</v>
      </c>
      <c r="T135" s="288">
        <f t="shared" ref="T135" si="304">S135*(1+$G$12)</f>
        <v>1.1243634470341062</v>
      </c>
      <c r="U135" s="288">
        <f t="shared" ref="U135" si="305">T135*(1+$G$12)</f>
        <v>1.1409590515123298</v>
      </c>
      <c r="V135" s="288">
        <f t="shared" ref="V135" si="306">U135*(1+$G$12)</f>
        <v>1.157799607112652</v>
      </c>
    </row>
    <row r="136" spans="10:22" ht="15.5">
      <c r="J136" s="270" t="s">
        <v>411</v>
      </c>
      <c r="K136" s="282"/>
      <c r="L136" s="273">
        <f>L134*L135</f>
        <v>285600</v>
      </c>
      <c r="M136" s="273">
        <f t="shared" ref="M136:V136" si="307">M134*M135</f>
        <v>295611.76512000005</v>
      </c>
      <c r="N136" s="273">
        <f t="shared" si="307"/>
        <v>305974.49466863467</v>
      </c>
      <c r="O136" s="273">
        <f t="shared" si="307"/>
        <v>316700.49177414266</v>
      </c>
      <c r="P136" s="273">
        <f t="shared" si="307"/>
        <v>327802.49085338367</v>
      </c>
      <c r="Q136" s="273">
        <f t="shared" si="307"/>
        <v>339293.6727307472</v>
      </c>
      <c r="R136" s="273">
        <f t="shared" si="307"/>
        <v>351187.68028705812</v>
      </c>
      <c r="S136" s="273">
        <f t="shared" si="307"/>
        <v>363498.63465705706</v>
      </c>
      <c r="T136" s="273">
        <f t="shared" si="307"/>
        <v>376241.15199468721</v>
      </c>
      <c r="U136" s="273">
        <f t="shared" si="307"/>
        <v>389430.36082609138</v>
      </c>
      <c r="V136" s="273">
        <f t="shared" si="307"/>
        <v>403081.92001092224</v>
      </c>
    </row>
    <row r="137" spans="10:22">
      <c r="J137" s="283" t="s">
        <v>34</v>
      </c>
      <c r="K137" s="274"/>
      <c r="L137" s="289">
        <f>D21</f>
        <v>0.15</v>
      </c>
      <c r="M137" s="289">
        <f>L137*(1+$G$12)</f>
        <v>0.15221400000000002</v>
      </c>
      <c r="N137" s="289">
        <f t="shared" ref="N137" si="308">M137*(1+$G$12)</f>
        <v>0.15446067864000004</v>
      </c>
      <c r="O137" s="289">
        <f t="shared" ref="O137" si="309">N137*(1+$G$12)</f>
        <v>0.15674051825672647</v>
      </c>
      <c r="P137" s="289">
        <f t="shared" ref="P137" si="310">O137*(1+$G$12)</f>
        <v>0.15905400830619576</v>
      </c>
      <c r="Q137" s="289">
        <f t="shared" ref="Q137" si="311">P137*(1+$G$12)</f>
        <v>0.16140164546879524</v>
      </c>
      <c r="R137" s="289">
        <f t="shared" ref="R137" si="312">Q137*(1+$G$12)</f>
        <v>0.16378393375591466</v>
      </c>
      <c r="S137" s="289">
        <f t="shared" ref="S137" si="313">R137*(1+$G$12)</f>
        <v>0.16620138461815198</v>
      </c>
      <c r="T137" s="289">
        <f t="shared" ref="T137" si="314">S137*(1+$G$12)</f>
        <v>0.16865451705511592</v>
      </c>
      <c r="U137" s="289">
        <f t="shared" ref="U137" si="315">T137*(1+$G$12)</f>
        <v>0.17114385772684945</v>
      </c>
      <c r="V137" s="289">
        <f t="shared" ref="V137" si="316">U137*(1+$G$12)</f>
        <v>0.17366994106689776</v>
      </c>
    </row>
    <row r="138" spans="10:22" ht="15.5">
      <c r="J138" s="270" t="s">
        <v>412</v>
      </c>
      <c r="K138" s="282"/>
      <c r="L138" s="273">
        <f>L134*L137</f>
        <v>42840</v>
      </c>
      <c r="M138" s="273">
        <f t="shared" ref="M138:V138" si="317">M134*M137</f>
        <v>44341.764768000008</v>
      </c>
      <c r="N138" s="273">
        <f t="shared" si="317"/>
        <v>45896.174200295201</v>
      </c>
      <c r="O138" s="273">
        <f t="shared" si="317"/>
        <v>47505.073766121401</v>
      </c>
      <c r="P138" s="273">
        <f t="shared" si="317"/>
        <v>49170.373628007546</v>
      </c>
      <c r="Q138" s="273">
        <f t="shared" si="317"/>
        <v>50894.05090961208</v>
      </c>
      <c r="R138" s="273">
        <f t="shared" si="317"/>
        <v>52678.152043058719</v>
      </c>
      <c r="S138" s="273">
        <f t="shared" si="317"/>
        <v>54524.795198558561</v>
      </c>
      <c r="T138" s="273">
        <f t="shared" si="317"/>
        <v>56436.172799203079</v>
      </c>
      <c r="U138" s="273">
        <f t="shared" si="317"/>
        <v>58414.554123913702</v>
      </c>
      <c r="V138" s="273">
        <f t="shared" si="317"/>
        <v>60462.288001638328</v>
      </c>
    </row>
    <row r="139" spans="10:22">
      <c r="J139" s="285" t="s">
        <v>418</v>
      </c>
      <c r="K139" s="274"/>
      <c r="L139" s="274">
        <f>L136*0.03</f>
        <v>8568</v>
      </c>
      <c r="M139" s="274">
        <f t="shared" ref="M139:V139" si="318">M136*0.03</f>
        <v>8868.3529536000005</v>
      </c>
      <c r="N139" s="274">
        <f t="shared" si="318"/>
        <v>9179.2348400590399</v>
      </c>
      <c r="O139" s="274">
        <f t="shared" si="318"/>
        <v>9501.014753224279</v>
      </c>
      <c r="P139" s="274">
        <f t="shared" si="318"/>
        <v>9834.0747256015093</v>
      </c>
      <c r="Q139" s="274">
        <f t="shared" si="318"/>
        <v>10178.810181922416</v>
      </c>
      <c r="R139" s="274">
        <f t="shared" si="318"/>
        <v>10535.630408611743</v>
      </c>
      <c r="S139" s="274">
        <f t="shared" si="318"/>
        <v>10904.959039711712</v>
      </c>
      <c r="T139" s="274">
        <f t="shared" si="318"/>
        <v>11287.234559840615</v>
      </c>
      <c r="U139" s="274">
        <f t="shared" si="318"/>
        <v>11682.910824782741</v>
      </c>
      <c r="V139" s="274">
        <f t="shared" si="318"/>
        <v>12092.457600327667</v>
      </c>
    </row>
    <row r="140" spans="10:22">
      <c r="J140" s="285" t="s">
        <v>413</v>
      </c>
      <c r="K140" s="274"/>
      <c r="L140" s="284">
        <v>3000</v>
      </c>
      <c r="M140" s="274">
        <f>L140*(1+$G$12)</f>
        <v>3044.28</v>
      </c>
      <c r="N140" s="274">
        <f t="shared" ref="N140" si="319">M140*(1+$G$12)</f>
        <v>3089.2135728000007</v>
      </c>
      <c r="O140" s="274">
        <f t="shared" ref="O140" si="320">N140*(1+$G$12)</f>
        <v>3134.8103651345291</v>
      </c>
      <c r="P140" s="274">
        <f t="shared" ref="P140" si="321">O140*(1+$G$12)</f>
        <v>3181.0801661239152</v>
      </c>
      <c r="Q140" s="274">
        <f t="shared" ref="Q140" si="322">P140*(1+$G$12)</f>
        <v>3228.0329093759046</v>
      </c>
      <c r="R140" s="274">
        <f t="shared" ref="R140" si="323">Q140*(1+$G$12)</f>
        <v>3275.6786751182935</v>
      </c>
      <c r="S140" s="274">
        <f t="shared" ref="S140" si="324">R140*(1+$G$12)</f>
        <v>3324.0276923630399</v>
      </c>
      <c r="T140" s="274">
        <f t="shared" ref="T140" si="325">S140*(1+$G$12)</f>
        <v>3373.0903411023187</v>
      </c>
      <c r="U140" s="274">
        <f t="shared" ref="U140" si="326">T140*(1+$G$12)</f>
        <v>3422.8771545369891</v>
      </c>
      <c r="V140" s="274">
        <f t="shared" ref="V140" si="327">U140*(1+$G$12)</f>
        <v>3473.3988213379553</v>
      </c>
    </row>
    <row r="141" spans="10:22" ht="15.5">
      <c r="J141" s="270" t="s">
        <v>35</v>
      </c>
      <c r="K141" s="282"/>
      <c r="L141" s="273">
        <f>L139+L140</f>
        <v>11568</v>
      </c>
      <c r="M141" s="273">
        <f t="shared" ref="M141:V141" si="328">M139+M140</f>
        <v>11912.632953600001</v>
      </c>
      <c r="N141" s="273">
        <f t="shared" si="328"/>
        <v>12268.448412859041</v>
      </c>
      <c r="O141" s="273">
        <f t="shared" si="328"/>
        <v>12635.825118358807</v>
      </c>
      <c r="P141" s="273">
        <f t="shared" si="328"/>
        <v>13015.154891725424</v>
      </c>
      <c r="Q141" s="273">
        <f t="shared" si="328"/>
        <v>13406.84309129832</v>
      </c>
      <c r="R141" s="273">
        <f t="shared" si="328"/>
        <v>13811.309083730037</v>
      </c>
      <c r="S141" s="273">
        <f t="shared" si="328"/>
        <v>14228.986732074751</v>
      </c>
      <c r="T141" s="273">
        <f t="shared" si="328"/>
        <v>14660.324900942935</v>
      </c>
      <c r="U141" s="273">
        <f t="shared" si="328"/>
        <v>15105.78797931973</v>
      </c>
      <c r="V141" s="273">
        <f t="shared" si="328"/>
        <v>15565.856421665623</v>
      </c>
    </row>
    <row r="142" spans="10:22">
      <c r="J142" s="286" t="s">
        <v>414</v>
      </c>
      <c r="K142" s="274"/>
      <c r="L142" s="274">
        <f>L136-L138-L141</f>
        <v>231192</v>
      </c>
      <c r="M142" s="274">
        <f t="shared" ref="M142:V142" si="329">M136-M138-M141</f>
        <v>239357.36739840006</v>
      </c>
      <c r="N142" s="274">
        <f t="shared" si="329"/>
        <v>247809.87205548043</v>
      </c>
      <c r="O142" s="274">
        <f t="shared" si="329"/>
        <v>256559.59288966245</v>
      </c>
      <c r="P142" s="274">
        <f t="shared" si="329"/>
        <v>265616.96233365074</v>
      </c>
      <c r="Q142" s="274">
        <f t="shared" si="329"/>
        <v>274992.77872983681</v>
      </c>
      <c r="R142" s="274">
        <f t="shared" si="329"/>
        <v>284698.21916026936</v>
      </c>
      <c r="S142" s="274">
        <f t="shared" si="329"/>
        <v>294744.85272642376</v>
      </c>
      <c r="T142" s="274">
        <f t="shared" si="329"/>
        <v>305144.65429454122</v>
      </c>
      <c r="U142" s="274">
        <f t="shared" si="329"/>
        <v>315910.01872285793</v>
      </c>
      <c r="V142" s="274">
        <f t="shared" si="329"/>
        <v>327053.77558761829</v>
      </c>
    </row>
    <row r="143" spans="10:22">
      <c r="J143" s="286" t="s">
        <v>415</v>
      </c>
      <c r="K143" s="274"/>
      <c r="L143" s="274">
        <f>L142*$G$13</f>
        <v>92476.800000000003</v>
      </c>
      <c r="M143" s="274">
        <f t="shared" ref="M143:Q143" si="330">M142*$G$13</f>
        <v>95742.946959360037</v>
      </c>
      <c r="N143" s="274">
        <f t="shared" si="330"/>
        <v>99123.948822192178</v>
      </c>
      <c r="O143" s="274">
        <f t="shared" si="330"/>
        <v>102623.83715586498</v>
      </c>
      <c r="P143" s="274">
        <f t="shared" si="330"/>
        <v>106246.78493346029</v>
      </c>
      <c r="Q143" s="274">
        <f t="shared" si="330"/>
        <v>109997.11149193473</v>
      </c>
      <c r="R143" s="274">
        <f>R142*$G$13</f>
        <v>113879.28766410775</v>
      </c>
      <c r="S143" s="274">
        <f t="shared" ref="S143:V143" si="331">S142*$G$13</f>
        <v>117897.94109056951</v>
      </c>
      <c r="T143" s="274">
        <f t="shared" si="331"/>
        <v>122057.8617178165</v>
      </c>
      <c r="U143" s="274">
        <f t="shared" si="331"/>
        <v>126364.00748914317</v>
      </c>
      <c r="V143" s="274">
        <f t="shared" si="331"/>
        <v>130821.51023504732</v>
      </c>
    </row>
    <row r="144" spans="10:22" ht="15.5">
      <c r="J144" s="270" t="s">
        <v>358</v>
      </c>
      <c r="K144" s="272"/>
      <c r="L144" s="273">
        <f>L142-L143</f>
        <v>138715.20000000001</v>
      </c>
      <c r="M144" s="273">
        <f t="shared" ref="M144:V144" si="332">M142-M143</f>
        <v>143614.42043904003</v>
      </c>
      <c r="N144" s="273">
        <f t="shared" si="332"/>
        <v>148685.92323328825</v>
      </c>
      <c r="O144" s="273">
        <f t="shared" si="332"/>
        <v>153935.75573379747</v>
      </c>
      <c r="P144" s="273">
        <f t="shared" si="332"/>
        <v>159370.17740019044</v>
      </c>
      <c r="Q144" s="273">
        <f t="shared" si="332"/>
        <v>164995.66723790206</v>
      </c>
      <c r="R144" s="273">
        <f t="shared" si="332"/>
        <v>170818.93149616162</v>
      </c>
      <c r="S144" s="273">
        <f t="shared" si="332"/>
        <v>176846.91163585425</v>
      </c>
      <c r="T144" s="273">
        <f t="shared" si="332"/>
        <v>183086.79257672472</v>
      </c>
      <c r="U144" s="273">
        <f t="shared" si="332"/>
        <v>189546.01123371476</v>
      </c>
      <c r="V144" s="273">
        <f t="shared" si="332"/>
        <v>196232.26535257098</v>
      </c>
    </row>
    <row r="145" spans="10:23" ht="15.5">
      <c r="J145" s="270" t="s">
        <v>419</v>
      </c>
      <c r="K145" s="272"/>
      <c r="L145" s="273">
        <f>M136*$G$14</f>
        <v>49268.627520000009</v>
      </c>
      <c r="M145" s="273">
        <f t="shared" ref="M145" si="333">N136*$G$14</f>
        <v>50995.749111439109</v>
      </c>
      <c r="N145" s="273">
        <f t="shared" ref="N145" si="334">O136*$G$14</f>
        <v>52783.415295690444</v>
      </c>
      <c r="O145" s="273">
        <f t="shared" ref="O145" si="335">P136*$G$14</f>
        <v>54633.748475563945</v>
      </c>
      <c r="P145" s="273">
        <f t="shared" ref="P145" si="336">Q136*$G$14</f>
        <v>56548.945455124529</v>
      </c>
      <c r="Q145" s="273">
        <f t="shared" ref="Q145" si="337">R136*$G$14</f>
        <v>58531.280047843014</v>
      </c>
      <c r="R145" s="273">
        <f t="shared" ref="R145" si="338">S136*$G$14</f>
        <v>60583.105776176177</v>
      </c>
      <c r="S145" s="273">
        <f t="shared" ref="S145" si="339">T136*$G$14</f>
        <v>62706.858665781197</v>
      </c>
      <c r="T145" s="273">
        <f t="shared" ref="T145" si="340">U136*$G$14</f>
        <v>64905.060137681896</v>
      </c>
      <c r="U145" s="273">
        <f t="shared" ref="U145" si="341">V136*$G$14</f>
        <v>67180.320001820364</v>
      </c>
      <c r="V145" s="273">
        <f t="shared" ref="V145" si="342">W136*$G$14</f>
        <v>0</v>
      </c>
    </row>
    <row r="146" spans="10:23" ht="16" thickBot="1">
      <c r="J146" s="270" t="s">
        <v>416</v>
      </c>
      <c r="K146" s="290">
        <f>L136*$G$14</f>
        <v>47600</v>
      </c>
      <c r="L146" s="273">
        <f>L145-K146</f>
        <v>1668.6275200000091</v>
      </c>
      <c r="M146" s="273">
        <f>M145-L145</f>
        <v>1727.1215914390996</v>
      </c>
      <c r="N146" s="273">
        <f t="shared" ref="N146" si="343">N145-M145</f>
        <v>1787.6661842513349</v>
      </c>
      <c r="O146" s="273">
        <f t="shared" ref="O146" si="344">O145-N145</f>
        <v>1850.3331798735016</v>
      </c>
      <c r="P146" s="273">
        <f t="shared" ref="P146" si="345">P145-O145</f>
        <v>1915.1969795605837</v>
      </c>
      <c r="Q146" s="273">
        <f t="shared" ref="Q146" si="346">Q145-P145</f>
        <v>1982.3345927184855</v>
      </c>
      <c r="R146" s="273">
        <f t="shared" ref="R146" si="347">R145-Q145</f>
        <v>2051.8257283331623</v>
      </c>
      <c r="S146" s="273">
        <f t="shared" ref="S146" si="348">S145-R145</f>
        <v>2123.7528896050208</v>
      </c>
      <c r="T146" s="273">
        <f t="shared" ref="T146" si="349">T145-S145</f>
        <v>2198.2014719006984</v>
      </c>
      <c r="U146" s="273">
        <f t="shared" ref="U146" si="350">U145-T145</f>
        <v>2275.2598641384684</v>
      </c>
      <c r="V146" s="273">
        <f t="shared" ref="V146" si="351">V145-U145</f>
        <v>-67180.320001820364</v>
      </c>
    </row>
    <row r="147" spans="10:23" ht="15.5">
      <c r="J147" s="271" t="s">
        <v>417</v>
      </c>
      <c r="K147" s="275">
        <f>K144-K146</f>
        <v>-47600</v>
      </c>
      <c r="L147" s="275">
        <f>L144-L146</f>
        <v>137046.57248</v>
      </c>
      <c r="M147" s="275">
        <f>M144-M146</f>
        <v>141887.29884760093</v>
      </c>
      <c r="N147" s="275">
        <f t="shared" ref="N147:V147" si="352">N144-N146</f>
        <v>146898.25704903691</v>
      </c>
      <c r="O147" s="275">
        <f t="shared" si="352"/>
        <v>152085.42255392397</v>
      </c>
      <c r="P147" s="275">
        <f t="shared" si="352"/>
        <v>157454.98042062984</v>
      </c>
      <c r="Q147" s="275">
        <f t="shared" si="352"/>
        <v>163013.33264518357</v>
      </c>
      <c r="R147" s="275">
        <f t="shared" si="352"/>
        <v>168767.10576782847</v>
      </c>
      <c r="S147" s="275">
        <f t="shared" si="352"/>
        <v>174723.15874624922</v>
      </c>
      <c r="T147" s="275">
        <f t="shared" si="352"/>
        <v>180888.59110482404</v>
      </c>
      <c r="U147" s="275">
        <f t="shared" si="352"/>
        <v>187270.75136957629</v>
      </c>
      <c r="V147" s="275">
        <f t="shared" si="352"/>
        <v>263412.58535439137</v>
      </c>
      <c r="W147" s="295" t="s">
        <v>360</v>
      </c>
    </row>
    <row r="148" spans="10:23" ht="16" thickBot="1">
      <c r="J148" s="271" t="s">
        <v>367</v>
      </c>
      <c r="K148" s="291">
        <f>K147/(1+$G$16)^(K131-$G$15)</f>
        <v>-31079.34928226691</v>
      </c>
      <c r="L148" s="291">
        <f>L147/(1+$G$16)^(L131-$G$15)</f>
        <v>80435.799712933367</v>
      </c>
      <c r="M148" s="291">
        <f t="shared" ref="M148:V148" si="353">M147/(1+$G$16)^(M131-$G$15)</f>
        <v>74858.473671301152</v>
      </c>
      <c r="N148" s="291">
        <f t="shared" si="353"/>
        <v>69667.516779018086</v>
      </c>
      <c r="O148" s="291">
        <f t="shared" si="353"/>
        <v>64836.19471466307</v>
      </c>
      <c r="P148" s="291">
        <f t="shared" si="353"/>
        <v>60339.620235020986</v>
      </c>
      <c r="Q148" s="291">
        <f t="shared" si="353"/>
        <v>56154.625804720228</v>
      </c>
      <c r="R148" s="291">
        <f t="shared" si="353"/>
        <v>52259.644987416294</v>
      </c>
      <c r="S148" s="291">
        <f t="shared" si="353"/>
        <v>48634.601997748614</v>
      </c>
      <c r="T148" s="291">
        <f t="shared" si="353"/>
        <v>45260.808854323477</v>
      </c>
      <c r="U148" s="291">
        <f t="shared" si="353"/>
        <v>42120.869612212358</v>
      </c>
      <c r="V148" s="291">
        <f t="shared" si="353"/>
        <v>53257.421750681846</v>
      </c>
      <c r="W148" s="294">
        <f>SUM(K148:V148)</f>
        <v>616746.22883777251</v>
      </c>
    </row>
    <row r="153" spans="10:23">
      <c r="J153">
        <v>1112112</v>
      </c>
    </row>
    <row r="155" spans="10:23" ht="15.5">
      <c r="J155" s="276" t="s">
        <v>407</v>
      </c>
      <c r="K155" s="276">
        <v>2013</v>
      </c>
      <c r="L155" s="276">
        <v>2014</v>
      </c>
      <c r="M155" s="276">
        <v>2015</v>
      </c>
      <c r="N155" s="276">
        <v>2016</v>
      </c>
      <c r="O155" s="276">
        <v>2017</v>
      </c>
      <c r="P155" s="276">
        <v>2018</v>
      </c>
      <c r="Q155" s="276">
        <v>2019</v>
      </c>
      <c r="R155" s="276">
        <v>2020</v>
      </c>
      <c r="S155" s="276">
        <v>2021</v>
      </c>
      <c r="T155" s="276">
        <v>2022</v>
      </c>
      <c r="U155" s="276">
        <v>2023</v>
      </c>
      <c r="V155" s="276">
        <v>2024</v>
      </c>
    </row>
    <row r="156" spans="10:23">
      <c r="J156" s="269" t="s">
        <v>33</v>
      </c>
      <c r="K156" s="277">
        <f>Données!$C$5</f>
        <v>560000</v>
      </c>
      <c r="L156" s="278">
        <f>K156*(1+$D$13)</f>
        <v>565600</v>
      </c>
      <c r="M156" s="278">
        <f t="shared" ref="M156:V156" si="354">L156*(1+$D$13)</f>
        <v>571256</v>
      </c>
      <c r="N156" s="278">
        <f t="shared" si="354"/>
        <v>576968.56000000006</v>
      </c>
      <c r="O156" s="278">
        <f t="shared" si="354"/>
        <v>582738.24560000002</v>
      </c>
      <c r="P156" s="278">
        <f t="shared" si="354"/>
        <v>588565.62805599999</v>
      </c>
      <c r="Q156" s="278">
        <f t="shared" si="354"/>
        <v>594451.28433655994</v>
      </c>
      <c r="R156" s="278">
        <f t="shared" si="354"/>
        <v>600395.79717992549</v>
      </c>
      <c r="S156" s="278">
        <f t="shared" si="354"/>
        <v>606399.75515172479</v>
      </c>
      <c r="T156" s="278">
        <f t="shared" si="354"/>
        <v>612463.752703242</v>
      </c>
      <c r="U156" s="278">
        <f t="shared" si="354"/>
        <v>618588.39023027441</v>
      </c>
      <c r="V156" s="278">
        <f t="shared" si="354"/>
        <v>624774.27413257712</v>
      </c>
    </row>
    <row r="157" spans="10:23">
      <c r="J157" s="269" t="s">
        <v>408</v>
      </c>
      <c r="K157" s="279"/>
      <c r="L157" s="278">
        <f>L156*$D$14</f>
        <v>565600</v>
      </c>
      <c r="M157" s="278">
        <f t="shared" ref="M157" si="355">M156*$D$14</f>
        <v>571256</v>
      </c>
      <c r="N157" s="278">
        <f t="shared" ref="N157" si="356">N156*$D$14</f>
        <v>576968.56000000006</v>
      </c>
      <c r="O157" s="278">
        <f t="shared" ref="O157" si="357">O156*$D$14</f>
        <v>582738.24560000002</v>
      </c>
      <c r="P157" s="278">
        <f t="shared" ref="P157" si="358">P156*$D$14</f>
        <v>588565.62805599999</v>
      </c>
      <c r="Q157" s="278">
        <f t="shared" ref="Q157" si="359">Q156*$D$14</f>
        <v>594451.28433655994</v>
      </c>
      <c r="R157" s="278">
        <f t="shared" ref="R157" si="360">R156*$D$14</f>
        <v>600395.79717992549</v>
      </c>
      <c r="S157" s="278">
        <f t="shared" ref="S157" si="361">S156*$D$14</f>
        <v>606399.75515172479</v>
      </c>
      <c r="T157" s="278">
        <f t="shared" ref="T157" si="362">T156*$D$14</f>
        <v>612463.752703242</v>
      </c>
      <c r="U157" s="278">
        <f t="shared" ref="U157" si="363">U156*$D$14</f>
        <v>618588.39023027441</v>
      </c>
      <c r="V157" s="278">
        <f t="shared" ref="V157" si="364">V156*$D$14</f>
        <v>624774.27413257712</v>
      </c>
    </row>
    <row r="158" spans="10:23">
      <c r="J158" s="269" t="s">
        <v>409</v>
      </c>
      <c r="K158" s="280"/>
      <c r="L158" s="278">
        <f>L157*$D$16</f>
        <v>282800</v>
      </c>
      <c r="M158" s="278">
        <f t="shared" ref="M158" si="365">M157*$D$16</f>
        <v>285628</v>
      </c>
      <c r="N158" s="278">
        <f t="shared" ref="N158" si="366">N157*$D$16</f>
        <v>288484.28000000003</v>
      </c>
      <c r="O158" s="278">
        <f t="shared" ref="O158" si="367">O157*$D$16</f>
        <v>291369.12280000001</v>
      </c>
      <c r="P158" s="278">
        <f t="shared" ref="P158" si="368">P157*$D$16</f>
        <v>294282.81402799999</v>
      </c>
      <c r="Q158" s="278">
        <f t="shared" ref="Q158" si="369">Q157*$D$16</f>
        <v>297225.64216827997</v>
      </c>
      <c r="R158" s="278">
        <f t="shared" ref="R158" si="370">R157*$D$16</f>
        <v>300197.89858996274</v>
      </c>
      <c r="S158" s="278">
        <f t="shared" ref="S158" si="371">S157*$D$16</f>
        <v>303199.8775758624</v>
      </c>
      <c r="T158" s="278">
        <f t="shared" ref="T158" si="372">T157*$D$16</f>
        <v>306231.876351621</v>
      </c>
      <c r="U158" s="278">
        <f t="shared" ref="U158" si="373">U157*$D$16</f>
        <v>309294.1951151372</v>
      </c>
      <c r="V158" s="278">
        <f t="shared" ref="V158" si="374">V157*$D$16</f>
        <v>312387.13706628856</v>
      </c>
    </row>
    <row r="159" spans="10:23">
      <c r="J159" s="269" t="s">
        <v>410</v>
      </c>
      <c r="K159" s="281"/>
      <c r="L159" s="288">
        <f>1</f>
        <v>1</v>
      </c>
      <c r="M159" s="288">
        <f>L159*(1+$G$12)</f>
        <v>1.0147600000000001</v>
      </c>
      <c r="N159" s="288">
        <f t="shared" ref="N159" si="375">M159*(1+$G$12)</f>
        <v>1.0297378576000003</v>
      </c>
      <c r="O159" s="288">
        <f t="shared" ref="O159" si="376">N159*(1+$G$12)</f>
        <v>1.0449367883781764</v>
      </c>
      <c r="P159" s="288">
        <f t="shared" ref="P159" si="377">O159*(1+$G$12)</f>
        <v>1.0603600553746384</v>
      </c>
      <c r="Q159" s="288">
        <f t="shared" ref="Q159" si="378">P159*(1+$G$12)</f>
        <v>1.0760109697919682</v>
      </c>
      <c r="R159" s="288">
        <f t="shared" ref="R159" si="379">Q159*(1+$G$12)</f>
        <v>1.0918928917060977</v>
      </c>
      <c r="S159" s="288">
        <f t="shared" ref="S159" si="380">R159*(1+$G$12)</f>
        <v>1.1080092307876799</v>
      </c>
      <c r="T159" s="288">
        <f t="shared" ref="T159" si="381">S159*(1+$G$12)</f>
        <v>1.1243634470341062</v>
      </c>
      <c r="U159" s="288">
        <f t="shared" ref="U159" si="382">T159*(1+$G$12)</f>
        <v>1.1409590515123298</v>
      </c>
      <c r="V159" s="288">
        <f t="shared" ref="V159" si="383">U159*(1+$G$12)</f>
        <v>1.157799607112652</v>
      </c>
    </row>
    <row r="160" spans="10:23" ht="15.5">
      <c r="J160" s="270" t="s">
        <v>411</v>
      </c>
      <c r="K160" s="282"/>
      <c r="L160" s="273">
        <f>L158*L159</f>
        <v>282800</v>
      </c>
      <c r="M160" s="273">
        <f t="shared" ref="M160:V160" si="384">M158*M159</f>
        <v>289843.86928000004</v>
      </c>
      <c r="N160" s="273">
        <f t="shared" si="384"/>
        <v>297063.18443847861</v>
      </c>
      <c r="O160" s="273">
        <f t="shared" si="384"/>
        <v>304462.31541119848</v>
      </c>
      <c r="P160" s="273">
        <f t="shared" si="384"/>
        <v>312045.74097853451</v>
      </c>
      <c r="Q160" s="273">
        <f t="shared" si="384"/>
        <v>319818.05147653143</v>
      </c>
      <c r="R160" s="273">
        <f t="shared" si="384"/>
        <v>327783.95157548832</v>
      </c>
      <c r="S160" s="273">
        <f t="shared" si="384"/>
        <v>335948.26312775002</v>
      </c>
      <c r="T160" s="273">
        <f t="shared" si="384"/>
        <v>344315.92808643077</v>
      </c>
      <c r="U160" s="273">
        <f t="shared" si="384"/>
        <v>352892.01149683644</v>
      </c>
      <c r="V160" s="273">
        <f t="shared" si="384"/>
        <v>361681.70456239505</v>
      </c>
    </row>
    <row r="161" spans="10:23">
      <c r="J161" s="283" t="s">
        <v>34</v>
      </c>
      <c r="K161" s="274"/>
      <c r="L161" s="289">
        <f>D21</f>
        <v>0.15</v>
      </c>
      <c r="M161" s="289">
        <f>L161*(1+$G$12)</f>
        <v>0.15221400000000002</v>
      </c>
      <c r="N161" s="289">
        <f t="shared" ref="N161" si="385">M161*(1+$G$12)</f>
        <v>0.15446067864000004</v>
      </c>
      <c r="O161" s="289">
        <f t="shared" ref="O161" si="386">N161*(1+$G$12)</f>
        <v>0.15674051825672647</v>
      </c>
      <c r="P161" s="289">
        <f t="shared" ref="P161" si="387">O161*(1+$G$12)</f>
        <v>0.15905400830619576</v>
      </c>
      <c r="Q161" s="289">
        <f t="shared" ref="Q161" si="388">P161*(1+$G$12)</f>
        <v>0.16140164546879524</v>
      </c>
      <c r="R161" s="289">
        <f t="shared" ref="R161" si="389">Q161*(1+$G$12)</f>
        <v>0.16378393375591466</v>
      </c>
      <c r="S161" s="289">
        <f t="shared" ref="S161" si="390">R161*(1+$G$12)</f>
        <v>0.16620138461815198</v>
      </c>
      <c r="T161" s="289">
        <f t="shared" ref="T161" si="391">S161*(1+$G$12)</f>
        <v>0.16865451705511592</v>
      </c>
      <c r="U161" s="289">
        <f t="shared" ref="U161" si="392">T161*(1+$G$12)</f>
        <v>0.17114385772684945</v>
      </c>
      <c r="V161" s="289">
        <f t="shared" ref="V161" si="393">U161*(1+$G$12)</f>
        <v>0.17366994106689776</v>
      </c>
    </row>
    <row r="162" spans="10:23" ht="15.5">
      <c r="J162" s="270" t="s">
        <v>412</v>
      </c>
      <c r="K162" s="282"/>
      <c r="L162" s="273">
        <f>L158*L161</f>
        <v>42420</v>
      </c>
      <c r="M162" s="273">
        <f t="shared" ref="M162:V162" si="394">M158*M161</f>
        <v>43476.580392000003</v>
      </c>
      <c r="N162" s="273">
        <f t="shared" si="394"/>
        <v>44559.477665771796</v>
      </c>
      <c r="O162" s="273">
        <f t="shared" si="394"/>
        <v>45669.347311679776</v>
      </c>
      <c r="P162" s="273">
        <f t="shared" si="394"/>
        <v>46806.861146780175</v>
      </c>
      <c r="Q162" s="273">
        <f t="shared" si="394"/>
        <v>47972.707721479717</v>
      </c>
      <c r="R162" s="273">
        <f t="shared" si="394"/>
        <v>49167.592736323248</v>
      </c>
      <c r="S162" s="273">
        <f t="shared" si="394"/>
        <v>50392.239469162501</v>
      </c>
      <c r="T162" s="273">
        <f t="shared" si="394"/>
        <v>51647.389212964612</v>
      </c>
      <c r="U162" s="273">
        <f t="shared" si="394"/>
        <v>52933.80172452546</v>
      </c>
      <c r="V162" s="273">
        <f t="shared" si="394"/>
        <v>54252.255684359247</v>
      </c>
    </row>
    <row r="163" spans="10:23">
      <c r="J163" s="285" t="s">
        <v>418</v>
      </c>
      <c r="K163" s="274"/>
      <c r="L163" s="274">
        <f>L160*0.03</f>
        <v>8484</v>
      </c>
      <c r="M163" s="274">
        <f t="shared" ref="M163:V163" si="395">M160*0.03</f>
        <v>8695.3160784000011</v>
      </c>
      <c r="N163" s="274">
        <f t="shared" si="395"/>
        <v>8911.8955331543584</v>
      </c>
      <c r="O163" s="274">
        <f t="shared" si="395"/>
        <v>9133.8694623359534</v>
      </c>
      <c r="P163" s="274">
        <f t="shared" si="395"/>
        <v>9361.3722293560349</v>
      </c>
      <c r="Q163" s="274">
        <f t="shared" si="395"/>
        <v>9594.541544295942</v>
      </c>
      <c r="R163" s="274">
        <f t="shared" si="395"/>
        <v>9833.5185472646499</v>
      </c>
      <c r="S163" s="274">
        <f t="shared" si="395"/>
        <v>10078.447893832501</v>
      </c>
      <c r="T163" s="274">
        <f t="shared" si="395"/>
        <v>10329.477842592923</v>
      </c>
      <c r="U163" s="274">
        <f t="shared" si="395"/>
        <v>10586.760344905093</v>
      </c>
      <c r="V163" s="274">
        <f t="shared" si="395"/>
        <v>10850.45113687185</v>
      </c>
    </row>
    <row r="164" spans="10:23">
      <c r="J164" s="285" t="s">
        <v>413</v>
      </c>
      <c r="K164" s="274"/>
      <c r="L164" s="284">
        <v>3000</v>
      </c>
      <c r="M164" s="274">
        <f>L164*(1+$G$12)</f>
        <v>3044.28</v>
      </c>
      <c r="N164" s="274">
        <f t="shared" ref="N164" si="396">M164*(1+$G$12)</f>
        <v>3089.2135728000007</v>
      </c>
      <c r="O164" s="274">
        <f t="shared" ref="O164" si="397">N164*(1+$G$12)</f>
        <v>3134.8103651345291</v>
      </c>
      <c r="P164" s="274">
        <f t="shared" ref="P164" si="398">O164*(1+$G$12)</f>
        <v>3181.0801661239152</v>
      </c>
      <c r="Q164" s="274">
        <f t="shared" ref="Q164" si="399">P164*(1+$G$12)</f>
        <v>3228.0329093759046</v>
      </c>
      <c r="R164" s="274">
        <f t="shared" ref="R164" si="400">Q164*(1+$G$12)</f>
        <v>3275.6786751182935</v>
      </c>
      <c r="S164" s="274">
        <f t="shared" ref="S164" si="401">R164*(1+$G$12)</f>
        <v>3324.0276923630399</v>
      </c>
      <c r="T164" s="274">
        <f t="shared" ref="T164" si="402">S164*(1+$G$12)</f>
        <v>3373.0903411023187</v>
      </c>
      <c r="U164" s="274">
        <f t="shared" ref="U164" si="403">T164*(1+$G$12)</f>
        <v>3422.8771545369891</v>
      </c>
      <c r="V164" s="274">
        <f t="shared" ref="V164" si="404">U164*(1+$G$12)</f>
        <v>3473.3988213379553</v>
      </c>
    </row>
    <row r="165" spans="10:23" ht="15.5">
      <c r="J165" s="270" t="s">
        <v>35</v>
      </c>
      <c r="K165" s="282"/>
      <c r="L165" s="273">
        <f>L163+L164</f>
        <v>11484</v>
      </c>
      <c r="M165" s="273">
        <f t="shared" ref="M165:V165" si="405">M163+M164</f>
        <v>11739.596078400002</v>
      </c>
      <c r="N165" s="273">
        <f t="shared" si="405"/>
        <v>12001.10910595436</v>
      </c>
      <c r="O165" s="273">
        <f t="shared" si="405"/>
        <v>12268.679827470482</v>
      </c>
      <c r="P165" s="273">
        <f t="shared" si="405"/>
        <v>12542.45239547995</v>
      </c>
      <c r="Q165" s="273">
        <f t="shared" si="405"/>
        <v>12822.574453671847</v>
      </c>
      <c r="R165" s="273">
        <f t="shared" si="405"/>
        <v>13109.197222382943</v>
      </c>
      <c r="S165" s="273">
        <f t="shared" si="405"/>
        <v>13402.475586195542</v>
      </c>
      <c r="T165" s="273">
        <f t="shared" si="405"/>
        <v>13702.568183695243</v>
      </c>
      <c r="U165" s="273">
        <f t="shared" si="405"/>
        <v>14009.637499442082</v>
      </c>
      <c r="V165" s="273">
        <f t="shared" si="405"/>
        <v>14323.849958209805</v>
      </c>
    </row>
    <row r="166" spans="10:23">
      <c r="J166" s="286" t="s">
        <v>414</v>
      </c>
      <c r="K166" s="274"/>
      <c r="L166" s="274">
        <f>L160-L162-L165</f>
        <v>228896</v>
      </c>
      <c r="M166" s="274">
        <f t="shared" ref="M166:V166" si="406">M160-M162-M165</f>
        <v>234627.69280960003</v>
      </c>
      <c r="N166" s="274">
        <f t="shared" si="406"/>
        <v>240502.59766675247</v>
      </c>
      <c r="O166" s="274">
        <f t="shared" si="406"/>
        <v>246524.28827204823</v>
      </c>
      <c r="P166" s="274">
        <f t="shared" si="406"/>
        <v>252696.42743627436</v>
      </c>
      <c r="Q166" s="274">
        <f t="shared" si="406"/>
        <v>259022.76930137989</v>
      </c>
      <c r="R166" s="274">
        <f t="shared" si="406"/>
        <v>265507.16161678213</v>
      </c>
      <c r="S166" s="274">
        <f t="shared" si="406"/>
        <v>272153.548072392</v>
      </c>
      <c r="T166" s="274">
        <f t="shared" si="406"/>
        <v>278965.97068977088</v>
      </c>
      <c r="U166" s="274">
        <f t="shared" si="406"/>
        <v>285948.57227286889</v>
      </c>
      <c r="V166" s="274">
        <f t="shared" si="406"/>
        <v>293105.59891982604</v>
      </c>
    </row>
    <row r="167" spans="10:23">
      <c r="J167" s="286" t="s">
        <v>415</v>
      </c>
      <c r="K167" s="274"/>
      <c r="L167" s="274">
        <f>L166*$G$13</f>
        <v>91558.400000000009</v>
      </c>
      <c r="M167" s="274">
        <f t="shared" ref="M167:Q167" si="407">M166*$G$13</f>
        <v>93851.077123840019</v>
      </c>
      <c r="N167" s="274">
        <f t="shared" si="407"/>
        <v>96201.039066700992</v>
      </c>
      <c r="O167" s="274">
        <f t="shared" si="407"/>
        <v>98609.715308819301</v>
      </c>
      <c r="P167" s="274">
        <f t="shared" si="407"/>
        <v>101078.57097450976</v>
      </c>
      <c r="Q167" s="274">
        <f t="shared" si="407"/>
        <v>103609.10772055195</v>
      </c>
      <c r="R167" s="274">
        <f>R166*$G$13</f>
        <v>106202.86464671286</v>
      </c>
      <c r="S167" s="274">
        <f t="shared" ref="S167:V167" si="408">S166*$G$13</f>
        <v>108861.4192289568</v>
      </c>
      <c r="T167" s="274">
        <f t="shared" si="408"/>
        <v>111586.38827590836</v>
      </c>
      <c r="U167" s="274">
        <f t="shared" si="408"/>
        <v>114379.42890914757</v>
      </c>
      <c r="V167" s="274">
        <f t="shared" si="408"/>
        <v>117242.23956793042</v>
      </c>
    </row>
    <row r="168" spans="10:23" ht="15.5">
      <c r="J168" s="270" t="s">
        <v>358</v>
      </c>
      <c r="K168" s="272"/>
      <c r="L168" s="273">
        <f>L166-L167</f>
        <v>137337.59999999998</v>
      </c>
      <c r="M168" s="273">
        <f t="shared" ref="M168:V168" si="409">M166-M167</f>
        <v>140776.61568576001</v>
      </c>
      <c r="N168" s="273">
        <f t="shared" si="409"/>
        <v>144301.55860005147</v>
      </c>
      <c r="O168" s="273">
        <f t="shared" si="409"/>
        <v>147914.57296322891</v>
      </c>
      <c r="P168" s="273">
        <f t="shared" si="409"/>
        <v>151617.8564617646</v>
      </c>
      <c r="Q168" s="273">
        <f t="shared" si="409"/>
        <v>155413.66158082793</v>
      </c>
      <c r="R168" s="273">
        <f t="shared" si="409"/>
        <v>159304.29697006929</v>
      </c>
      <c r="S168" s="273">
        <f t="shared" si="409"/>
        <v>163292.1288434352</v>
      </c>
      <c r="T168" s="273">
        <f t="shared" si="409"/>
        <v>167379.58241386252</v>
      </c>
      <c r="U168" s="273">
        <f t="shared" si="409"/>
        <v>171569.14336372132</v>
      </c>
      <c r="V168" s="273">
        <f t="shared" si="409"/>
        <v>175863.35935189563</v>
      </c>
    </row>
    <row r="169" spans="10:23" ht="15.5">
      <c r="J169" s="270" t="s">
        <v>419</v>
      </c>
      <c r="K169" s="272"/>
      <c r="L169" s="273">
        <f>M160*$G$14</f>
        <v>48307.311546666671</v>
      </c>
      <c r="M169" s="273">
        <f t="shared" ref="M169" si="410">N160*$G$14</f>
        <v>49510.530739746435</v>
      </c>
      <c r="N169" s="273">
        <f t="shared" ref="N169" si="411">O160*$G$14</f>
        <v>50743.719235199744</v>
      </c>
      <c r="O169" s="273">
        <f t="shared" ref="O169" si="412">P160*$G$14</f>
        <v>52007.623496422413</v>
      </c>
      <c r="P169" s="273">
        <f t="shared" ref="P169" si="413">Q160*$G$14</f>
        <v>53303.008579421905</v>
      </c>
      <c r="Q169" s="273">
        <f t="shared" ref="Q169" si="414">R160*$G$14</f>
        <v>54630.65859591472</v>
      </c>
      <c r="R169" s="273">
        <f t="shared" ref="R169" si="415">S160*$G$14</f>
        <v>55991.377187958336</v>
      </c>
      <c r="S169" s="273">
        <f t="shared" ref="S169" si="416">T160*$G$14</f>
        <v>57385.988014405128</v>
      </c>
      <c r="T169" s="273">
        <f t="shared" ref="T169" si="417">U160*$G$14</f>
        <v>58815.335249472737</v>
      </c>
      <c r="U169" s="273">
        <f t="shared" ref="U169" si="418">V160*$G$14</f>
        <v>60280.284093732509</v>
      </c>
      <c r="V169" s="273">
        <f t="shared" ref="V169" si="419">W160*$G$14</f>
        <v>0</v>
      </c>
    </row>
    <row r="170" spans="10:23" ht="16" thickBot="1">
      <c r="J170" s="270" t="s">
        <v>416</v>
      </c>
      <c r="K170" s="290">
        <f>L160*$G$14</f>
        <v>47133.333333333328</v>
      </c>
      <c r="L170" s="273">
        <f>L169-K170</f>
        <v>1173.9782133333429</v>
      </c>
      <c r="M170" s="273">
        <f>M169-L169</f>
        <v>1203.2191930797635</v>
      </c>
      <c r="N170" s="273">
        <f t="shared" ref="N170" si="420">N169-M169</f>
        <v>1233.1884954533089</v>
      </c>
      <c r="O170" s="273">
        <f t="shared" ref="O170" si="421">O169-N169</f>
        <v>1263.9042612226694</v>
      </c>
      <c r="P170" s="273">
        <f t="shared" ref="P170" si="422">P169-O169</f>
        <v>1295.3850829994917</v>
      </c>
      <c r="Q170" s="273">
        <f t="shared" ref="Q170" si="423">Q169-P169</f>
        <v>1327.6500164928148</v>
      </c>
      <c r="R170" s="273">
        <f t="shared" ref="R170" si="424">R169-Q169</f>
        <v>1360.7185920436168</v>
      </c>
      <c r="S170" s="273">
        <f t="shared" ref="S170" si="425">S169-R169</f>
        <v>1394.6108264467912</v>
      </c>
      <c r="T170" s="273">
        <f t="shared" ref="T170" si="426">T169-S169</f>
        <v>1429.3472350676093</v>
      </c>
      <c r="U170" s="273">
        <f t="shared" ref="U170" si="427">U169-T169</f>
        <v>1464.9488442597722</v>
      </c>
      <c r="V170" s="273">
        <f t="shared" ref="V170" si="428">V169-U169</f>
        <v>-60280.284093732509</v>
      </c>
    </row>
    <row r="171" spans="10:23" ht="15.5">
      <c r="J171" s="271" t="s">
        <v>417</v>
      </c>
      <c r="K171" s="275">
        <f>K168-K170</f>
        <v>-47133.333333333328</v>
      </c>
      <c r="L171" s="275">
        <f>L168-L170</f>
        <v>136163.62178666663</v>
      </c>
      <c r="M171" s="275">
        <f>M168-M170</f>
        <v>139573.39649268024</v>
      </c>
      <c r="N171" s="275">
        <f t="shared" ref="N171:V171" si="429">N168-N170</f>
        <v>143068.37010459817</v>
      </c>
      <c r="O171" s="275">
        <f t="shared" si="429"/>
        <v>146650.66870200625</v>
      </c>
      <c r="P171" s="275">
        <f t="shared" si="429"/>
        <v>150322.47137876513</v>
      </c>
      <c r="Q171" s="275">
        <f t="shared" si="429"/>
        <v>154086.01156433512</v>
      </c>
      <c r="R171" s="275">
        <f t="shared" si="429"/>
        <v>157943.57837802568</v>
      </c>
      <c r="S171" s="275">
        <f t="shared" si="429"/>
        <v>161897.51801698841</v>
      </c>
      <c r="T171" s="275">
        <f t="shared" si="429"/>
        <v>165950.23517879492</v>
      </c>
      <c r="U171" s="275">
        <f t="shared" si="429"/>
        <v>170104.19451946154</v>
      </c>
      <c r="V171" s="275">
        <f t="shared" si="429"/>
        <v>236143.64344562814</v>
      </c>
      <c r="W171" s="295" t="s">
        <v>360</v>
      </c>
    </row>
    <row r="172" spans="10:23" ht="16" thickBot="1">
      <c r="J172" s="271" t="s">
        <v>367</v>
      </c>
      <c r="K172" s="291">
        <f>K171/(1+$G$16)^(K155-$G$15)</f>
        <v>-30774.649779499585</v>
      </c>
      <c r="L172" s="291">
        <f>L171/(1+$G$16)^(L155-$G$15)</f>
        <v>79917.575551320551</v>
      </c>
      <c r="M172" s="291">
        <f t="shared" ref="M172:V172" si="430">M171/(1+$G$16)^(M155-$G$15)</f>
        <v>73637.67942177612</v>
      </c>
      <c r="N172" s="291">
        <f t="shared" si="430"/>
        <v>67851.166344891695</v>
      </c>
      <c r="O172" s="291">
        <f t="shared" si="430"/>
        <v>62519.28127843768</v>
      </c>
      <c r="P172" s="291">
        <f t="shared" si="430"/>
        <v>57606.312684130819</v>
      </c>
      <c r="Q172" s="291">
        <f t="shared" si="430"/>
        <v>53079.353576375615</v>
      </c>
      <c r="R172" s="291">
        <f t="shared" si="430"/>
        <v>48908.081326184772</v>
      </c>
      <c r="S172" s="291">
        <f t="shared" si="430"/>
        <v>45064.554748662333</v>
      </c>
      <c r="T172" s="291">
        <f t="shared" si="430"/>
        <v>41523.027117862024</v>
      </c>
      <c r="U172" s="291">
        <f t="shared" si="430"/>
        <v>38259.773859211695</v>
      </c>
      <c r="V172" s="291">
        <f t="shared" si="430"/>
        <v>47744.118208347383</v>
      </c>
      <c r="W172" s="294">
        <f>SUM(K172:V172)</f>
        <v>585336.27433770115</v>
      </c>
    </row>
    <row r="177" spans="10:22">
      <c r="J177">
        <v>1112121</v>
      </c>
    </row>
    <row r="179" spans="10:22" ht="15.5">
      <c r="J179" s="276" t="s">
        <v>407</v>
      </c>
      <c r="K179" s="276">
        <v>2013</v>
      </c>
      <c r="L179" s="276">
        <v>2014</v>
      </c>
      <c r="M179" s="276">
        <v>2015</v>
      </c>
      <c r="N179" s="276">
        <v>2016</v>
      </c>
      <c r="O179" s="276">
        <v>2017</v>
      </c>
      <c r="P179" s="276">
        <v>2018</v>
      </c>
      <c r="Q179" s="276">
        <v>2019</v>
      </c>
      <c r="R179" s="276">
        <v>2020</v>
      </c>
      <c r="S179" s="276">
        <v>2021</v>
      </c>
      <c r="T179" s="276">
        <v>2022</v>
      </c>
      <c r="U179" s="276">
        <v>2023</v>
      </c>
      <c r="V179" s="276">
        <v>2024</v>
      </c>
    </row>
    <row r="180" spans="10:22">
      <c r="J180" s="269" t="s">
        <v>33</v>
      </c>
      <c r="K180" s="277">
        <f>Données!$C$5</f>
        <v>560000</v>
      </c>
      <c r="L180" s="278">
        <f>K180*(1+$D$12)</f>
        <v>571200</v>
      </c>
      <c r="M180" s="278">
        <f t="shared" ref="M180:V180" si="431">L180*(1+$D$12)</f>
        <v>582624</v>
      </c>
      <c r="N180" s="278">
        <f t="shared" si="431"/>
        <v>594276.48</v>
      </c>
      <c r="O180" s="278">
        <f t="shared" si="431"/>
        <v>606162.00959999999</v>
      </c>
      <c r="P180" s="278">
        <f t="shared" si="431"/>
        <v>618285.24979200005</v>
      </c>
      <c r="Q180" s="278">
        <f t="shared" si="431"/>
        <v>630650.95478784002</v>
      </c>
      <c r="R180" s="278">
        <f t="shared" si="431"/>
        <v>643263.97388359683</v>
      </c>
      <c r="S180" s="278">
        <f t="shared" si="431"/>
        <v>656129.25336126878</v>
      </c>
      <c r="T180" s="278">
        <f t="shared" si="431"/>
        <v>669251.83842849417</v>
      </c>
      <c r="U180" s="278">
        <f t="shared" si="431"/>
        <v>682636.87519706402</v>
      </c>
      <c r="V180" s="278">
        <f t="shared" si="431"/>
        <v>696289.6127010053</v>
      </c>
    </row>
    <row r="181" spans="10:22">
      <c r="J181" s="269" t="s">
        <v>408</v>
      </c>
      <c r="K181" s="279"/>
      <c r="L181" s="278">
        <f>L180*$D$15</f>
        <v>285600</v>
      </c>
      <c r="M181" s="278">
        <f t="shared" ref="M181:V181" si="432">M180*$D$15</f>
        <v>291312</v>
      </c>
      <c r="N181" s="278">
        <f t="shared" si="432"/>
        <v>297138.24</v>
      </c>
      <c r="O181" s="278">
        <f t="shared" si="432"/>
        <v>303081.0048</v>
      </c>
      <c r="P181" s="278">
        <f t="shared" si="432"/>
        <v>309142.62489600002</v>
      </c>
      <c r="Q181" s="278">
        <f t="shared" si="432"/>
        <v>315325.47739392001</v>
      </c>
      <c r="R181" s="278">
        <f t="shared" si="432"/>
        <v>321631.98694179842</v>
      </c>
      <c r="S181" s="278">
        <f t="shared" si="432"/>
        <v>328064.62668063439</v>
      </c>
      <c r="T181" s="278">
        <f t="shared" si="432"/>
        <v>334625.91921424709</v>
      </c>
      <c r="U181" s="278">
        <f t="shared" si="432"/>
        <v>341318.43759853201</v>
      </c>
      <c r="V181" s="278">
        <f t="shared" si="432"/>
        <v>348144.80635050265</v>
      </c>
    </row>
    <row r="182" spans="10:22">
      <c r="J182" s="269" t="s">
        <v>409</v>
      </c>
      <c r="K182" s="280"/>
      <c r="L182" s="278">
        <f>L181*$D$16</f>
        <v>142800</v>
      </c>
      <c r="M182" s="278">
        <f t="shared" ref="M182" si="433">M181*$D$16</f>
        <v>145656</v>
      </c>
      <c r="N182" s="278">
        <f t="shared" ref="N182" si="434">N181*$D$16</f>
        <v>148569.12</v>
      </c>
      <c r="O182" s="278">
        <f t="shared" ref="O182" si="435">O181*$D$16</f>
        <v>151540.5024</v>
      </c>
      <c r="P182" s="278">
        <f t="shared" ref="P182" si="436">P181*$D$16</f>
        <v>154571.31244800001</v>
      </c>
      <c r="Q182" s="278">
        <f t="shared" ref="Q182" si="437">Q181*$D$16</f>
        <v>157662.73869696</v>
      </c>
      <c r="R182" s="278">
        <f t="shared" ref="R182" si="438">R181*$D$16</f>
        <v>160815.99347089921</v>
      </c>
      <c r="S182" s="278">
        <f t="shared" ref="S182" si="439">S181*$D$16</f>
        <v>164032.3133403172</v>
      </c>
      <c r="T182" s="278">
        <f t="shared" ref="T182" si="440">T181*$D$16</f>
        <v>167312.95960712354</v>
      </c>
      <c r="U182" s="278">
        <f t="shared" ref="U182" si="441">U181*$D$16</f>
        <v>170659.218799266</v>
      </c>
      <c r="V182" s="278">
        <f t="shared" ref="V182" si="442">V181*$D$16</f>
        <v>174072.40317525133</v>
      </c>
    </row>
    <row r="183" spans="10:22">
      <c r="J183" s="269" t="s">
        <v>410</v>
      </c>
      <c r="K183" s="281"/>
      <c r="L183" s="288">
        <f>1</f>
        <v>1</v>
      </c>
      <c r="M183" s="288">
        <f>L183*(1+$G$12)</f>
        <v>1.0147600000000001</v>
      </c>
      <c r="N183" s="288">
        <f t="shared" ref="N183" si="443">M183*(1+$G$12)</f>
        <v>1.0297378576000003</v>
      </c>
      <c r="O183" s="288">
        <f t="shared" ref="O183" si="444">N183*(1+$G$12)</f>
        <v>1.0449367883781764</v>
      </c>
      <c r="P183" s="288">
        <f t="shared" ref="P183" si="445">O183*(1+$G$12)</f>
        <v>1.0603600553746384</v>
      </c>
      <c r="Q183" s="288">
        <f t="shared" ref="Q183" si="446">P183*(1+$G$12)</f>
        <v>1.0760109697919682</v>
      </c>
      <c r="R183" s="288">
        <f t="shared" ref="R183" si="447">Q183*(1+$G$12)</f>
        <v>1.0918928917060977</v>
      </c>
      <c r="S183" s="288">
        <f t="shared" ref="S183" si="448">R183*(1+$G$12)</f>
        <v>1.1080092307876799</v>
      </c>
      <c r="T183" s="288">
        <f t="shared" ref="T183" si="449">S183*(1+$G$12)</f>
        <v>1.1243634470341062</v>
      </c>
      <c r="U183" s="288">
        <f t="shared" ref="U183" si="450">T183*(1+$G$12)</f>
        <v>1.1409590515123298</v>
      </c>
      <c r="V183" s="288">
        <f t="shared" ref="V183" si="451">U183*(1+$G$12)</f>
        <v>1.157799607112652</v>
      </c>
    </row>
    <row r="184" spans="10:22" ht="15.5">
      <c r="J184" s="270" t="s">
        <v>411</v>
      </c>
      <c r="K184" s="282"/>
      <c r="L184" s="273">
        <f>L182*L183</f>
        <v>142800</v>
      </c>
      <c r="M184" s="273">
        <f t="shared" ref="M184:V184" si="452">M182*M183</f>
        <v>147805.88256000003</v>
      </c>
      <c r="N184" s="273">
        <f t="shared" si="452"/>
        <v>152987.24733431733</v>
      </c>
      <c r="O184" s="273">
        <f t="shared" si="452"/>
        <v>158350.24588707133</v>
      </c>
      <c r="P184" s="273">
        <f t="shared" si="452"/>
        <v>163901.24542669184</v>
      </c>
      <c r="Q184" s="273">
        <f t="shared" si="452"/>
        <v>169646.8363653736</v>
      </c>
      <c r="R184" s="273">
        <f t="shared" si="452"/>
        <v>175593.84014352906</v>
      </c>
      <c r="S184" s="273">
        <f t="shared" si="452"/>
        <v>181749.31732852853</v>
      </c>
      <c r="T184" s="273">
        <f t="shared" si="452"/>
        <v>188120.57599734361</v>
      </c>
      <c r="U184" s="273">
        <f t="shared" si="452"/>
        <v>194715.18041304569</v>
      </c>
      <c r="V184" s="273">
        <f t="shared" si="452"/>
        <v>201540.96000546112</v>
      </c>
    </row>
    <row r="185" spans="10:22">
      <c r="J185" s="283" t="s">
        <v>34</v>
      </c>
      <c r="K185" s="274"/>
      <c r="L185" s="289">
        <f>D21</f>
        <v>0.15</v>
      </c>
      <c r="M185" s="289">
        <f>L185*(1+$G$12)</f>
        <v>0.15221400000000002</v>
      </c>
      <c r="N185" s="289">
        <f t="shared" ref="N185" si="453">M185*(1+$G$12)</f>
        <v>0.15446067864000004</v>
      </c>
      <c r="O185" s="289">
        <f t="shared" ref="O185" si="454">N185*(1+$G$12)</f>
        <v>0.15674051825672647</v>
      </c>
      <c r="P185" s="289">
        <f t="shared" ref="P185" si="455">O185*(1+$G$12)</f>
        <v>0.15905400830619576</v>
      </c>
      <c r="Q185" s="289">
        <f t="shared" ref="Q185" si="456">P185*(1+$G$12)</f>
        <v>0.16140164546879524</v>
      </c>
      <c r="R185" s="289">
        <f t="shared" ref="R185" si="457">Q185*(1+$G$12)</f>
        <v>0.16378393375591466</v>
      </c>
      <c r="S185" s="289">
        <f t="shared" ref="S185" si="458">R185*(1+$G$12)</f>
        <v>0.16620138461815198</v>
      </c>
      <c r="T185" s="289">
        <f t="shared" ref="T185" si="459">S185*(1+$G$12)</f>
        <v>0.16865451705511592</v>
      </c>
      <c r="U185" s="289">
        <f t="shared" ref="U185" si="460">T185*(1+$G$12)</f>
        <v>0.17114385772684945</v>
      </c>
      <c r="V185" s="289">
        <f t="shared" ref="V185" si="461">U185*(1+$G$12)</f>
        <v>0.17366994106689776</v>
      </c>
    </row>
    <row r="186" spans="10:22" ht="15.5">
      <c r="J186" s="270" t="s">
        <v>412</v>
      </c>
      <c r="K186" s="282"/>
      <c r="L186" s="273">
        <f>L182*L185</f>
        <v>21420</v>
      </c>
      <c r="M186" s="273">
        <f t="shared" ref="M186:V186" si="462">M182*M185</f>
        <v>22170.882384000004</v>
      </c>
      <c r="N186" s="273">
        <f t="shared" si="462"/>
        <v>22948.087100147601</v>
      </c>
      <c r="O186" s="273">
        <f t="shared" si="462"/>
        <v>23752.5368830607</v>
      </c>
      <c r="P186" s="273">
        <f t="shared" si="462"/>
        <v>24585.186814003773</v>
      </c>
      <c r="Q186" s="273">
        <f t="shared" si="462"/>
        <v>25447.02545480604</v>
      </c>
      <c r="R186" s="273">
        <f t="shared" si="462"/>
        <v>26339.076021529359</v>
      </c>
      <c r="S186" s="273">
        <f t="shared" si="462"/>
        <v>27262.39759927928</v>
      </c>
      <c r="T186" s="273">
        <f t="shared" si="462"/>
        <v>28218.08639960154</v>
      </c>
      <c r="U186" s="273">
        <f t="shared" si="462"/>
        <v>29207.277061956851</v>
      </c>
      <c r="V186" s="273">
        <f t="shared" si="462"/>
        <v>30231.144000819164</v>
      </c>
    </row>
    <row r="187" spans="10:22">
      <c r="J187" s="285" t="s">
        <v>418</v>
      </c>
      <c r="K187" s="274"/>
      <c r="L187" s="274">
        <f>L184*0.03</f>
        <v>4284</v>
      </c>
      <c r="M187" s="274">
        <f t="shared" ref="M187:V187" si="463">M184*0.03</f>
        <v>4434.1764768000003</v>
      </c>
      <c r="N187" s="274">
        <f t="shared" si="463"/>
        <v>4589.61742002952</v>
      </c>
      <c r="O187" s="274">
        <f t="shared" si="463"/>
        <v>4750.5073766121395</v>
      </c>
      <c r="P187" s="274">
        <f t="shared" si="463"/>
        <v>4917.0373628007546</v>
      </c>
      <c r="Q187" s="274">
        <f t="shared" si="463"/>
        <v>5089.4050909612079</v>
      </c>
      <c r="R187" s="274">
        <f t="shared" si="463"/>
        <v>5267.8152043058717</v>
      </c>
      <c r="S187" s="274">
        <f t="shared" si="463"/>
        <v>5452.4795198558559</v>
      </c>
      <c r="T187" s="274">
        <f t="shared" si="463"/>
        <v>5643.6172799203077</v>
      </c>
      <c r="U187" s="274">
        <f t="shared" si="463"/>
        <v>5841.4554123913704</v>
      </c>
      <c r="V187" s="274">
        <f t="shared" si="463"/>
        <v>6046.2288001638335</v>
      </c>
    </row>
    <row r="188" spans="10:22">
      <c r="J188" s="285" t="s">
        <v>413</v>
      </c>
      <c r="K188" s="274"/>
      <c r="L188" s="284">
        <v>3000</v>
      </c>
      <c r="M188" s="274">
        <f>L188*(1+$G$12)</f>
        <v>3044.28</v>
      </c>
      <c r="N188" s="274">
        <f t="shared" ref="N188" si="464">M188*(1+$G$12)</f>
        <v>3089.2135728000007</v>
      </c>
      <c r="O188" s="274">
        <f t="shared" ref="O188" si="465">N188*(1+$G$12)</f>
        <v>3134.8103651345291</v>
      </c>
      <c r="P188" s="274">
        <f t="shared" ref="P188" si="466">O188*(1+$G$12)</f>
        <v>3181.0801661239152</v>
      </c>
      <c r="Q188" s="274">
        <f t="shared" ref="Q188" si="467">P188*(1+$G$12)</f>
        <v>3228.0329093759046</v>
      </c>
      <c r="R188" s="274">
        <f t="shared" ref="R188" si="468">Q188*(1+$G$12)</f>
        <v>3275.6786751182935</v>
      </c>
      <c r="S188" s="274">
        <f t="shared" ref="S188" si="469">R188*(1+$G$12)</f>
        <v>3324.0276923630399</v>
      </c>
      <c r="T188" s="274">
        <f t="shared" ref="T188" si="470">S188*(1+$G$12)</f>
        <v>3373.0903411023187</v>
      </c>
      <c r="U188" s="274">
        <f t="shared" ref="U188" si="471">T188*(1+$G$12)</f>
        <v>3422.8771545369891</v>
      </c>
      <c r="V188" s="274">
        <f t="shared" ref="V188" si="472">U188*(1+$G$12)</f>
        <v>3473.3988213379553</v>
      </c>
    </row>
    <row r="189" spans="10:22" ht="15.5">
      <c r="J189" s="270" t="s">
        <v>35</v>
      </c>
      <c r="K189" s="282"/>
      <c r="L189" s="273">
        <f>L187+L188</f>
        <v>7284</v>
      </c>
      <c r="M189" s="273">
        <f t="shared" ref="M189:V189" si="473">M187+M188</f>
        <v>7478.4564768</v>
      </c>
      <c r="N189" s="273">
        <f t="shared" si="473"/>
        <v>7678.8309928295203</v>
      </c>
      <c r="O189" s="273">
        <f t="shared" si="473"/>
        <v>7885.3177417466686</v>
      </c>
      <c r="P189" s="273">
        <f t="shared" si="473"/>
        <v>8098.1175289246694</v>
      </c>
      <c r="Q189" s="273">
        <f t="shared" si="473"/>
        <v>8317.4380003371116</v>
      </c>
      <c r="R189" s="273">
        <f t="shared" si="473"/>
        <v>8543.4938794241643</v>
      </c>
      <c r="S189" s="273">
        <f t="shared" si="473"/>
        <v>8776.5072122188958</v>
      </c>
      <c r="T189" s="273">
        <f t="shared" si="473"/>
        <v>9016.707621022626</v>
      </c>
      <c r="U189" s="273">
        <f t="shared" si="473"/>
        <v>9264.3325669283586</v>
      </c>
      <c r="V189" s="273">
        <f t="shared" si="473"/>
        <v>9519.6276215017897</v>
      </c>
    </row>
    <row r="190" spans="10:22">
      <c r="J190" s="286" t="s">
        <v>414</v>
      </c>
      <c r="K190" s="274"/>
      <c r="L190" s="274">
        <f>L184-L186-L189</f>
        <v>114096</v>
      </c>
      <c r="M190" s="274">
        <f t="shared" ref="M190:V190" si="474">M184-M186-M189</f>
        <v>118156.54369920003</v>
      </c>
      <c r="N190" s="274">
        <f t="shared" si="474"/>
        <v>122360.32924134021</v>
      </c>
      <c r="O190" s="274">
        <f t="shared" si="474"/>
        <v>126712.39126226396</v>
      </c>
      <c r="P190" s="274">
        <f t="shared" si="474"/>
        <v>131217.94108376341</v>
      </c>
      <c r="Q190" s="274">
        <f t="shared" si="474"/>
        <v>135882.37291023045</v>
      </c>
      <c r="R190" s="274">
        <f t="shared" si="474"/>
        <v>140711.27024257553</v>
      </c>
      <c r="S190" s="274">
        <f t="shared" si="474"/>
        <v>145710.41251703037</v>
      </c>
      <c r="T190" s="274">
        <f t="shared" si="474"/>
        <v>150885.78197671945</v>
      </c>
      <c r="U190" s="274">
        <f t="shared" si="474"/>
        <v>156243.57078416049</v>
      </c>
      <c r="V190" s="274">
        <f t="shared" si="474"/>
        <v>161790.18838314016</v>
      </c>
    </row>
    <row r="191" spans="10:22">
      <c r="J191" s="286" t="s">
        <v>415</v>
      </c>
      <c r="K191" s="274"/>
      <c r="L191" s="274">
        <f>L190*$G$13</f>
        <v>45638.400000000001</v>
      </c>
      <c r="M191" s="274">
        <f t="shared" ref="M191:Q191" si="475">M190*$G$13</f>
        <v>47262.617479680019</v>
      </c>
      <c r="N191" s="274">
        <f t="shared" si="475"/>
        <v>48944.131696536089</v>
      </c>
      <c r="O191" s="274">
        <f t="shared" si="475"/>
        <v>50684.956504905589</v>
      </c>
      <c r="P191" s="274">
        <f t="shared" si="475"/>
        <v>52487.176433505367</v>
      </c>
      <c r="Q191" s="274">
        <f t="shared" si="475"/>
        <v>54352.949164092184</v>
      </c>
      <c r="R191" s="274">
        <f>R190*$G$13</f>
        <v>56284.508097030215</v>
      </c>
      <c r="S191" s="274">
        <f t="shared" ref="S191:V191" si="476">S190*$G$13</f>
        <v>58284.165006812153</v>
      </c>
      <c r="T191" s="274">
        <f t="shared" si="476"/>
        <v>60354.312790687778</v>
      </c>
      <c r="U191" s="274">
        <f t="shared" si="476"/>
        <v>62497.428313664197</v>
      </c>
      <c r="V191" s="274">
        <f t="shared" si="476"/>
        <v>64716.07535325607</v>
      </c>
    </row>
    <row r="192" spans="10:22" ht="15.5">
      <c r="J192" s="270" t="s">
        <v>358</v>
      </c>
      <c r="K192" s="272"/>
      <c r="L192" s="273">
        <f>L190-L191</f>
        <v>68457.600000000006</v>
      </c>
      <c r="M192" s="273">
        <f t="shared" ref="M192:V192" si="477">M190-M191</f>
        <v>70893.926219520014</v>
      </c>
      <c r="N192" s="273">
        <f t="shared" si="477"/>
        <v>73416.197544804119</v>
      </c>
      <c r="O192" s="273">
        <f t="shared" si="477"/>
        <v>76027.434757358365</v>
      </c>
      <c r="P192" s="273">
        <f t="shared" si="477"/>
        <v>78730.764650258032</v>
      </c>
      <c r="Q192" s="273">
        <f t="shared" si="477"/>
        <v>81529.423746138258</v>
      </c>
      <c r="R192" s="273">
        <f t="shared" si="477"/>
        <v>84426.762145545305</v>
      </c>
      <c r="S192" s="273">
        <f t="shared" si="477"/>
        <v>87426.247510218222</v>
      </c>
      <c r="T192" s="273">
        <f t="shared" si="477"/>
        <v>90531.469186031667</v>
      </c>
      <c r="U192" s="273">
        <f t="shared" si="477"/>
        <v>93746.142470496299</v>
      </c>
      <c r="V192" s="273">
        <f t="shared" si="477"/>
        <v>97074.113029884087</v>
      </c>
    </row>
    <row r="193" spans="1:23" ht="15.5">
      <c r="J193" s="270" t="s">
        <v>419</v>
      </c>
      <c r="K193" s="272"/>
      <c r="L193" s="273">
        <f>M184*$G$14</f>
        <v>24634.313760000005</v>
      </c>
      <c r="M193" s="273">
        <f t="shared" ref="M193" si="478">N184*$G$14</f>
        <v>25497.874555719554</v>
      </c>
      <c r="N193" s="273">
        <f t="shared" ref="N193" si="479">O184*$G$14</f>
        <v>26391.707647845222</v>
      </c>
      <c r="O193" s="273">
        <f t="shared" ref="O193" si="480">P184*$G$14</f>
        <v>27316.874237781973</v>
      </c>
      <c r="P193" s="273">
        <f t="shared" ref="P193" si="481">Q184*$G$14</f>
        <v>28274.472727562264</v>
      </c>
      <c r="Q193" s="273">
        <f t="shared" ref="Q193" si="482">R184*$G$14</f>
        <v>29265.640023921507</v>
      </c>
      <c r="R193" s="273">
        <f t="shared" ref="R193" si="483">S184*$G$14</f>
        <v>30291.552888088088</v>
      </c>
      <c r="S193" s="273">
        <f t="shared" ref="S193" si="484">T184*$G$14</f>
        <v>31353.429332890599</v>
      </c>
      <c r="T193" s="273">
        <f t="shared" ref="T193" si="485">U184*$G$14</f>
        <v>32452.530068840948</v>
      </c>
      <c r="U193" s="273">
        <f t="shared" ref="U193" si="486">V184*$G$14</f>
        <v>33590.160000910182</v>
      </c>
      <c r="V193" s="273">
        <f t="shared" ref="V193" si="487">W184*$G$14</f>
        <v>0</v>
      </c>
    </row>
    <row r="194" spans="1:23" ht="16" thickBot="1">
      <c r="J194" s="270" t="s">
        <v>416</v>
      </c>
      <c r="K194" s="290">
        <f>L184*$G$14</f>
        <v>23800</v>
      </c>
      <c r="L194" s="273">
        <f>L193-K194</f>
        <v>834.31376000000455</v>
      </c>
      <c r="M194" s="273">
        <f>M193-L193</f>
        <v>863.56079571954979</v>
      </c>
      <c r="N194" s="273">
        <f t="shared" ref="N194" si="488">N193-M193</f>
        <v>893.83309212566746</v>
      </c>
      <c r="O194" s="273">
        <f t="shared" ref="O194" si="489">O193-N193</f>
        <v>925.16658993675082</v>
      </c>
      <c r="P194" s="273">
        <f t="shared" ref="P194" si="490">P193-O193</f>
        <v>957.59848978029186</v>
      </c>
      <c r="Q194" s="273">
        <f t="shared" ref="Q194" si="491">Q193-P193</f>
        <v>991.16729635924275</v>
      </c>
      <c r="R194" s="273">
        <f t="shared" ref="R194" si="492">R193-Q193</f>
        <v>1025.9128641665811</v>
      </c>
      <c r="S194" s="273">
        <f t="shared" ref="S194" si="493">S193-R193</f>
        <v>1061.8764448025104</v>
      </c>
      <c r="T194" s="273">
        <f t="shared" ref="T194" si="494">T193-S193</f>
        <v>1099.1007359503492</v>
      </c>
      <c r="U194" s="273">
        <f t="shared" ref="U194" si="495">U193-T193</f>
        <v>1137.6299320692342</v>
      </c>
      <c r="V194" s="273">
        <f t="shared" ref="V194" si="496">V193-U193</f>
        <v>-33590.160000910182</v>
      </c>
    </row>
    <row r="195" spans="1:23" ht="15.5">
      <c r="J195" s="271" t="s">
        <v>417</v>
      </c>
      <c r="K195" s="275">
        <f>K192-K194</f>
        <v>-23800</v>
      </c>
      <c r="L195" s="275">
        <f>L192-L194</f>
        <v>67623.286240000001</v>
      </c>
      <c r="M195" s="275">
        <f>M192-M194</f>
        <v>70030.365423800467</v>
      </c>
      <c r="N195" s="275">
        <f t="shared" ref="N195:V195" si="497">N192-N194</f>
        <v>72522.364452678448</v>
      </c>
      <c r="O195" s="275">
        <f t="shared" si="497"/>
        <v>75102.268167421615</v>
      </c>
      <c r="P195" s="275">
        <f t="shared" si="497"/>
        <v>77773.166160477733</v>
      </c>
      <c r="Q195" s="275">
        <f t="shared" si="497"/>
        <v>80538.256449779015</v>
      </c>
      <c r="R195" s="275">
        <f t="shared" si="497"/>
        <v>83400.849281378731</v>
      </c>
      <c r="S195" s="275">
        <f t="shared" si="497"/>
        <v>86364.371065415704</v>
      </c>
      <c r="T195" s="275">
        <f t="shared" si="497"/>
        <v>89432.368450081325</v>
      </c>
      <c r="U195" s="275">
        <f t="shared" si="497"/>
        <v>92608.512538427065</v>
      </c>
      <c r="V195" s="275">
        <f t="shared" si="497"/>
        <v>130664.27303079427</v>
      </c>
      <c r="W195" s="295" t="s">
        <v>360</v>
      </c>
    </row>
    <row r="196" spans="1:23" ht="16" thickBot="1">
      <c r="J196" s="271" t="s">
        <v>367</v>
      </c>
      <c r="K196" s="291">
        <f>K195/(1+$G$16)^(K179-$G$15)</f>
        <v>-15539.674641133455</v>
      </c>
      <c r="L196" s="291">
        <f>L195/(1+$G$16)^(L179-$G$15)</f>
        <v>39689.669062863984</v>
      </c>
      <c r="M196" s="291">
        <f t="shared" ref="M196:V196" si="498">M195/(1+$G$16)^(M179-$G$15)</f>
        <v>36947.396340950254</v>
      </c>
      <c r="N196" s="291">
        <f t="shared" si="498"/>
        <v>34394.234103638504</v>
      </c>
      <c r="O196" s="291">
        <f t="shared" si="498"/>
        <v>32017.172985065659</v>
      </c>
      <c r="P196" s="291">
        <f t="shared" si="498"/>
        <v>29804.09573620294</v>
      </c>
      <c r="Q196" s="291">
        <f t="shared" si="498"/>
        <v>27743.716299241991</v>
      </c>
      <c r="R196" s="291">
        <f t="shared" si="498"/>
        <v>25825.52302040314</v>
      </c>
      <c r="S196" s="291">
        <f t="shared" si="498"/>
        <v>24039.725722063373</v>
      </c>
      <c r="T196" s="291">
        <f t="shared" si="498"/>
        <v>22377.206373744662</v>
      </c>
      <c r="U196" s="291">
        <f t="shared" si="498"/>
        <v>20829.47311891722</v>
      </c>
      <c r="V196" s="291">
        <f t="shared" si="498"/>
        <v>26418.032711629672</v>
      </c>
      <c r="W196" s="294">
        <f>SUM(K196:V196)</f>
        <v>304546.57083358796</v>
      </c>
    </row>
    <row r="198" spans="1:23">
      <c r="G198" s="6"/>
      <c r="H198" s="6"/>
      <c r="I198" s="6"/>
      <c r="J198" s="6"/>
    </row>
    <row r="199" spans="1:23">
      <c r="A199" s="938"/>
      <c r="B199" s="115"/>
      <c r="C199" s="115"/>
      <c r="D199" s="115"/>
      <c r="E199" s="115"/>
      <c r="G199" s="6"/>
      <c r="H199" s="6"/>
      <c r="I199" s="6"/>
      <c r="J199" s="6"/>
    </row>
    <row r="200" spans="1:23">
      <c r="A200" s="938"/>
      <c r="B200" s="115"/>
      <c r="C200" s="115"/>
      <c r="D200" s="115"/>
      <c r="E200" s="115"/>
    </row>
    <row r="201" spans="1:23">
      <c r="A201" s="938"/>
      <c r="B201" s="115"/>
      <c r="C201" s="115"/>
      <c r="D201" s="115"/>
      <c r="E201" s="115"/>
      <c r="J201">
        <v>1112122</v>
      </c>
    </row>
    <row r="202" spans="1:23">
      <c r="A202" s="938"/>
      <c r="B202" s="115"/>
      <c r="C202" s="115"/>
      <c r="D202" s="115"/>
      <c r="E202" s="115"/>
    </row>
    <row r="203" spans="1:23" ht="15.5">
      <c r="A203" s="938"/>
      <c r="B203" s="115"/>
      <c r="C203" s="115"/>
      <c r="D203" s="115"/>
      <c r="E203" s="115"/>
      <c r="J203" s="276" t="s">
        <v>407</v>
      </c>
      <c r="K203" s="276">
        <v>2013</v>
      </c>
      <c r="L203" s="276">
        <v>2014</v>
      </c>
      <c r="M203" s="276">
        <v>2015</v>
      </c>
      <c r="N203" s="276">
        <v>2016</v>
      </c>
      <c r="O203" s="276">
        <v>2017</v>
      </c>
      <c r="P203" s="276">
        <v>2018</v>
      </c>
      <c r="Q203" s="276">
        <v>2019</v>
      </c>
      <c r="R203" s="276">
        <v>2020</v>
      </c>
      <c r="S203" s="276">
        <v>2021</v>
      </c>
      <c r="T203" s="276">
        <v>2022</v>
      </c>
      <c r="U203" s="276">
        <v>2023</v>
      </c>
      <c r="V203" s="276">
        <v>2024</v>
      </c>
    </row>
    <row r="204" spans="1:23">
      <c r="A204" s="938"/>
      <c r="B204" s="115"/>
      <c r="C204" s="115"/>
      <c r="D204" s="115"/>
      <c r="E204" s="115"/>
      <c r="J204" s="269" t="s">
        <v>33</v>
      </c>
      <c r="K204" s="277">
        <f>Données!$C$5</f>
        <v>560000</v>
      </c>
      <c r="L204" s="278">
        <f>K204*(1+$D$13)</f>
        <v>565600</v>
      </c>
      <c r="M204" s="278">
        <f t="shared" ref="M204:V204" si="499">L204*(1+$D$13)</f>
        <v>571256</v>
      </c>
      <c r="N204" s="278">
        <f t="shared" si="499"/>
        <v>576968.56000000006</v>
      </c>
      <c r="O204" s="278">
        <f t="shared" si="499"/>
        <v>582738.24560000002</v>
      </c>
      <c r="P204" s="278">
        <f t="shared" si="499"/>
        <v>588565.62805599999</v>
      </c>
      <c r="Q204" s="278">
        <f t="shared" si="499"/>
        <v>594451.28433655994</v>
      </c>
      <c r="R204" s="278">
        <f t="shared" si="499"/>
        <v>600395.79717992549</v>
      </c>
      <c r="S204" s="278">
        <f t="shared" si="499"/>
        <v>606399.75515172479</v>
      </c>
      <c r="T204" s="278">
        <f t="shared" si="499"/>
        <v>612463.752703242</v>
      </c>
      <c r="U204" s="278">
        <f t="shared" si="499"/>
        <v>618588.39023027441</v>
      </c>
      <c r="V204" s="278">
        <f t="shared" si="499"/>
        <v>624774.27413257712</v>
      </c>
    </row>
    <row r="205" spans="1:23">
      <c r="A205" s="938"/>
      <c r="B205" s="115"/>
      <c r="C205" s="115"/>
      <c r="D205" s="115"/>
      <c r="E205" s="115"/>
      <c r="J205" s="269" t="s">
        <v>408</v>
      </c>
      <c r="K205" s="279"/>
      <c r="L205" s="278">
        <f>L204*$D$15</f>
        <v>282800</v>
      </c>
      <c r="M205" s="278">
        <f t="shared" ref="M205:V205" si="500">M204*$D$15</f>
        <v>285628</v>
      </c>
      <c r="N205" s="278">
        <f t="shared" si="500"/>
        <v>288484.28000000003</v>
      </c>
      <c r="O205" s="278">
        <f t="shared" si="500"/>
        <v>291369.12280000001</v>
      </c>
      <c r="P205" s="278">
        <f t="shared" si="500"/>
        <v>294282.81402799999</v>
      </c>
      <c r="Q205" s="278">
        <f t="shared" si="500"/>
        <v>297225.64216827997</v>
      </c>
      <c r="R205" s="278">
        <f t="shared" si="500"/>
        <v>300197.89858996274</v>
      </c>
      <c r="S205" s="278">
        <f t="shared" si="500"/>
        <v>303199.8775758624</v>
      </c>
      <c r="T205" s="278">
        <f t="shared" si="500"/>
        <v>306231.876351621</v>
      </c>
      <c r="U205" s="278">
        <f t="shared" si="500"/>
        <v>309294.1951151372</v>
      </c>
      <c r="V205" s="278">
        <f t="shared" si="500"/>
        <v>312387.13706628856</v>
      </c>
    </row>
    <row r="206" spans="1:23">
      <c r="J206" s="269" t="s">
        <v>409</v>
      </c>
      <c r="K206" s="280"/>
      <c r="L206" s="278">
        <f>L205*$D$16</f>
        <v>141400</v>
      </c>
      <c r="M206" s="278">
        <f t="shared" ref="M206:V206" si="501">M205*$D$16</f>
        <v>142814</v>
      </c>
      <c r="N206" s="278">
        <f t="shared" si="501"/>
        <v>144242.14000000001</v>
      </c>
      <c r="O206" s="278">
        <f t="shared" si="501"/>
        <v>145684.56140000001</v>
      </c>
      <c r="P206" s="278">
        <f t="shared" si="501"/>
        <v>147141.407014</v>
      </c>
      <c r="Q206" s="278">
        <f t="shared" si="501"/>
        <v>148612.82108413999</v>
      </c>
      <c r="R206" s="278">
        <f t="shared" si="501"/>
        <v>150098.94929498137</v>
      </c>
      <c r="S206" s="278">
        <f t="shared" si="501"/>
        <v>151599.9387879312</v>
      </c>
      <c r="T206" s="278">
        <f t="shared" si="501"/>
        <v>153115.9381758105</v>
      </c>
      <c r="U206" s="278">
        <f t="shared" si="501"/>
        <v>154647.0975575686</v>
      </c>
      <c r="V206" s="278">
        <f t="shared" si="501"/>
        <v>156193.56853314428</v>
      </c>
    </row>
    <row r="207" spans="1:23">
      <c r="J207" s="269" t="s">
        <v>410</v>
      </c>
      <c r="K207" s="281"/>
      <c r="L207" s="288">
        <f>1</f>
        <v>1</v>
      </c>
      <c r="M207" s="288">
        <f>L207*(1+$G$12)</f>
        <v>1.0147600000000001</v>
      </c>
      <c r="N207" s="288">
        <f>M207*(1+$G$12)</f>
        <v>1.0297378576000003</v>
      </c>
      <c r="O207" s="288">
        <f t="shared" ref="O207" si="502">N207*(1+$G$12)</f>
        <v>1.0449367883781764</v>
      </c>
      <c r="P207" s="288">
        <f t="shared" ref="P207" si="503">O207*(1+$G$12)</f>
        <v>1.0603600553746384</v>
      </c>
      <c r="Q207" s="288">
        <f t="shared" ref="Q207" si="504">P207*(1+$G$12)</f>
        <v>1.0760109697919682</v>
      </c>
      <c r="R207" s="288">
        <f t="shared" ref="R207" si="505">Q207*(1+$G$12)</f>
        <v>1.0918928917060977</v>
      </c>
      <c r="S207" s="288">
        <f t="shared" ref="S207" si="506">R207*(1+$G$12)</f>
        <v>1.1080092307876799</v>
      </c>
      <c r="T207" s="288">
        <f t="shared" ref="T207" si="507">S207*(1+$G$12)</f>
        <v>1.1243634470341062</v>
      </c>
      <c r="U207" s="288">
        <f t="shared" ref="U207" si="508">T207*(1+$G$12)</f>
        <v>1.1409590515123298</v>
      </c>
      <c r="V207" s="288">
        <f t="shared" ref="V207" si="509">U207*(1+$G$12)</f>
        <v>1.157799607112652</v>
      </c>
    </row>
    <row r="208" spans="1:23" ht="15.5">
      <c r="J208" s="270" t="s">
        <v>411</v>
      </c>
      <c r="K208" s="282"/>
      <c r="L208" s="273">
        <f>L206*L207</f>
        <v>141400</v>
      </c>
      <c r="M208" s="273">
        <f>M206*M207</f>
        <v>144921.93464000002</v>
      </c>
      <c r="N208" s="273">
        <f>N206*N207</f>
        <v>148531.5922192393</v>
      </c>
      <c r="O208" s="273">
        <f t="shared" ref="O208:V208" si="510">O206*O207</f>
        <v>152231.15770559924</v>
      </c>
      <c r="P208" s="273">
        <f t="shared" si="510"/>
        <v>156022.87048926725</v>
      </c>
      <c r="Q208" s="273">
        <f t="shared" si="510"/>
        <v>159909.02573826571</v>
      </c>
      <c r="R208" s="273">
        <f t="shared" si="510"/>
        <v>163891.97578774416</v>
      </c>
      <c r="S208" s="273">
        <f t="shared" si="510"/>
        <v>167974.13156387501</v>
      </c>
      <c r="T208" s="273">
        <f t="shared" si="510"/>
        <v>172157.96404321538</v>
      </c>
      <c r="U208" s="273">
        <f t="shared" si="510"/>
        <v>176446.00574841822</v>
      </c>
      <c r="V208" s="273">
        <f t="shared" si="510"/>
        <v>180840.85228119753</v>
      </c>
    </row>
    <row r="209" spans="10:23">
      <c r="J209" s="283" t="s">
        <v>34</v>
      </c>
      <c r="K209" s="274"/>
      <c r="L209" s="289">
        <f>D21</f>
        <v>0.15</v>
      </c>
      <c r="M209" s="289">
        <f>L209*(1+$G$12)</f>
        <v>0.15221400000000002</v>
      </c>
      <c r="N209" s="289">
        <f t="shared" ref="N209" si="511">M209*(1+$G$12)</f>
        <v>0.15446067864000004</v>
      </c>
      <c r="O209" s="289">
        <f t="shared" ref="O209" si="512">N209*(1+$G$12)</f>
        <v>0.15674051825672647</v>
      </c>
      <c r="P209" s="289">
        <f t="shared" ref="P209" si="513">O209*(1+$G$12)</f>
        <v>0.15905400830619576</v>
      </c>
      <c r="Q209" s="289">
        <f t="shared" ref="Q209" si="514">P209*(1+$G$12)</f>
        <v>0.16140164546879524</v>
      </c>
      <c r="R209" s="289">
        <f t="shared" ref="R209" si="515">Q209*(1+$G$12)</f>
        <v>0.16378393375591466</v>
      </c>
      <c r="S209" s="289">
        <f t="shared" ref="S209" si="516">R209*(1+$G$12)</f>
        <v>0.16620138461815198</v>
      </c>
      <c r="T209" s="289">
        <f t="shared" ref="T209" si="517">S209*(1+$G$12)</f>
        <v>0.16865451705511592</v>
      </c>
      <c r="U209" s="289">
        <f t="shared" ref="U209" si="518">T209*(1+$G$12)</f>
        <v>0.17114385772684945</v>
      </c>
      <c r="V209" s="289">
        <f t="shared" ref="V209" si="519">U209*(1+$G$12)</f>
        <v>0.17366994106689776</v>
      </c>
    </row>
    <row r="210" spans="10:23" ht="15.5">
      <c r="J210" s="270" t="s">
        <v>412</v>
      </c>
      <c r="K210" s="282"/>
      <c r="L210" s="273">
        <f>L206*L209</f>
        <v>21210</v>
      </c>
      <c r="M210" s="273">
        <f t="shared" ref="M210:V210" si="520">M206*M209</f>
        <v>21738.290196000002</v>
      </c>
      <c r="N210" s="273">
        <f t="shared" si="520"/>
        <v>22279.738832885898</v>
      </c>
      <c r="O210" s="273">
        <f t="shared" si="520"/>
        <v>22834.673655839888</v>
      </c>
      <c r="P210" s="273">
        <f t="shared" si="520"/>
        <v>23403.430573390087</v>
      </c>
      <c r="Q210" s="273">
        <f t="shared" si="520"/>
        <v>23986.353860739859</v>
      </c>
      <c r="R210" s="273">
        <f t="shared" si="520"/>
        <v>24583.796368161624</v>
      </c>
      <c r="S210" s="273">
        <f t="shared" si="520"/>
        <v>25196.119734581251</v>
      </c>
      <c r="T210" s="273">
        <f t="shared" si="520"/>
        <v>25823.694606482306</v>
      </c>
      <c r="U210" s="273">
        <f t="shared" si="520"/>
        <v>26466.90086226273</v>
      </c>
      <c r="V210" s="273">
        <f t="shared" si="520"/>
        <v>27126.127842179623</v>
      </c>
    </row>
    <row r="211" spans="10:23">
      <c r="J211" s="285" t="s">
        <v>418</v>
      </c>
      <c r="K211" s="274"/>
      <c r="L211" s="274">
        <f>L208*0.03</f>
        <v>4242</v>
      </c>
      <c r="M211" s="274">
        <f t="shared" ref="M211:V211" si="521">M208*0.03</f>
        <v>4347.6580392000005</v>
      </c>
      <c r="N211" s="274">
        <f t="shared" si="521"/>
        <v>4455.9477665771792</v>
      </c>
      <c r="O211" s="274">
        <f t="shared" si="521"/>
        <v>4566.9347311679767</v>
      </c>
      <c r="P211" s="274">
        <f t="shared" si="521"/>
        <v>4680.6861146780175</v>
      </c>
      <c r="Q211" s="274">
        <f t="shared" si="521"/>
        <v>4797.270772147971</v>
      </c>
      <c r="R211" s="274">
        <f t="shared" si="521"/>
        <v>4916.7592736323249</v>
      </c>
      <c r="S211" s="274">
        <f t="shared" si="521"/>
        <v>5039.2239469162505</v>
      </c>
      <c r="T211" s="274">
        <f t="shared" si="521"/>
        <v>5164.7389212964617</v>
      </c>
      <c r="U211" s="274">
        <f t="shared" si="521"/>
        <v>5293.3801724525465</v>
      </c>
      <c r="V211" s="274">
        <f t="shared" si="521"/>
        <v>5425.2255684359252</v>
      </c>
    </row>
    <row r="212" spans="10:23">
      <c r="J212" s="285" t="s">
        <v>413</v>
      </c>
      <c r="K212" s="274"/>
      <c r="L212" s="284">
        <v>3000</v>
      </c>
      <c r="M212" s="274">
        <f>L212*(1+$G$12)</f>
        <v>3044.28</v>
      </c>
      <c r="N212" s="274">
        <f t="shared" ref="N212" si="522">M212*(1+$G$12)</f>
        <v>3089.2135728000007</v>
      </c>
      <c r="O212" s="274">
        <f t="shared" ref="O212" si="523">N212*(1+$G$12)</f>
        <v>3134.8103651345291</v>
      </c>
      <c r="P212" s="274">
        <f t="shared" ref="P212" si="524">O212*(1+$G$12)</f>
        <v>3181.0801661239152</v>
      </c>
      <c r="Q212" s="274">
        <f t="shared" ref="Q212" si="525">P212*(1+$G$12)</f>
        <v>3228.0329093759046</v>
      </c>
      <c r="R212" s="274">
        <f t="shared" ref="R212" si="526">Q212*(1+$G$12)</f>
        <v>3275.6786751182935</v>
      </c>
      <c r="S212" s="274">
        <f t="shared" ref="S212" si="527">R212*(1+$G$12)</f>
        <v>3324.0276923630399</v>
      </c>
      <c r="T212" s="274">
        <f t="shared" ref="T212" si="528">S212*(1+$G$12)</f>
        <v>3373.0903411023187</v>
      </c>
      <c r="U212" s="274">
        <f t="shared" ref="U212" si="529">T212*(1+$G$12)</f>
        <v>3422.8771545369891</v>
      </c>
      <c r="V212" s="274">
        <f t="shared" ref="V212" si="530">U212*(1+$G$12)</f>
        <v>3473.3988213379553</v>
      </c>
    </row>
    <row r="213" spans="10:23" ht="15.5">
      <c r="J213" s="270" t="s">
        <v>35</v>
      </c>
      <c r="K213" s="282"/>
      <c r="L213" s="273">
        <f>L211+L212</f>
        <v>7242</v>
      </c>
      <c r="M213" s="273">
        <f t="shared" ref="M213:V213" si="531">M211+M212</f>
        <v>7391.9380392000003</v>
      </c>
      <c r="N213" s="273">
        <f t="shared" si="531"/>
        <v>7545.1613393771804</v>
      </c>
      <c r="O213" s="273">
        <f t="shared" si="531"/>
        <v>7701.7450963025058</v>
      </c>
      <c r="P213" s="273">
        <f t="shared" si="531"/>
        <v>7861.7662808019322</v>
      </c>
      <c r="Q213" s="273">
        <f t="shared" si="531"/>
        <v>8025.3036815238756</v>
      </c>
      <c r="R213" s="273">
        <f t="shared" si="531"/>
        <v>8192.4379487506194</v>
      </c>
      <c r="S213" s="273">
        <f t="shared" si="531"/>
        <v>8363.2516392792895</v>
      </c>
      <c r="T213" s="273">
        <f t="shared" si="531"/>
        <v>8537.82926239878</v>
      </c>
      <c r="U213" s="273">
        <f t="shared" si="531"/>
        <v>8716.2573269895365</v>
      </c>
      <c r="V213" s="273">
        <f t="shared" si="531"/>
        <v>8898.6243897738805</v>
      </c>
    </row>
    <row r="214" spans="10:23">
      <c r="J214" s="286" t="s">
        <v>414</v>
      </c>
      <c r="K214" s="274"/>
      <c r="L214" s="274">
        <f>L208-L210-L213</f>
        <v>112948</v>
      </c>
      <c r="M214" s="274">
        <f t="shared" ref="M214:V214" si="532">M208-M210-M213</f>
        <v>115791.70640480002</v>
      </c>
      <c r="N214" s="274">
        <f t="shared" si="532"/>
        <v>118706.69204697623</v>
      </c>
      <c r="O214" s="274">
        <f t="shared" si="532"/>
        <v>121694.73895345685</v>
      </c>
      <c r="P214" s="274">
        <f t="shared" si="532"/>
        <v>124757.67363507522</v>
      </c>
      <c r="Q214" s="274">
        <f t="shared" si="532"/>
        <v>127897.36819600199</v>
      </c>
      <c r="R214" s="274">
        <f t="shared" si="532"/>
        <v>131115.74147083191</v>
      </c>
      <c r="S214" s="274">
        <f t="shared" si="532"/>
        <v>134414.76019001449</v>
      </c>
      <c r="T214" s="274">
        <f t="shared" si="532"/>
        <v>137796.44017433428</v>
      </c>
      <c r="U214" s="274">
        <f t="shared" si="532"/>
        <v>141262.84755916597</v>
      </c>
      <c r="V214" s="274">
        <f t="shared" si="532"/>
        <v>144816.10004924404</v>
      </c>
    </row>
    <row r="215" spans="10:23">
      <c r="J215" s="286" t="s">
        <v>415</v>
      </c>
      <c r="K215" s="274"/>
      <c r="L215" s="274">
        <f>L214*$G$13</f>
        <v>45179.200000000004</v>
      </c>
      <c r="M215" s="274">
        <f t="shared" ref="M215:Q215" si="533">M214*$G$13</f>
        <v>46316.68256192001</v>
      </c>
      <c r="N215" s="274">
        <f t="shared" si="533"/>
        <v>47482.676818790496</v>
      </c>
      <c r="O215" s="274">
        <f t="shared" si="533"/>
        <v>48677.895581382742</v>
      </c>
      <c r="P215" s="274">
        <f t="shared" si="533"/>
        <v>49903.06945403009</v>
      </c>
      <c r="Q215" s="274">
        <f t="shared" si="533"/>
        <v>51158.947278400796</v>
      </c>
      <c r="R215" s="274">
        <f>R214*$G$13</f>
        <v>52446.296588332771</v>
      </c>
      <c r="S215" s="274">
        <f t="shared" ref="S215:V215" si="534">S214*$G$13</f>
        <v>53765.904076005798</v>
      </c>
      <c r="T215" s="274">
        <f t="shared" si="534"/>
        <v>55118.57606973371</v>
      </c>
      <c r="U215" s="274">
        <f t="shared" si="534"/>
        <v>56505.139023666386</v>
      </c>
      <c r="V215" s="274">
        <f t="shared" si="534"/>
        <v>57926.44001969762</v>
      </c>
    </row>
    <row r="216" spans="10:23" ht="15.5">
      <c r="J216" s="270" t="s">
        <v>358</v>
      </c>
      <c r="K216" s="272"/>
      <c r="L216" s="273">
        <f>L214-L215</f>
        <v>67768.799999999988</v>
      </c>
      <c r="M216" s="273">
        <f t="shared" ref="M216:V216" si="535">M214-M215</f>
        <v>69475.023842880008</v>
      </c>
      <c r="N216" s="273">
        <f t="shared" si="535"/>
        <v>71224.01522818573</v>
      </c>
      <c r="O216" s="273">
        <f t="shared" si="535"/>
        <v>73016.843372074101</v>
      </c>
      <c r="P216" s="273">
        <f t="shared" si="535"/>
        <v>74854.604181045128</v>
      </c>
      <c r="Q216" s="273">
        <f t="shared" si="535"/>
        <v>76738.420917601194</v>
      </c>
      <c r="R216" s="273">
        <f t="shared" si="535"/>
        <v>78669.444882499141</v>
      </c>
      <c r="S216" s="273">
        <f t="shared" si="535"/>
        <v>80648.856114008697</v>
      </c>
      <c r="T216" s="273">
        <f t="shared" si="535"/>
        <v>82677.864104600565</v>
      </c>
      <c r="U216" s="273">
        <f t="shared" si="535"/>
        <v>84757.70853549958</v>
      </c>
      <c r="V216" s="273">
        <f t="shared" si="535"/>
        <v>86889.660029546416</v>
      </c>
    </row>
    <row r="217" spans="10:23" ht="15.5">
      <c r="J217" s="270" t="s">
        <v>419</v>
      </c>
      <c r="K217" s="272"/>
      <c r="L217" s="273">
        <f>M208*$G$14</f>
        <v>24153.655773333336</v>
      </c>
      <c r="M217" s="273">
        <f t="shared" ref="M217" si="536">N208*$G$14</f>
        <v>24755.265369873217</v>
      </c>
      <c r="N217" s="273">
        <f t="shared" ref="N217" si="537">O208*$G$14</f>
        <v>25371.859617599872</v>
      </c>
      <c r="O217" s="273">
        <f t="shared" ref="O217" si="538">P208*$G$14</f>
        <v>26003.811748211207</v>
      </c>
      <c r="P217" s="273">
        <f t="shared" ref="P217" si="539">Q208*$G$14</f>
        <v>26651.504289710952</v>
      </c>
      <c r="Q217" s="273">
        <f t="shared" ref="Q217" si="540">R208*$G$14</f>
        <v>27315.32929795736</v>
      </c>
      <c r="R217" s="273">
        <f t="shared" ref="R217" si="541">S208*$G$14</f>
        <v>27995.688593979168</v>
      </c>
      <c r="S217" s="273">
        <f t="shared" ref="S217" si="542">T208*$G$14</f>
        <v>28692.994007202564</v>
      </c>
      <c r="T217" s="273">
        <f t="shared" ref="T217" si="543">U208*$G$14</f>
        <v>29407.667624736368</v>
      </c>
      <c r="U217" s="273">
        <f t="shared" ref="U217" si="544">V208*$G$14</f>
        <v>30140.142046866255</v>
      </c>
      <c r="V217" s="273">
        <f t="shared" ref="V217" si="545">W208*$G$14</f>
        <v>0</v>
      </c>
    </row>
    <row r="218" spans="10:23" ht="16" thickBot="1">
      <c r="J218" s="270" t="s">
        <v>416</v>
      </c>
      <c r="K218" s="290">
        <f>L208*$G$14</f>
        <v>23566.666666666664</v>
      </c>
      <c r="L218" s="273">
        <f>L217-K218</f>
        <v>586.98910666667143</v>
      </c>
      <c r="M218" s="273">
        <f>M217-L217</f>
        <v>601.60959653988175</v>
      </c>
      <c r="N218" s="273">
        <f t="shared" ref="N218" si="546">N217-M217</f>
        <v>616.59424772665443</v>
      </c>
      <c r="O218" s="273">
        <f t="shared" ref="O218" si="547">O217-N217</f>
        <v>631.95213061133472</v>
      </c>
      <c r="P218" s="273">
        <f t="shared" ref="P218" si="548">P217-O217</f>
        <v>647.69254149974586</v>
      </c>
      <c r="Q218" s="273">
        <f t="shared" ref="Q218" si="549">Q217-P217</f>
        <v>663.82500824640738</v>
      </c>
      <c r="R218" s="273">
        <f t="shared" ref="R218" si="550">R217-Q217</f>
        <v>680.3592960218084</v>
      </c>
      <c r="S218" s="273">
        <f t="shared" ref="S218" si="551">S217-R217</f>
        <v>697.30541322339559</v>
      </c>
      <c r="T218" s="273">
        <f t="shared" ref="T218" si="552">T217-S217</f>
        <v>714.67361753380465</v>
      </c>
      <c r="U218" s="273">
        <f t="shared" ref="U218" si="553">U217-T217</f>
        <v>732.47442212988608</v>
      </c>
      <c r="V218" s="273">
        <f t="shared" ref="V218" si="554">V217-U217</f>
        <v>-30140.142046866255</v>
      </c>
    </row>
    <row r="219" spans="10:23" ht="15.5">
      <c r="J219" s="271" t="s">
        <v>417</v>
      </c>
      <c r="K219" s="275">
        <f>K216-K218</f>
        <v>-23566.666666666664</v>
      </c>
      <c r="L219" s="275">
        <f>L216-L218</f>
        <v>67181.810893333313</v>
      </c>
      <c r="M219" s="275">
        <f>M216-M218</f>
        <v>68873.414246340122</v>
      </c>
      <c r="N219" s="275">
        <f t="shared" ref="N219:V219" si="555">N216-N218</f>
        <v>70607.420980459079</v>
      </c>
      <c r="O219" s="275">
        <f t="shared" si="555"/>
        <v>72384.89124146277</v>
      </c>
      <c r="P219" s="275">
        <f t="shared" si="555"/>
        <v>74206.911639545375</v>
      </c>
      <c r="Q219" s="275">
        <f t="shared" si="555"/>
        <v>76074.595909354786</v>
      </c>
      <c r="R219" s="275">
        <f t="shared" si="555"/>
        <v>77989.085586477333</v>
      </c>
      <c r="S219" s="275">
        <f t="shared" si="555"/>
        <v>79951.550700785301</v>
      </c>
      <c r="T219" s="275">
        <f t="shared" si="555"/>
        <v>81963.190487066764</v>
      </c>
      <c r="U219" s="275">
        <f t="shared" si="555"/>
        <v>84025.23411336969</v>
      </c>
      <c r="V219" s="275">
        <f t="shared" si="555"/>
        <v>117029.80207641267</v>
      </c>
      <c r="W219" s="295" t="s">
        <v>360</v>
      </c>
    </row>
    <row r="220" spans="10:23" ht="16" thickBot="1">
      <c r="J220" s="271" t="s">
        <v>367</v>
      </c>
      <c r="K220" s="291">
        <f>K219/(1+$G$16)^(K203-$G$15)</f>
        <v>-15387.324889749792</v>
      </c>
      <c r="L220" s="291">
        <f>L219/(1+$G$16)^(L203-$G$15)</f>
        <v>39430.556982057577</v>
      </c>
      <c r="M220" s="291">
        <f t="shared" ref="M220:V220" si="556">M219/(1+$G$16)^(M203-$G$15)</f>
        <v>36336.999216187731</v>
      </c>
      <c r="N220" s="291">
        <f t="shared" si="556"/>
        <v>33486.058886575309</v>
      </c>
      <c r="O220" s="291">
        <f t="shared" si="556"/>
        <v>30858.716266952972</v>
      </c>
      <c r="P220" s="291">
        <f t="shared" si="556"/>
        <v>28437.44196075786</v>
      </c>
      <c r="Q220" s="291">
        <f t="shared" si="556"/>
        <v>26206.080185069684</v>
      </c>
      <c r="R220" s="291">
        <f t="shared" si="556"/>
        <v>24149.741189787379</v>
      </c>
      <c r="S220" s="291">
        <f t="shared" si="556"/>
        <v>22254.702097520229</v>
      </c>
      <c r="T220" s="291">
        <f t="shared" si="556"/>
        <v>20508.315505513936</v>
      </c>
      <c r="U220" s="291">
        <f t="shared" si="556"/>
        <v>18898.925242416888</v>
      </c>
      <c r="V220" s="291">
        <f t="shared" si="556"/>
        <v>23661.380940462441</v>
      </c>
      <c r="W220" s="294">
        <f>SUM(K220:V220)</f>
        <v>288841.59358355223</v>
      </c>
    </row>
    <row r="225" spans="10:22">
      <c r="J225">
        <v>1112211</v>
      </c>
    </row>
    <row r="227" spans="10:22" ht="15.5">
      <c r="J227" s="276" t="s">
        <v>407</v>
      </c>
      <c r="K227" s="276">
        <v>2013</v>
      </c>
      <c r="L227" s="276">
        <v>2014</v>
      </c>
      <c r="M227" s="276">
        <v>2015</v>
      </c>
      <c r="N227" s="276">
        <v>2016</v>
      </c>
      <c r="O227" s="276">
        <v>2017</v>
      </c>
      <c r="P227" s="276">
        <v>2018</v>
      </c>
      <c r="Q227" s="276">
        <v>2019</v>
      </c>
      <c r="R227" s="276">
        <v>2020</v>
      </c>
      <c r="S227" s="276">
        <v>2021</v>
      </c>
      <c r="T227" s="276">
        <v>2022</v>
      </c>
      <c r="U227" s="276">
        <v>2023</v>
      </c>
      <c r="V227" s="276">
        <v>2024</v>
      </c>
    </row>
    <row r="228" spans="10:22">
      <c r="J228" s="269" t="s">
        <v>33</v>
      </c>
      <c r="K228" s="277">
        <f>Données!$C$5</f>
        <v>560000</v>
      </c>
      <c r="L228" s="278">
        <f>K228*(1+$D$12)</f>
        <v>571200</v>
      </c>
      <c r="M228" s="278">
        <f t="shared" ref="M228:V228" si="557">L228*(1+$D$12)</f>
        <v>582624</v>
      </c>
      <c r="N228" s="278">
        <f t="shared" si="557"/>
        <v>594276.48</v>
      </c>
      <c r="O228" s="278">
        <f t="shared" si="557"/>
        <v>606162.00959999999</v>
      </c>
      <c r="P228" s="278">
        <f t="shared" si="557"/>
        <v>618285.24979200005</v>
      </c>
      <c r="Q228" s="278">
        <f t="shared" si="557"/>
        <v>630650.95478784002</v>
      </c>
      <c r="R228" s="278">
        <f t="shared" si="557"/>
        <v>643263.97388359683</v>
      </c>
      <c r="S228" s="278">
        <f t="shared" si="557"/>
        <v>656129.25336126878</v>
      </c>
      <c r="T228" s="278">
        <f t="shared" si="557"/>
        <v>669251.83842849417</v>
      </c>
      <c r="U228" s="278">
        <f t="shared" si="557"/>
        <v>682636.87519706402</v>
      </c>
      <c r="V228" s="278">
        <f t="shared" si="557"/>
        <v>696289.6127010053</v>
      </c>
    </row>
    <row r="229" spans="10:22">
      <c r="J229" s="269" t="s">
        <v>408</v>
      </c>
      <c r="K229" s="279"/>
      <c r="L229" s="278">
        <f>L228*$D$14</f>
        <v>571200</v>
      </c>
      <c r="M229" s="278">
        <f t="shared" ref="M229:V229" si="558">M228*$D$14</f>
        <v>582624</v>
      </c>
      <c r="N229" s="278">
        <f t="shared" si="558"/>
        <v>594276.48</v>
      </c>
      <c r="O229" s="278">
        <f t="shared" si="558"/>
        <v>606162.00959999999</v>
      </c>
      <c r="P229" s="278">
        <f t="shared" si="558"/>
        <v>618285.24979200005</v>
      </c>
      <c r="Q229" s="278">
        <f t="shared" si="558"/>
        <v>630650.95478784002</v>
      </c>
      <c r="R229" s="278">
        <f t="shared" si="558"/>
        <v>643263.97388359683</v>
      </c>
      <c r="S229" s="278">
        <f t="shared" si="558"/>
        <v>656129.25336126878</v>
      </c>
      <c r="T229" s="278">
        <f t="shared" si="558"/>
        <v>669251.83842849417</v>
      </c>
      <c r="U229" s="278">
        <f t="shared" si="558"/>
        <v>682636.87519706402</v>
      </c>
      <c r="V229" s="278">
        <f t="shared" si="558"/>
        <v>696289.6127010053</v>
      </c>
    </row>
    <row r="230" spans="10:22">
      <c r="J230" s="269" t="s">
        <v>409</v>
      </c>
      <c r="K230" s="280"/>
      <c r="L230" s="278">
        <f>L229*$D$17</f>
        <v>188496</v>
      </c>
      <c r="M230" s="278">
        <f t="shared" ref="M230:V230" si="559">M229*$D$17</f>
        <v>192265.92</v>
      </c>
      <c r="N230" s="278">
        <f t="shared" si="559"/>
        <v>196111.2384</v>
      </c>
      <c r="O230" s="278">
        <f t="shared" si="559"/>
        <v>200033.46316800002</v>
      </c>
      <c r="P230" s="278">
        <f t="shared" si="559"/>
        <v>204034.13243136002</v>
      </c>
      <c r="Q230" s="278">
        <f t="shared" si="559"/>
        <v>208114.81507998722</v>
      </c>
      <c r="R230" s="278">
        <f t="shared" si="559"/>
        <v>212277.11138158696</v>
      </c>
      <c r="S230" s="278">
        <f t="shared" si="559"/>
        <v>216522.65360921872</v>
      </c>
      <c r="T230" s="278">
        <f t="shared" si="559"/>
        <v>220853.10668140309</v>
      </c>
      <c r="U230" s="278">
        <f t="shared" si="559"/>
        <v>225270.16881503112</v>
      </c>
      <c r="V230" s="278">
        <f t="shared" si="559"/>
        <v>229775.57219133177</v>
      </c>
    </row>
    <row r="231" spans="10:22">
      <c r="J231" s="269" t="s">
        <v>410</v>
      </c>
      <c r="K231" s="281"/>
      <c r="L231" s="288">
        <f>1</f>
        <v>1</v>
      </c>
      <c r="M231" s="288">
        <f>L231*(1+$G$12)</f>
        <v>1.0147600000000001</v>
      </c>
      <c r="N231" s="288">
        <f>M231*(1+$G$12)</f>
        <v>1.0297378576000003</v>
      </c>
      <c r="O231" s="288">
        <f t="shared" ref="O231" si="560">N231*(1+$G$12)</f>
        <v>1.0449367883781764</v>
      </c>
      <c r="P231" s="288">
        <f t="shared" ref="P231" si="561">O231*(1+$G$12)</f>
        <v>1.0603600553746384</v>
      </c>
      <c r="Q231" s="288">
        <f t="shared" ref="Q231" si="562">P231*(1+$G$12)</f>
        <v>1.0760109697919682</v>
      </c>
      <c r="R231" s="288">
        <f t="shared" ref="R231" si="563">Q231*(1+$G$12)</f>
        <v>1.0918928917060977</v>
      </c>
      <c r="S231" s="288">
        <f t="shared" ref="S231" si="564">R231*(1+$G$12)</f>
        <v>1.1080092307876799</v>
      </c>
      <c r="T231" s="288">
        <f t="shared" ref="T231" si="565">S231*(1+$G$12)</f>
        <v>1.1243634470341062</v>
      </c>
      <c r="U231" s="288">
        <f t="shared" ref="U231" si="566">T231*(1+$G$12)</f>
        <v>1.1409590515123298</v>
      </c>
      <c r="V231" s="288">
        <f t="shared" ref="V231" si="567">U231*(1+$G$12)</f>
        <v>1.157799607112652</v>
      </c>
    </row>
    <row r="232" spans="10:22" ht="15.5">
      <c r="J232" s="270" t="s">
        <v>411</v>
      </c>
      <c r="K232" s="282"/>
      <c r="L232" s="273">
        <f>L230*L231</f>
        <v>188496</v>
      </c>
      <c r="M232" s="273">
        <f>M230*M231</f>
        <v>195103.76497920003</v>
      </c>
      <c r="N232" s="273">
        <f>N230*N231</f>
        <v>201943.16648129889</v>
      </c>
      <c r="O232" s="273">
        <f t="shared" ref="O232:V232" si="568">O230*O231</f>
        <v>209022.32457093417</v>
      </c>
      <c r="P232" s="273">
        <f t="shared" si="568"/>
        <v>216349.64396323322</v>
      </c>
      <c r="Q232" s="273">
        <f t="shared" si="568"/>
        <v>223933.82400229317</v>
      </c>
      <c r="R232" s="273">
        <f t="shared" si="568"/>
        <v>231783.86898945837</v>
      </c>
      <c r="S232" s="273">
        <f t="shared" si="568"/>
        <v>239909.0988736577</v>
      </c>
      <c r="T232" s="273">
        <f t="shared" si="568"/>
        <v>248319.16031649357</v>
      </c>
      <c r="U232" s="273">
        <f t="shared" si="568"/>
        <v>257024.03814522031</v>
      </c>
      <c r="V232" s="273">
        <f t="shared" si="568"/>
        <v>266034.06720720872</v>
      </c>
    </row>
    <row r="233" spans="10:22">
      <c r="J233" s="283" t="s">
        <v>34</v>
      </c>
      <c r="K233" s="274"/>
      <c r="L233" s="289">
        <f>D21</f>
        <v>0.15</v>
      </c>
      <c r="M233" s="289">
        <f>L233*(1+$G$12)</f>
        <v>0.15221400000000002</v>
      </c>
      <c r="N233" s="289">
        <f t="shared" ref="N233" si="569">M233*(1+$G$12)</f>
        <v>0.15446067864000004</v>
      </c>
      <c r="O233" s="289">
        <f t="shared" ref="O233" si="570">N233*(1+$G$12)</f>
        <v>0.15674051825672647</v>
      </c>
      <c r="P233" s="289">
        <f t="shared" ref="P233" si="571">O233*(1+$G$12)</f>
        <v>0.15905400830619576</v>
      </c>
      <c r="Q233" s="289">
        <f t="shared" ref="Q233" si="572">P233*(1+$G$12)</f>
        <v>0.16140164546879524</v>
      </c>
      <c r="R233" s="289">
        <f t="shared" ref="R233" si="573">Q233*(1+$G$12)</f>
        <v>0.16378393375591466</v>
      </c>
      <c r="S233" s="289">
        <f t="shared" ref="S233" si="574">R233*(1+$G$12)</f>
        <v>0.16620138461815198</v>
      </c>
      <c r="T233" s="289">
        <f t="shared" ref="T233" si="575">S233*(1+$G$12)</f>
        <v>0.16865451705511592</v>
      </c>
      <c r="U233" s="289">
        <f t="shared" ref="U233" si="576">T233*(1+$G$12)</f>
        <v>0.17114385772684945</v>
      </c>
      <c r="V233" s="289">
        <f t="shared" ref="V233" si="577">U233*(1+$G$12)</f>
        <v>0.17366994106689776</v>
      </c>
    </row>
    <row r="234" spans="10:22" ht="15.5">
      <c r="J234" s="270" t="s">
        <v>412</v>
      </c>
      <c r="K234" s="282"/>
      <c r="L234" s="273">
        <f>L230*L233</f>
        <v>28274.399999999998</v>
      </c>
      <c r="M234" s="273">
        <f t="shared" ref="M234:V234" si="578">M230*M233</f>
        <v>29265.564746880005</v>
      </c>
      <c r="N234" s="273">
        <f t="shared" si="578"/>
        <v>30291.474972194836</v>
      </c>
      <c r="O234" s="273">
        <f t="shared" si="578"/>
        <v>31353.348685640129</v>
      </c>
      <c r="P234" s="273">
        <f t="shared" si="578"/>
        <v>32452.446594484984</v>
      </c>
      <c r="Q234" s="273">
        <f t="shared" si="578"/>
        <v>33590.073600343982</v>
      </c>
      <c r="R234" s="273">
        <f t="shared" si="578"/>
        <v>34767.580348418756</v>
      </c>
      <c r="S234" s="273">
        <f t="shared" si="578"/>
        <v>35986.364831048653</v>
      </c>
      <c r="T234" s="273">
        <f t="shared" si="578"/>
        <v>37247.874047474033</v>
      </c>
      <c r="U234" s="273">
        <f t="shared" si="578"/>
        <v>38553.605721783046</v>
      </c>
      <c r="V234" s="273">
        <f t="shared" si="578"/>
        <v>39905.1100810813</v>
      </c>
    </row>
    <row r="235" spans="10:22">
      <c r="J235" s="285" t="s">
        <v>418</v>
      </c>
      <c r="K235" s="274"/>
      <c r="L235" s="274">
        <f>L232*0.03</f>
        <v>5654.88</v>
      </c>
      <c r="M235" s="274">
        <f t="shared" ref="M235:V235" si="579">M232*0.03</f>
        <v>5853.1129493760009</v>
      </c>
      <c r="N235" s="274">
        <f t="shared" si="579"/>
        <v>6058.2949944389666</v>
      </c>
      <c r="O235" s="274">
        <f t="shared" si="579"/>
        <v>6270.6697371280252</v>
      </c>
      <c r="P235" s="274">
        <f t="shared" si="579"/>
        <v>6490.4893188969963</v>
      </c>
      <c r="Q235" s="274">
        <f t="shared" si="579"/>
        <v>6718.0147200687952</v>
      </c>
      <c r="R235" s="274">
        <f t="shared" si="579"/>
        <v>6953.5160696837511</v>
      </c>
      <c r="S235" s="274">
        <f t="shared" si="579"/>
        <v>7197.2729662097308</v>
      </c>
      <c r="T235" s="274">
        <f t="shared" si="579"/>
        <v>7449.5748094948067</v>
      </c>
      <c r="U235" s="274">
        <f t="shared" si="579"/>
        <v>7710.7211443566093</v>
      </c>
      <c r="V235" s="274">
        <f t="shared" si="579"/>
        <v>7981.0220162162614</v>
      </c>
    </row>
    <row r="236" spans="10:22">
      <c r="J236" s="285" t="s">
        <v>413</v>
      </c>
      <c r="K236" s="274"/>
      <c r="L236" s="284">
        <v>3000</v>
      </c>
      <c r="M236" s="274">
        <f>L236*(1+$G$12)</f>
        <v>3044.28</v>
      </c>
      <c r="N236" s="274">
        <f t="shared" ref="N236" si="580">M236*(1+$G$12)</f>
        <v>3089.2135728000007</v>
      </c>
      <c r="O236" s="274">
        <f t="shared" ref="O236" si="581">N236*(1+$G$12)</f>
        <v>3134.8103651345291</v>
      </c>
      <c r="P236" s="274">
        <f t="shared" ref="P236" si="582">O236*(1+$G$12)</f>
        <v>3181.0801661239152</v>
      </c>
      <c r="Q236" s="274">
        <f t="shared" ref="Q236" si="583">P236*(1+$G$12)</f>
        <v>3228.0329093759046</v>
      </c>
      <c r="R236" s="274">
        <f t="shared" ref="R236" si="584">Q236*(1+$G$12)</f>
        <v>3275.6786751182935</v>
      </c>
      <c r="S236" s="274">
        <f t="shared" ref="S236" si="585">R236*(1+$G$12)</f>
        <v>3324.0276923630399</v>
      </c>
      <c r="T236" s="274">
        <f t="shared" ref="T236" si="586">S236*(1+$G$12)</f>
        <v>3373.0903411023187</v>
      </c>
      <c r="U236" s="274">
        <f t="shared" ref="U236" si="587">T236*(1+$G$12)</f>
        <v>3422.8771545369891</v>
      </c>
      <c r="V236" s="274">
        <f t="shared" ref="V236" si="588">U236*(1+$G$12)</f>
        <v>3473.3988213379553</v>
      </c>
    </row>
    <row r="237" spans="10:22" ht="15.5">
      <c r="J237" s="270" t="s">
        <v>35</v>
      </c>
      <c r="K237" s="282"/>
      <c r="L237" s="273">
        <f>L235+L236</f>
        <v>8654.880000000001</v>
      </c>
      <c r="M237" s="273">
        <f t="shared" ref="M237:V237" si="589">M235+M236</f>
        <v>8897.3929493760006</v>
      </c>
      <c r="N237" s="273">
        <f t="shared" si="589"/>
        <v>9147.5085672389669</v>
      </c>
      <c r="O237" s="273">
        <f t="shared" si="589"/>
        <v>9405.4801022625543</v>
      </c>
      <c r="P237" s="273">
        <f t="shared" si="589"/>
        <v>9671.5694850209111</v>
      </c>
      <c r="Q237" s="273">
        <f t="shared" si="589"/>
        <v>9946.0476294446999</v>
      </c>
      <c r="R237" s="273">
        <f t="shared" si="589"/>
        <v>10229.194744802044</v>
      </c>
      <c r="S237" s="273">
        <f t="shared" si="589"/>
        <v>10521.300658572771</v>
      </c>
      <c r="T237" s="273">
        <f t="shared" si="589"/>
        <v>10822.665150597126</v>
      </c>
      <c r="U237" s="273">
        <f t="shared" si="589"/>
        <v>11133.598298893598</v>
      </c>
      <c r="V237" s="273">
        <f t="shared" si="589"/>
        <v>11454.420837554217</v>
      </c>
    </row>
    <row r="238" spans="10:22">
      <c r="J238" s="286" t="s">
        <v>414</v>
      </c>
      <c r="K238" s="274"/>
      <c r="L238" s="274">
        <f>L232-L234-L237</f>
        <v>151566.72</v>
      </c>
      <c r="M238" s="274">
        <f t="shared" ref="M238:V238" si="590">M232-M234-M237</f>
        <v>156940.80728294404</v>
      </c>
      <c r="N238" s="274">
        <f t="shared" si="590"/>
        <v>162504.18294186509</v>
      </c>
      <c r="O238" s="274">
        <f t="shared" si="590"/>
        <v>168263.49578303148</v>
      </c>
      <c r="P238" s="274">
        <f t="shared" si="590"/>
        <v>174225.62788372731</v>
      </c>
      <c r="Q238" s="274">
        <f t="shared" si="590"/>
        <v>180397.70277250448</v>
      </c>
      <c r="R238" s="274">
        <f t="shared" si="590"/>
        <v>186787.09389623755</v>
      </c>
      <c r="S238" s="274">
        <f t="shared" si="590"/>
        <v>193401.4333840363</v>
      </c>
      <c r="T238" s="274">
        <f t="shared" si="590"/>
        <v>200248.62111842239</v>
      </c>
      <c r="U238" s="274">
        <f t="shared" si="590"/>
        <v>207336.83412454367</v>
      </c>
      <c r="V238" s="274">
        <f t="shared" si="590"/>
        <v>214674.5362885732</v>
      </c>
    </row>
    <row r="239" spans="10:22">
      <c r="J239" s="286" t="s">
        <v>415</v>
      </c>
      <c r="K239" s="274"/>
      <c r="L239" s="274">
        <f>L238*$G$13</f>
        <v>60626.688000000002</v>
      </c>
      <c r="M239" s="274">
        <f t="shared" ref="M239:Q239" si="591">M238*$G$13</f>
        <v>62776.322913177617</v>
      </c>
      <c r="N239" s="274">
        <f t="shared" si="591"/>
        <v>65001.673176746037</v>
      </c>
      <c r="O239" s="274">
        <f t="shared" si="591"/>
        <v>67305.398313212601</v>
      </c>
      <c r="P239" s="274">
        <f t="shared" si="591"/>
        <v>69690.251153490928</v>
      </c>
      <c r="Q239" s="274">
        <f t="shared" si="591"/>
        <v>72159.081109001796</v>
      </c>
      <c r="R239" s="274">
        <f>R238*$G$13</f>
        <v>74714.837558495026</v>
      </c>
      <c r="S239" s="274">
        <f t="shared" ref="S239:V239" si="592">S238*$G$13</f>
        <v>77360.573353614527</v>
      </c>
      <c r="T239" s="274">
        <f t="shared" si="592"/>
        <v>80099.448447368966</v>
      </c>
      <c r="U239" s="274">
        <f t="shared" si="592"/>
        <v>82934.73364981747</v>
      </c>
      <c r="V239" s="274">
        <f t="shared" si="592"/>
        <v>85869.814515429287</v>
      </c>
    </row>
    <row r="240" spans="10:22" ht="15.5">
      <c r="J240" s="270" t="s">
        <v>358</v>
      </c>
      <c r="K240" s="272"/>
      <c r="L240" s="273">
        <f>L238-L239</f>
        <v>90940.032000000007</v>
      </c>
      <c r="M240" s="273">
        <f t="shared" ref="M240:V240" si="593">M238-M239</f>
        <v>94164.484369766418</v>
      </c>
      <c r="N240" s="273">
        <f t="shared" si="593"/>
        <v>97502.509765119059</v>
      </c>
      <c r="O240" s="273">
        <f t="shared" si="593"/>
        <v>100958.09746981888</v>
      </c>
      <c r="P240" s="273">
        <f t="shared" si="593"/>
        <v>104535.37673023638</v>
      </c>
      <c r="Q240" s="273">
        <f t="shared" si="593"/>
        <v>108238.62166350268</v>
      </c>
      <c r="R240" s="273">
        <f t="shared" si="593"/>
        <v>112072.25633774252</v>
      </c>
      <c r="S240" s="273">
        <f t="shared" si="593"/>
        <v>116040.86003042177</v>
      </c>
      <c r="T240" s="273">
        <f t="shared" si="593"/>
        <v>120149.17267105343</v>
      </c>
      <c r="U240" s="273">
        <f t="shared" si="593"/>
        <v>124402.1004747262</v>
      </c>
      <c r="V240" s="273">
        <f t="shared" si="593"/>
        <v>128804.72177314392</v>
      </c>
    </row>
    <row r="241" spans="10:23" ht="15.5">
      <c r="J241" s="270" t="s">
        <v>419</v>
      </c>
      <c r="K241" s="272"/>
      <c r="L241" s="273">
        <f>M232*$G$14</f>
        <v>32517.294163200004</v>
      </c>
      <c r="M241" s="273">
        <f t="shared" ref="M241" si="594">N232*$G$14</f>
        <v>33657.194413549812</v>
      </c>
      <c r="N241" s="273">
        <f t="shared" ref="N241" si="595">O232*$G$14</f>
        <v>34837.05409515569</v>
      </c>
      <c r="O241" s="273">
        <f t="shared" ref="O241" si="596">P232*$G$14</f>
        <v>36058.273993872201</v>
      </c>
      <c r="P241" s="273">
        <f t="shared" ref="P241" si="597">Q232*$G$14</f>
        <v>37322.304000382195</v>
      </c>
      <c r="Q241" s="273">
        <f t="shared" ref="Q241" si="598">R232*$G$14</f>
        <v>38630.644831576392</v>
      </c>
      <c r="R241" s="273">
        <f t="shared" ref="R241" si="599">S232*$G$14</f>
        <v>39984.849812276283</v>
      </c>
      <c r="S241" s="273">
        <f t="shared" ref="S241" si="600">T232*$G$14</f>
        <v>41386.526719415589</v>
      </c>
      <c r="T241" s="273">
        <f t="shared" ref="T241" si="601">U232*$G$14</f>
        <v>42837.339690870052</v>
      </c>
      <c r="U241" s="273">
        <f t="shared" ref="U241" si="602">V232*$G$14</f>
        <v>44339.011201201451</v>
      </c>
      <c r="V241" s="273">
        <f t="shared" ref="V241" si="603">W232*$G$14</f>
        <v>0</v>
      </c>
    </row>
    <row r="242" spans="10:23" ht="16" thickBot="1">
      <c r="J242" s="270" t="s">
        <v>416</v>
      </c>
      <c r="K242" s="290">
        <f>L232*$G$14</f>
        <v>31416</v>
      </c>
      <c r="L242" s="273">
        <f>L241-K242</f>
        <v>1101.2941632000038</v>
      </c>
      <c r="M242" s="273">
        <f>M241-L241</f>
        <v>1139.9002503498086</v>
      </c>
      <c r="N242" s="273">
        <f t="shared" ref="N242" si="604">N241-M241</f>
        <v>1179.859681605878</v>
      </c>
      <c r="O242" s="273">
        <f t="shared" ref="O242" si="605">O241-N241</f>
        <v>1221.2198987165102</v>
      </c>
      <c r="P242" s="273">
        <f t="shared" ref="P242" si="606">P241-O241</f>
        <v>1264.0300065099946</v>
      </c>
      <c r="Q242" s="273">
        <f t="shared" ref="Q242" si="607">Q241-P241</f>
        <v>1308.3408311941967</v>
      </c>
      <c r="R242" s="273">
        <f t="shared" ref="R242" si="608">R241-Q241</f>
        <v>1354.2049806998912</v>
      </c>
      <c r="S242" s="273">
        <f t="shared" ref="S242" si="609">S241-R241</f>
        <v>1401.6769071393064</v>
      </c>
      <c r="T242" s="273">
        <f t="shared" ref="T242" si="610">T241-S241</f>
        <v>1450.812971454463</v>
      </c>
      <c r="U242" s="273">
        <f t="shared" ref="U242" si="611">U241-T241</f>
        <v>1501.6715103313982</v>
      </c>
      <c r="V242" s="273">
        <f t="shared" ref="V242" si="612">V241-U241</f>
        <v>-44339.011201201451</v>
      </c>
    </row>
    <row r="243" spans="10:23" ht="15.5">
      <c r="J243" s="271" t="s">
        <v>417</v>
      </c>
      <c r="K243" s="275">
        <f>K240-K242</f>
        <v>-31416</v>
      </c>
      <c r="L243" s="275">
        <f>L240-L242</f>
        <v>89838.737836800006</v>
      </c>
      <c r="M243" s="275">
        <f>M240-M242</f>
        <v>93024.584119416613</v>
      </c>
      <c r="N243" s="275">
        <f t="shared" ref="N243:V243" si="613">N240-N242</f>
        <v>96322.650083513174</v>
      </c>
      <c r="O243" s="275">
        <f t="shared" si="613"/>
        <v>99736.877571102377</v>
      </c>
      <c r="P243" s="275">
        <f t="shared" si="613"/>
        <v>103271.3467237264</v>
      </c>
      <c r="Q243" s="275">
        <f t="shared" si="613"/>
        <v>106930.28083230849</v>
      </c>
      <c r="R243" s="275">
        <f t="shared" si="613"/>
        <v>110718.05135704263</v>
      </c>
      <c r="S243" s="275">
        <f t="shared" si="613"/>
        <v>114639.18312328246</v>
      </c>
      <c r="T243" s="275">
        <f t="shared" si="613"/>
        <v>118698.35969959896</v>
      </c>
      <c r="U243" s="275">
        <f t="shared" si="613"/>
        <v>122900.42896439481</v>
      </c>
      <c r="V243" s="275">
        <f t="shared" si="613"/>
        <v>173143.73297434536</v>
      </c>
      <c r="W243" s="295" t="s">
        <v>360</v>
      </c>
    </row>
    <row r="244" spans="10:23" ht="16" thickBot="1">
      <c r="J244" s="271" t="s">
        <v>367</v>
      </c>
      <c r="K244" s="291">
        <f>K243/(1+$G$16)^(K227-$G$15)</f>
        <v>-20512.370526296163</v>
      </c>
      <c r="L244" s="291">
        <f>L243/(1+$G$16)^(L227-$G$15)</f>
        <v>52728.430870886194</v>
      </c>
      <c r="M244" s="291">
        <f t="shared" ref="M244:V244" si="614">M243/(1+$G$16)^(M227-$G$15)</f>
        <v>49078.94108666254</v>
      </c>
      <c r="N244" s="291">
        <f t="shared" si="614"/>
        <v>45681.684559759975</v>
      </c>
      <c r="O244" s="291">
        <f t="shared" si="614"/>
        <v>42519.259938536838</v>
      </c>
      <c r="P244" s="291">
        <f t="shared" si="614"/>
        <v>39575.46357582471</v>
      </c>
      <c r="Q244" s="291">
        <f t="shared" si="614"/>
        <v>36835.207340995032</v>
      </c>
      <c r="R244" s="291">
        <f t="shared" si="614"/>
        <v>34284.442049847341</v>
      </c>
      <c r="S244" s="291">
        <f t="shared" si="614"/>
        <v>31910.08613028266</v>
      </c>
      <c r="T244" s="291">
        <f t="shared" si="614"/>
        <v>29699.959167529873</v>
      </c>
      <c r="U244" s="291">
        <f t="shared" si="614"/>
        <v>27642.719996771662</v>
      </c>
      <c r="V244" s="291">
        <f t="shared" si="614"/>
        <v>35006.637204126375</v>
      </c>
      <c r="W244" s="294">
        <f>SUM(K244:V244)</f>
        <v>404450.46139492712</v>
      </c>
    </row>
    <row r="249" spans="10:23">
      <c r="J249">
        <v>1112212</v>
      </c>
    </row>
    <row r="251" spans="10:23" ht="15.5">
      <c r="J251" s="276" t="s">
        <v>407</v>
      </c>
      <c r="K251" s="276">
        <v>2013</v>
      </c>
      <c r="L251" s="276">
        <v>2014</v>
      </c>
      <c r="M251" s="276">
        <v>2015</v>
      </c>
      <c r="N251" s="276">
        <v>2016</v>
      </c>
      <c r="O251" s="276">
        <v>2017</v>
      </c>
      <c r="P251" s="276">
        <v>2018</v>
      </c>
      <c r="Q251" s="276">
        <v>2019</v>
      </c>
      <c r="R251" s="276">
        <v>2020</v>
      </c>
      <c r="S251" s="276">
        <v>2021</v>
      </c>
      <c r="T251" s="276">
        <v>2022</v>
      </c>
      <c r="U251" s="276">
        <v>2023</v>
      </c>
      <c r="V251" s="276">
        <v>2024</v>
      </c>
    </row>
    <row r="252" spans="10:23">
      <c r="J252" s="269" t="s">
        <v>33</v>
      </c>
      <c r="K252" s="277">
        <f>Données!$C$5</f>
        <v>560000</v>
      </c>
      <c r="L252" s="278">
        <f>K252*(1+$D$13)</f>
        <v>565600</v>
      </c>
      <c r="M252" s="278">
        <f t="shared" ref="M252:V252" si="615">L252*(1+$D$13)</f>
        <v>571256</v>
      </c>
      <c r="N252" s="278">
        <f t="shared" si="615"/>
        <v>576968.56000000006</v>
      </c>
      <c r="O252" s="278">
        <f t="shared" si="615"/>
        <v>582738.24560000002</v>
      </c>
      <c r="P252" s="278">
        <f t="shared" si="615"/>
        <v>588565.62805599999</v>
      </c>
      <c r="Q252" s="278">
        <f t="shared" si="615"/>
        <v>594451.28433655994</v>
      </c>
      <c r="R252" s="278">
        <f t="shared" si="615"/>
        <v>600395.79717992549</v>
      </c>
      <c r="S252" s="278">
        <f t="shared" si="615"/>
        <v>606399.75515172479</v>
      </c>
      <c r="T252" s="278">
        <f t="shared" si="615"/>
        <v>612463.752703242</v>
      </c>
      <c r="U252" s="278">
        <f t="shared" si="615"/>
        <v>618588.39023027441</v>
      </c>
      <c r="V252" s="278">
        <f t="shared" si="615"/>
        <v>624774.27413257712</v>
      </c>
    </row>
    <row r="253" spans="10:23">
      <c r="J253" s="269" t="s">
        <v>408</v>
      </c>
      <c r="K253" s="279"/>
      <c r="L253" s="278">
        <f>L252*$D$14</f>
        <v>565600</v>
      </c>
      <c r="M253" s="278">
        <f t="shared" ref="M253" si="616">M252*$D$14</f>
        <v>571256</v>
      </c>
      <c r="N253" s="278">
        <f t="shared" ref="N253" si="617">N252*$D$14</f>
        <v>576968.56000000006</v>
      </c>
      <c r="O253" s="278">
        <f t="shared" ref="O253" si="618">O252*$D$14</f>
        <v>582738.24560000002</v>
      </c>
      <c r="P253" s="278">
        <f t="shared" ref="P253" si="619">P252*$D$14</f>
        <v>588565.62805599999</v>
      </c>
      <c r="Q253" s="278">
        <f t="shared" ref="Q253" si="620">Q252*$D$14</f>
        <v>594451.28433655994</v>
      </c>
      <c r="R253" s="278">
        <f t="shared" ref="R253" si="621">R252*$D$14</f>
        <v>600395.79717992549</v>
      </c>
      <c r="S253" s="278">
        <f t="shared" ref="S253" si="622">S252*$D$14</f>
        <v>606399.75515172479</v>
      </c>
      <c r="T253" s="278">
        <f t="shared" ref="T253" si="623">T252*$D$14</f>
        <v>612463.752703242</v>
      </c>
      <c r="U253" s="278">
        <f t="shared" ref="U253" si="624">U252*$D$14</f>
        <v>618588.39023027441</v>
      </c>
      <c r="V253" s="278">
        <f t="shared" ref="V253" si="625">V252*$D$14</f>
        <v>624774.27413257712</v>
      </c>
    </row>
    <row r="254" spans="10:23">
      <c r="J254" s="269" t="s">
        <v>409</v>
      </c>
      <c r="K254" s="280"/>
      <c r="L254" s="278">
        <f>L253*$D$17</f>
        <v>186648</v>
      </c>
      <c r="M254" s="278">
        <f t="shared" ref="M254" si="626">M253*$D$17</f>
        <v>188514.48</v>
      </c>
      <c r="N254" s="278">
        <f t="shared" ref="N254" si="627">N253*$D$17</f>
        <v>190399.62480000002</v>
      </c>
      <c r="O254" s="278">
        <f t="shared" ref="O254" si="628">O253*$D$17</f>
        <v>192303.62104800003</v>
      </c>
      <c r="P254" s="278">
        <f t="shared" ref="P254" si="629">P253*$D$17</f>
        <v>194226.65725848</v>
      </c>
      <c r="Q254" s="278">
        <f t="shared" ref="Q254" si="630">Q253*$D$17</f>
        <v>196168.92383106478</v>
      </c>
      <c r="R254" s="278">
        <f t="shared" ref="R254" si="631">R253*$D$17</f>
        <v>198130.61306937542</v>
      </c>
      <c r="S254" s="278">
        <f t="shared" ref="S254" si="632">S253*$D$17</f>
        <v>200111.91920006918</v>
      </c>
      <c r="T254" s="278">
        <f t="shared" ref="T254" si="633">T253*$D$17</f>
        <v>202113.03839206987</v>
      </c>
      <c r="U254" s="278">
        <f t="shared" ref="U254" si="634">U253*$D$17</f>
        <v>204134.16877599058</v>
      </c>
      <c r="V254" s="278">
        <f t="shared" ref="V254" si="635">V253*$D$17</f>
        <v>206175.51046375046</v>
      </c>
    </row>
    <row r="255" spans="10:23">
      <c r="J255" s="269" t="s">
        <v>410</v>
      </c>
      <c r="K255" s="281"/>
      <c r="L255" s="288">
        <f>1</f>
        <v>1</v>
      </c>
      <c r="M255" s="288">
        <f>L255*(1+$G$12)</f>
        <v>1.0147600000000001</v>
      </c>
      <c r="N255" s="288">
        <f>M255*(1+$G$12)</f>
        <v>1.0297378576000003</v>
      </c>
      <c r="O255" s="288">
        <f t="shared" ref="O255" si="636">N255*(1+$G$12)</f>
        <v>1.0449367883781764</v>
      </c>
      <c r="P255" s="288">
        <f t="shared" ref="P255" si="637">O255*(1+$G$12)</f>
        <v>1.0603600553746384</v>
      </c>
      <c r="Q255" s="288">
        <f t="shared" ref="Q255" si="638">P255*(1+$G$12)</f>
        <v>1.0760109697919682</v>
      </c>
      <c r="R255" s="288">
        <f t="shared" ref="R255" si="639">Q255*(1+$G$12)</f>
        <v>1.0918928917060977</v>
      </c>
      <c r="S255" s="288">
        <f t="shared" ref="S255" si="640">R255*(1+$G$12)</f>
        <v>1.1080092307876799</v>
      </c>
      <c r="T255" s="288">
        <f t="shared" ref="T255" si="641">S255*(1+$G$12)</f>
        <v>1.1243634470341062</v>
      </c>
      <c r="U255" s="288">
        <f t="shared" ref="U255" si="642">T255*(1+$G$12)</f>
        <v>1.1409590515123298</v>
      </c>
      <c r="V255" s="288">
        <f t="shared" ref="V255" si="643">U255*(1+$G$12)</f>
        <v>1.157799607112652</v>
      </c>
    </row>
    <row r="256" spans="10:23" ht="15.5">
      <c r="J256" s="270" t="s">
        <v>411</v>
      </c>
      <c r="K256" s="282"/>
      <c r="L256" s="273">
        <f>L254*L255</f>
        <v>186648</v>
      </c>
      <c r="M256" s="273">
        <f>M254*M255</f>
        <v>191296.95372480003</v>
      </c>
      <c r="N256" s="273">
        <f>N254*N255</f>
        <v>196061.70172939589</v>
      </c>
      <c r="O256" s="273">
        <f t="shared" ref="O256:V256" si="644">O254*O255</f>
        <v>200945.12817139103</v>
      </c>
      <c r="P256" s="273">
        <f t="shared" si="644"/>
        <v>205950.18904583275</v>
      </c>
      <c r="Q256" s="273">
        <f t="shared" si="644"/>
        <v>211079.91397451074</v>
      </c>
      <c r="R256" s="273">
        <f t="shared" si="644"/>
        <v>216337.4080398223</v>
      </c>
      <c r="S256" s="273">
        <f t="shared" si="644"/>
        <v>221725.85366431501</v>
      </c>
      <c r="T256" s="273">
        <f t="shared" si="644"/>
        <v>227248.51253704433</v>
      </c>
      <c r="U256" s="273">
        <f t="shared" si="644"/>
        <v>232908.72758791206</v>
      </c>
      <c r="V256" s="273">
        <f t="shared" si="644"/>
        <v>238709.92501118075</v>
      </c>
    </row>
    <row r="257" spans="10:23">
      <c r="J257" s="283" t="s">
        <v>34</v>
      </c>
      <c r="K257" s="274"/>
      <c r="L257" s="289">
        <f>D21</f>
        <v>0.15</v>
      </c>
      <c r="M257" s="289">
        <f>L257*(1+$G$12)</f>
        <v>0.15221400000000002</v>
      </c>
      <c r="N257" s="289">
        <f t="shared" ref="N257" si="645">M257*(1+$G$12)</f>
        <v>0.15446067864000004</v>
      </c>
      <c r="O257" s="289">
        <f t="shared" ref="O257" si="646">N257*(1+$G$12)</f>
        <v>0.15674051825672647</v>
      </c>
      <c r="P257" s="289">
        <f t="shared" ref="P257" si="647">O257*(1+$G$12)</f>
        <v>0.15905400830619576</v>
      </c>
      <c r="Q257" s="289">
        <f t="shared" ref="Q257" si="648">P257*(1+$G$12)</f>
        <v>0.16140164546879524</v>
      </c>
      <c r="R257" s="289">
        <f t="shared" ref="R257" si="649">Q257*(1+$G$12)</f>
        <v>0.16378393375591466</v>
      </c>
      <c r="S257" s="289">
        <f t="shared" ref="S257" si="650">R257*(1+$G$12)</f>
        <v>0.16620138461815198</v>
      </c>
      <c r="T257" s="289">
        <f t="shared" ref="T257" si="651">S257*(1+$G$12)</f>
        <v>0.16865451705511592</v>
      </c>
      <c r="U257" s="289">
        <f t="shared" ref="U257" si="652">T257*(1+$G$12)</f>
        <v>0.17114385772684945</v>
      </c>
      <c r="V257" s="289">
        <f t="shared" ref="V257" si="653">U257*(1+$G$12)</f>
        <v>0.17366994106689776</v>
      </c>
    </row>
    <row r="258" spans="10:23" ht="15.5">
      <c r="J258" s="270" t="s">
        <v>412</v>
      </c>
      <c r="K258" s="282"/>
      <c r="L258" s="273">
        <f>L254*L257</f>
        <v>27997.200000000001</v>
      </c>
      <c r="M258" s="273">
        <f t="shared" ref="M258:V258" si="654">M254*M257</f>
        <v>28694.543058720006</v>
      </c>
      <c r="N258" s="273">
        <f t="shared" si="654"/>
        <v>29409.255259409387</v>
      </c>
      <c r="O258" s="273">
        <f t="shared" si="654"/>
        <v>30141.769225708656</v>
      </c>
      <c r="P258" s="273">
        <f t="shared" si="654"/>
        <v>30892.528356874915</v>
      </c>
      <c r="Q258" s="273">
        <f t="shared" si="654"/>
        <v>31661.987096176614</v>
      </c>
      <c r="R258" s="273">
        <f t="shared" si="654"/>
        <v>32450.611205973342</v>
      </c>
      <c r="S258" s="273">
        <f t="shared" si="654"/>
        <v>33258.878049647254</v>
      </c>
      <c r="T258" s="273">
        <f t="shared" si="654"/>
        <v>34087.276880556645</v>
      </c>
      <c r="U258" s="273">
        <f t="shared" si="654"/>
        <v>34936.309138186807</v>
      </c>
      <c r="V258" s="273">
        <f t="shared" si="654"/>
        <v>35806.488751677105</v>
      </c>
    </row>
    <row r="259" spans="10:23">
      <c r="J259" s="285" t="s">
        <v>418</v>
      </c>
      <c r="K259" s="274"/>
      <c r="L259" s="274">
        <f>L256*0.03</f>
        <v>5599.44</v>
      </c>
      <c r="M259" s="274">
        <f t="shared" ref="M259:V259" si="655">M256*0.03</f>
        <v>5738.9086117440002</v>
      </c>
      <c r="N259" s="274">
        <f t="shared" si="655"/>
        <v>5881.8510518818766</v>
      </c>
      <c r="O259" s="274">
        <f t="shared" si="655"/>
        <v>6028.3538451417307</v>
      </c>
      <c r="P259" s="274">
        <f t="shared" si="655"/>
        <v>6178.5056713749827</v>
      </c>
      <c r="Q259" s="274">
        <f t="shared" si="655"/>
        <v>6332.3974192353216</v>
      </c>
      <c r="R259" s="274">
        <f t="shared" si="655"/>
        <v>6490.1222411946692</v>
      </c>
      <c r="S259" s="274">
        <f t="shared" si="655"/>
        <v>6651.7756099294502</v>
      </c>
      <c r="T259" s="274">
        <f t="shared" si="655"/>
        <v>6817.4553761113293</v>
      </c>
      <c r="U259" s="274">
        <f t="shared" si="655"/>
        <v>6987.2618276373614</v>
      </c>
      <c r="V259" s="274">
        <f t="shared" si="655"/>
        <v>7161.2977503354223</v>
      </c>
    </row>
    <row r="260" spans="10:23">
      <c r="J260" s="285" t="s">
        <v>413</v>
      </c>
      <c r="K260" s="274"/>
      <c r="L260" s="284">
        <v>3000</v>
      </c>
      <c r="M260" s="274">
        <f>L260*(1+$G$12)</f>
        <v>3044.28</v>
      </c>
      <c r="N260" s="274">
        <f t="shared" ref="N260" si="656">M260*(1+$G$12)</f>
        <v>3089.2135728000007</v>
      </c>
      <c r="O260" s="274">
        <f t="shared" ref="O260" si="657">N260*(1+$G$12)</f>
        <v>3134.8103651345291</v>
      </c>
      <c r="P260" s="274">
        <f t="shared" ref="P260" si="658">O260*(1+$G$12)</f>
        <v>3181.0801661239152</v>
      </c>
      <c r="Q260" s="274">
        <f t="shared" ref="Q260" si="659">P260*(1+$G$12)</f>
        <v>3228.0329093759046</v>
      </c>
      <c r="R260" s="274">
        <f t="shared" ref="R260" si="660">Q260*(1+$G$12)</f>
        <v>3275.6786751182935</v>
      </c>
      <c r="S260" s="274">
        <f t="shared" ref="S260" si="661">R260*(1+$G$12)</f>
        <v>3324.0276923630399</v>
      </c>
      <c r="T260" s="274">
        <f t="shared" ref="T260" si="662">S260*(1+$G$12)</f>
        <v>3373.0903411023187</v>
      </c>
      <c r="U260" s="274">
        <f t="shared" ref="U260" si="663">T260*(1+$G$12)</f>
        <v>3422.8771545369891</v>
      </c>
      <c r="V260" s="274">
        <f t="shared" ref="V260" si="664">U260*(1+$G$12)</f>
        <v>3473.3988213379553</v>
      </c>
    </row>
    <row r="261" spans="10:23" ht="15.5">
      <c r="J261" s="270" t="s">
        <v>35</v>
      </c>
      <c r="K261" s="282"/>
      <c r="L261" s="273">
        <f>L259+L260</f>
        <v>8599.4399999999987</v>
      </c>
      <c r="M261" s="273">
        <f t="shared" ref="M261:V261" si="665">M259+M260</f>
        <v>8783.1886117440008</v>
      </c>
      <c r="N261" s="273">
        <f t="shared" si="665"/>
        <v>8971.0646246818778</v>
      </c>
      <c r="O261" s="273">
        <f t="shared" si="665"/>
        <v>9163.1642102762598</v>
      </c>
      <c r="P261" s="273">
        <f t="shared" si="665"/>
        <v>9359.5858374988984</v>
      </c>
      <c r="Q261" s="273">
        <f t="shared" si="665"/>
        <v>9560.4303286112263</v>
      </c>
      <c r="R261" s="273">
        <f t="shared" si="665"/>
        <v>9765.8009163129627</v>
      </c>
      <c r="S261" s="273">
        <f t="shared" si="665"/>
        <v>9975.8033022924901</v>
      </c>
      <c r="T261" s="273">
        <f t="shared" si="665"/>
        <v>10190.545717213648</v>
      </c>
      <c r="U261" s="273">
        <f t="shared" si="665"/>
        <v>10410.138982174351</v>
      </c>
      <c r="V261" s="273">
        <f t="shared" si="665"/>
        <v>10634.696571673378</v>
      </c>
    </row>
    <row r="262" spans="10:23">
      <c r="J262" s="286" t="s">
        <v>414</v>
      </c>
      <c r="K262" s="274"/>
      <c r="L262" s="274">
        <f>L256-L258-L261</f>
        <v>150051.35999999999</v>
      </c>
      <c r="M262" s="274">
        <f t="shared" ref="M262:V262" si="666">M256-M258-M261</f>
        <v>153819.22205433602</v>
      </c>
      <c r="N262" s="274">
        <f t="shared" si="666"/>
        <v>157681.38184530466</v>
      </c>
      <c r="O262" s="274">
        <f t="shared" si="666"/>
        <v>161640.19473540611</v>
      </c>
      <c r="P262" s="274">
        <f t="shared" si="666"/>
        <v>165698.07485145895</v>
      </c>
      <c r="Q262" s="274">
        <f t="shared" si="666"/>
        <v>169857.49654972291</v>
      </c>
      <c r="R262" s="274">
        <f t="shared" si="666"/>
        <v>174120.995917536</v>
      </c>
      <c r="S262" s="274">
        <f t="shared" si="666"/>
        <v>178491.17231237527</v>
      </c>
      <c r="T262" s="274">
        <f t="shared" si="666"/>
        <v>182970.68993927405</v>
      </c>
      <c r="U262" s="274">
        <f t="shared" si="666"/>
        <v>187562.27946755092</v>
      </c>
      <c r="V262" s="274">
        <f t="shared" si="666"/>
        <v>192268.73968783027</v>
      </c>
    </row>
    <row r="263" spans="10:23">
      <c r="J263" s="286" t="s">
        <v>415</v>
      </c>
      <c r="K263" s="274"/>
      <c r="L263" s="274">
        <f>L262*$G$13</f>
        <v>60020.543999999994</v>
      </c>
      <c r="M263" s="274">
        <f t="shared" ref="M263:Q263" si="667">M262*$G$13</f>
        <v>61527.688821734409</v>
      </c>
      <c r="N263" s="274">
        <f t="shared" si="667"/>
        <v>63072.552738121864</v>
      </c>
      <c r="O263" s="274">
        <f t="shared" si="667"/>
        <v>64656.077894162445</v>
      </c>
      <c r="P263" s="274">
        <f t="shared" si="667"/>
        <v>66279.22994058358</v>
      </c>
      <c r="Q263" s="274">
        <f t="shared" si="667"/>
        <v>67942.998619889171</v>
      </c>
      <c r="R263" s="274">
        <f>R262*$G$13</f>
        <v>69648.398367014408</v>
      </c>
      <c r="S263" s="274">
        <f t="shared" ref="S263:V263" si="668">S262*$G$13</f>
        <v>71396.46892495011</v>
      </c>
      <c r="T263" s="274">
        <f t="shared" si="668"/>
        <v>73188.275975709621</v>
      </c>
      <c r="U263" s="274">
        <f t="shared" si="668"/>
        <v>75024.911787020377</v>
      </c>
      <c r="V263" s="274">
        <f t="shared" si="668"/>
        <v>76907.49587513211</v>
      </c>
    </row>
    <row r="264" spans="10:23" ht="15.5">
      <c r="J264" s="270" t="s">
        <v>358</v>
      </c>
      <c r="K264" s="272"/>
      <c r="L264" s="273">
        <f>L262-L263</f>
        <v>90030.815999999992</v>
      </c>
      <c r="M264" s="273">
        <f t="shared" ref="M264:V264" si="669">M262-M263</f>
        <v>92291.533232601607</v>
      </c>
      <c r="N264" s="273">
        <f t="shared" si="669"/>
        <v>94608.829107182799</v>
      </c>
      <c r="O264" s="273">
        <f t="shared" si="669"/>
        <v>96984.116841243667</v>
      </c>
      <c r="P264" s="273">
        <f t="shared" si="669"/>
        <v>99418.84491087537</v>
      </c>
      <c r="Q264" s="273">
        <f t="shared" si="669"/>
        <v>101914.49792983374</v>
      </c>
      <c r="R264" s="273">
        <f t="shared" si="669"/>
        <v>104472.59755052159</v>
      </c>
      <c r="S264" s="273">
        <f t="shared" si="669"/>
        <v>107094.70338742516</v>
      </c>
      <c r="T264" s="273">
        <f t="shared" si="669"/>
        <v>109782.41396356442</v>
      </c>
      <c r="U264" s="273">
        <f t="shared" si="669"/>
        <v>112537.36768053054</v>
      </c>
      <c r="V264" s="273">
        <f t="shared" si="669"/>
        <v>115361.24381269816</v>
      </c>
    </row>
    <row r="265" spans="10:23" ht="15.5">
      <c r="J265" s="270" t="s">
        <v>419</v>
      </c>
      <c r="K265" s="272"/>
      <c r="L265" s="273">
        <f>M256*$G$14</f>
        <v>31882.825620800002</v>
      </c>
      <c r="M265" s="273">
        <f t="shared" ref="M265" si="670">N256*$G$14</f>
        <v>32676.950288232649</v>
      </c>
      <c r="N265" s="273">
        <f t="shared" ref="N265" si="671">O256*$G$14</f>
        <v>33490.854695231836</v>
      </c>
      <c r="O265" s="273">
        <f t="shared" ref="O265" si="672">P256*$G$14</f>
        <v>34325.031507638792</v>
      </c>
      <c r="P265" s="273">
        <f t="shared" ref="P265" si="673">Q256*$G$14</f>
        <v>35179.985662418454</v>
      </c>
      <c r="Q265" s="273">
        <f t="shared" ref="Q265" si="674">R256*$G$14</f>
        <v>36056.234673303712</v>
      </c>
      <c r="R265" s="273">
        <f t="shared" ref="R265" si="675">S256*$G$14</f>
        <v>36954.3089440525</v>
      </c>
      <c r="S265" s="273">
        <f t="shared" ref="S265" si="676">T256*$G$14</f>
        <v>37874.752089507383</v>
      </c>
      <c r="T265" s="273">
        <f t="shared" ref="T265" si="677">U256*$G$14</f>
        <v>38818.121264652007</v>
      </c>
      <c r="U265" s="273">
        <f t="shared" ref="U265" si="678">V256*$G$14</f>
        <v>39784.987501863456</v>
      </c>
      <c r="V265" s="273">
        <f t="shared" ref="V265" si="679">W256*$G$14</f>
        <v>0</v>
      </c>
    </row>
    <row r="266" spans="10:23" ht="16" thickBot="1">
      <c r="J266" s="270" t="s">
        <v>416</v>
      </c>
      <c r="K266" s="290">
        <f>L256*$G$14</f>
        <v>31108</v>
      </c>
      <c r="L266" s="273">
        <f>L265-K266</f>
        <v>774.82562080000207</v>
      </c>
      <c r="M266" s="273">
        <f>M265-L265</f>
        <v>794.12466743264667</v>
      </c>
      <c r="N266" s="273">
        <f t="shared" ref="N266" si="680">N265-M265</f>
        <v>813.9044069991869</v>
      </c>
      <c r="O266" s="273">
        <f t="shared" ref="O266" si="681">O265-N265</f>
        <v>834.17681240695674</v>
      </c>
      <c r="P266" s="273">
        <f t="shared" ref="P266" si="682">P265-O265</f>
        <v>854.95415477966162</v>
      </c>
      <c r="Q266" s="273">
        <f t="shared" ref="Q266" si="683">Q265-P265</f>
        <v>876.24901088525803</v>
      </c>
      <c r="R266" s="273">
        <f t="shared" ref="R266" si="684">R265-Q265</f>
        <v>898.07427074878797</v>
      </c>
      <c r="S266" s="273">
        <f t="shared" ref="S266" si="685">S265-R265</f>
        <v>920.44314545488305</v>
      </c>
      <c r="T266" s="273">
        <f t="shared" ref="T266" si="686">T265-S265</f>
        <v>943.36917514462402</v>
      </c>
      <c r="U266" s="273">
        <f t="shared" ref="U266" si="687">U265-T265</f>
        <v>966.86623721144861</v>
      </c>
      <c r="V266" s="273">
        <f t="shared" ref="V266" si="688">V265-U265</f>
        <v>-39784.987501863456</v>
      </c>
    </row>
    <row r="267" spans="10:23" ht="15.5">
      <c r="J267" s="271" t="s">
        <v>417</v>
      </c>
      <c r="K267" s="275">
        <f>K264-K266</f>
        <v>-31108</v>
      </c>
      <c r="L267" s="275">
        <f>L264-L266</f>
        <v>89255.990379199997</v>
      </c>
      <c r="M267" s="275">
        <f>M264-M266</f>
        <v>91497.408565168967</v>
      </c>
      <c r="N267" s="275">
        <f t="shared" ref="N267:V267" si="689">N264-N266</f>
        <v>93794.924700183619</v>
      </c>
      <c r="O267" s="275">
        <f t="shared" si="689"/>
        <v>96149.940028836718</v>
      </c>
      <c r="P267" s="275">
        <f t="shared" si="689"/>
        <v>98563.890756095701</v>
      </c>
      <c r="Q267" s="275">
        <f t="shared" si="689"/>
        <v>101038.24891894849</v>
      </c>
      <c r="R267" s="275">
        <f t="shared" si="689"/>
        <v>103574.52327977281</v>
      </c>
      <c r="S267" s="275">
        <f t="shared" si="689"/>
        <v>106174.26024197027</v>
      </c>
      <c r="T267" s="275">
        <f t="shared" si="689"/>
        <v>108839.04478841979</v>
      </c>
      <c r="U267" s="275">
        <f t="shared" si="689"/>
        <v>111570.5014433191</v>
      </c>
      <c r="V267" s="275">
        <f t="shared" si="689"/>
        <v>155146.23131456162</v>
      </c>
      <c r="W267" s="295" t="s">
        <v>360</v>
      </c>
    </row>
    <row r="268" spans="10:23" ht="16" thickBot="1">
      <c r="J268" s="271" t="s">
        <v>367</v>
      </c>
      <c r="K268" s="291">
        <f>K267/(1+$G$16)^(K251-$G$15)</f>
        <v>-20311.26885446973</v>
      </c>
      <c r="L268" s="291">
        <f>L267/(1+$G$16)^(L251-$G$15)</f>
        <v>52386.402924221737</v>
      </c>
      <c r="M268" s="291">
        <f t="shared" ref="M268:V268" si="690">M267/(1+$G$16)^(M251-$G$15)</f>
        <v>48273.216881976019</v>
      </c>
      <c r="N268" s="291">
        <f t="shared" si="690"/>
        <v>44482.893273236565</v>
      </c>
      <c r="O268" s="291">
        <f t="shared" si="690"/>
        <v>40990.097070628093</v>
      </c>
      <c r="P268" s="291">
        <f t="shared" si="690"/>
        <v>37771.480592237211</v>
      </c>
      <c r="Q268" s="291">
        <f t="shared" si="690"/>
        <v>34805.527670287585</v>
      </c>
      <c r="R268" s="291">
        <f t="shared" si="690"/>
        <v>32072.410033434549</v>
      </c>
      <c r="S268" s="291">
        <f t="shared" si="690"/>
        <v>29553.854945885694</v>
      </c>
      <c r="T268" s="291">
        <f t="shared" si="690"/>
        <v>27233.02322146533</v>
      </c>
      <c r="U268" s="291">
        <f t="shared" si="690"/>
        <v>25094.39679979123</v>
      </c>
      <c r="V268" s="291">
        <f t="shared" si="690"/>
        <v>31367.856866185622</v>
      </c>
      <c r="W268" s="294">
        <f>SUM(K268:V268)</f>
        <v>383719.89142487996</v>
      </c>
    </row>
    <row r="274" spans="10:22">
      <c r="J274">
        <v>1112221</v>
      </c>
    </row>
    <row r="276" spans="10:22" ht="15.5">
      <c r="J276" s="276" t="s">
        <v>407</v>
      </c>
      <c r="K276" s="276">
        <v>2013</v>
      </c>
      <c r="L276" s="276">
        <v>2014</v>
      </c>
      <c r="M276" s="276">
        <v>2015</v>
      </c>
      <c r="N276" s="276">
        <v>2016</v>
      </c>
      <c r="O276" s="276">
        <v>2017</v>
      </c>
      <c r="P276" s="276">
        <v>2018</v>
      </c>
      <c r="Q276" s="276">
        <v>2019</v>
      </c>
      <c r="R276" s="276">
        <v>2020</v>
      </c>
      <c r="S276" s="276">
        <v>2021</v>
      </c>
      <c r="T276" s="276">
        <v>2022</v>
      </c>
      <c r="U276" s="276">
        <v>2023</v>
      </c>
      <c r="V276" s="276">
        <v>2024</v>
      </c>
    </row>
    <row r="277" spans="10:22">
      <c r="J277" s="269" t="s">
        <v>33</v>
      </c>
      <c r="K277" s="277">
        <f>Données!$C$5</f>
        <v>560000</v>
      </c>
      <c r="L277" s="278">
        <f>K277*(1+$D$12)</f>
        <v>571200</v>
      </c>
      <c r="M277" s="278">
        <f t="shared" ref="M277:V277" si="691">L277*(1+$D$12)</f>
        <v>582624</v>
      </c>
      <c r="N277" s="278">
        <f t="shared" si="691"/>
        <v>594276.48</v>
      </c>
      <c r="O277" s="278">
        <f t="shared" si="691"/>
        <v>606162.00959999999</v>
      </c>
      <c r="P277" s="278">
        <f t="shared" si="691"/>
        <v>618285.24979200005</v>
      </c>
      <c r="Q277" s="278">
        <f t="shared" si="691"/>
        <v>630650.95478784002</v>
      </c>
      <c r="R277" s="278">
        <f t="shared" si="691"/>
        <v>643263.97388359683</v>
      </c>
      <c r="S277" s="278">
        <f t="shared" si="691"/>
        <v>656129.25336126878</v>
      </c>
      <c r="T277" s="278">
        <f t="shared" si="691"/>
        <v>669251.83842849417</v>
      </c>
      <c r="U277" s="278">
        <f t="shared" si="691"/>
        <v>682636.87519706402</v>
      </c>
      <c r="V277" s="278">
        <f t="shared" si="691"/>
        <v>696289.6127010053</v>
      </c>
    </row>
    <row r="278" spans="10:22">
      <c r="J278" s="269" t="s">
        <v>408</v>
      </c>
      <c r="K278" s="279"/>
      <c r="L278" s="278">
        <f>L277*$D$15</f>
        <v>285600</v>
      </c>
      <c r="M278" s="278">
        <f t="shared" ref="M278:V278" si="692">M277*$D$15</f>
        <v>291312</v>
      </c>
      <c r="N278" s="278">
        <f t="shared" si="692"/>
        <v>297138.24</v>
      </c>
      <c r="O278" s="278">
        <f t="shared" si="692"/>
        <v>303081.0048</v>
      </c>
      <c r="P278" s="278">
        <f t="shared" si="692"/>
        <v>309142.62489600002</v>
      </c>
      <c r="Q278" s="278">
        <f t="shared" si="692"/>
        <v>315325.47739392001</v>
      </c>
      <c r="R278" s="278">
        <f t="shared" si="692"/>
        <v>321631.98694179842</v>
      </c>
      <c r="S278" s="278">
        <f t="shared" si="692"/>
        <v>328064.62668063439</v>
      </c>
      <c r="T278" s="278">
        <f t="shared" si="692"/>
        <v>334625.91921424709</v>
      </c>
      <c r="U278" s="278">
        <f t="shared" si="692"/>
        <v>341318.43759853201</v>
      </c>
      <c r="V278" s="278">
        <f t="shared" si="692"/>
        <v>348144.80635050265</v>
      </c>
    </row>
    <row r="279" spans="10:22">
      <c r="J279" s="269" t="s">
        <v>409</v>
      </c>
      <c r="K279" s="280"/>
      <c r="L279" s="278">
        <f>L278*$D$17</f>
        <v>94248</v>
      </c>
      <c r="M279" s="278">
        <f t="shared" ref="M279" si="693">M278*$D$17</f>
        <v>96132.96</v>
      </c>
      <c r="N279" s="278">
        <f t="shared" ref="N279" si="694">N278*$D$17</f>
        <v>98055.619200000001</v>
      </c>
      <c r="O279" s="278">
        <f t="shared" ref="O279" si="695">O278*$D$17</f>
        <v>100016.73158400001</v>
      </c>
      <c r="P279" s="278">
        <f t="shared" ref="P279" si="696">P278*$D$17</f>
        <v>102017.06621568001</v>
      </c>
      <c r="Q279" s="278">
        <f t="shared" ref="Q279" si="697">Q278*$D$17</f>
        <v>104057.40753999361</v>
      </c>
      <c r="R279" s="278">
        <f t="shared" ref="R279" si="698">R278*$D$17</f>
        <v>106138.55569079348</v>
      </c>
      <c r="S279" s="278">
        <f t="shared" ref="S279" si="699">S278*$D$17</f>
        <v>108261.32680460936</v>
      </c>
      <c r="T279" s="278">
        <f t="shared" ref="T279" si="700">T278*$D$17</f>
        <v>110426.55334070155</v>
      </c>
      <c r="U279" s="278">
        <f t="shared" ref="U279" si="701">U278*$D$17</f>
        <v>112635.08440751556</v>
      </c>
      <c r="V279" s="278">
        <f t="shared" ref="V279" si="702">V278*$D$17</f>
        <v>114887.78609566588</v>
      </c>
    </row>
    <row r="280" spans="10:22">
      <c r="J280" s="269" t="s">
        <v>410</v>
      </c>
      <c r="K280" s="281"/>
      <c r="L280" s="288">
        <f>1</f>
        <v>1</v>
      </c>
      <c r="M280" s="288">
        <f>L280*(1+$G$12)</f>
        <v>1.0147600000000001</v>
      </c>
      <c r="N280" s="288">
        <f>M280*(1+$G$12)</f>
        <v>1.0297378576000003</v>
      </c>
      <c r="O280" s="288">
        <f t="shared" ref="O280" si="703">N280*(1+$G$12)</f>
        <v>1.0449367883781764</v>
      </c>
      <c r="P280" s="288">
        <f t="shared" ref="P280" si="704">O280*(1+$G$12)</f>
        <v>1.0603600553746384</v>
      </c>
      <c r="Q280" s="288">
        <f t="shared" ref="Q280" si="705">P280*(1+$G$12)</f>
        <v>1.0760109697919682</v>
      </c>
      <c r="R280" s="288">
        <f t="shared" ref="R280" si="706">Q280*(1+$G$12)</f>
        <v>1.0918928917060977</v>
      </c>
      <c r="S280" s="288">
        <f t="shared" ref="S280" si="707">R280*(1+$G$12)</f>
        <v>1.1080092307876799</v>
      </c>
      <c r="T280" s="288">
        <f t="shared" ref="T280" si="708">S280*(1+$G$12)</f>
        <v>1.1243634470341062</v>
      </c>
      <c r="U280" s="288">
        <f t="shared" ref="U280" si="709">T280*(1+$G$12)</f>
        <v>1.1409590515123298</v>
      </c>
      <c r="V280" s="288">
        <f t="shared" ref="V280" si="710">U280*(1+$G$12)</f>
        <v>1.157799607112652</v>
      </c>
    </row>
    <row r="281" spans="10:22" ht="15.5">
      <c r="J281" s="270" t="s">
        <v>411</v>
      </c>
      <c r="K281" s="282"/>
      <c r="L281" s="273">
        <f>L279*L280</f>
        <v>94248</v>
      </c>
      <c r="M281" s="273">
        <f>M279*M280</f>
        <v>97551.882489600015</v>
      </c>
      <c r="N281" s="273">
        <f>N279*N280</f>
        <v>100971.58324064944</v>
      </c>
      <c r="O281" s="273">
        <f t="shared" ref="O281:V281" si="711">O279*O280</f>
        <v>104511.16228546709</v>
      </c>
      <c r="P281" s="273">
        <f t="shared" si="711"/>
        <v>108174.82198161661</v>
      </c>
      <c r="Q281" s="273">
        <f t="shared" si="711"/>
        <v>111966.91200114659</v>
      </c>
      <c r="R281" s="273">
        <f t="shared" si="711"/>
        <v>115891.93449472918</v>
      </c>
      <c r="S281" s="273">
        <f t="shared" si="711"/>
        <v>119954.54943682885</v>
      </c>
      <c r="T281" s="273">
        <f t="shared" si="711"/>
        <v>124159.58015824678</v>
      </c>
      <c r="U281" s="273">
        <f t="shared" si="711"/>
        <v>128512.01907261016</v>
      </c>
      <c r="V281" s="273">
        <f t="shared" si="711"/>
        <v>133017.03360360436</v>
      </c>
    </row>
    <row r="282" spans="10:22">
      <c r="J282" s="283" t="s">
        <v>34</v>
      </c>
      <c r="K282" s="274"/>
      <c r="L282" s="289">
        <f>D21</f>
        <v>0.15</v>
      </c>
      <c r="M282" s="289">
        <f>L282*(1+$G$12)</f>
        <v>0.15221400000000002</v>
      </c>
      <c r="N282" s="289">
        <f t="shared" ref="N282" si="712">M282*(1+$G$12)</f>
        <v>0.15446067864000004</v>
      </c>
      <c r="O282" s="289">
        <f t="shared" ref="O282" si="713">N282*(1+$G$12)</f>
        <v>0.15674051825672647</v>
      </c>
      <c r="P282" s="289">
        <f t="shared" ref="P282" si="714">O282*(1+$G$12)</f>
        <v>0.15905400830619576</v>
      </c>
      <c r="Q282" s="289">
        <f t="shared" ref="Q282" si="715">P282*(1+$G$12)</f>
        <v>0.16140164546879524</v>
      </c>
      <c r="R282" s="289">
        <f t="shared" ref="R282" si="716">Q282*(1+$G$12)</f>
        <v>0.16378393375591466</v>
      </c>
      <c r="S282" s="289">
        <f t="shared" ref="S282" si="717">R282*(1+$G$12)</f>
        <v>0.16620138461815198</v>
      </c>
      <c r="T282" s="289">
        <f t="shared" ref="T282" si="718">S282*(1+$G$12)</f>
        <v>0.16865451705511592</v>
      </c>
      <c r="U282" s="289">
        <f t="shared" ref="U282" si="719">T282*(1+$G$12)</f>
        <v>0.17114385772684945</v>
      </c>
      <c r="V282" s="289">
        <f t="shared" ref="V282" si="720">U282*(1+$G$12)</f>
        <v>0.17366994106689776</v>
      </c>
    </row>
    <row r="283" spans="10:22" ht="15.5">
      <c r="J283" s="270" t="s">
        <v>412</v>
      </c>
      <c r="K283" s="282"/>
      <c r="L283" s="273">
        <f>L279*L282</f>
        <v>14137.199999999999</v>
      </c>
      <c r="M283" s="273">
        <f t="shared" ref="M283:V283" si="721">M279*M282</f>
        <v>14632.782373440003</v>
      </c>
      <c r="N283" s="273">
        <f t="shared" si="721"/>
        <v>15145.737486097418</v>
      </c>
      <c r="O283" s="273">
        <f t="shared" si="721"/>
        <v>15676.674342820064</v>
      </c>
      <c r="P283" s="273">
        <f t="shared" si="721"/>
        <v>16226.223297242492</v>
      </c>
      <c r="Q283" s="273">
        <f t="shared" si="721"/>
        <v>16795.036800171991</v>
      </c>
      <c r="R283" s="273">
        <f t="shared" si="721"/>
        <v>17383.790174209378</v>
      </c>
      <c r="S283" s="273">
        <f t="shared" si="721"/>
        <v>17993.182415524327</v>
      </c>
      <c r="T283" s="273">
        <f t="shared" si="721"/>
        <v>18623.937023737017</v>
      </c>
      <c r="U283" s="273">
        <f t="shared" si="721"/>
        <v>19276.802860891523</v>
      </c>
      <c r="V283" s="273">
        <f t="shared" si="721"/>
        <v>19952.55504054065</v>
      </c>
    </row>
    <row r="284" spans="10:22">
      <c r="J284" s="285" t="s">
        <v>418</v>
      </c>
      <c r="K284" s="274"/>
      <c r="L284" s="274">
        <f>L281*0.03</f>
        <v>2827.44</v>
      </c>
      <c r="M284" s="274">
        <f t="shared" ref="M284:V284" si="722">M281*0.03</f>
        <v>2926.5564746880004</v>
      </c>
      <c r="N284" s="274">
        <f t="shared" si="722"/>
        <v>3029.1474972194833</v>
      </c>
      <c r="O284" s="274">
        <f t="shared" si="722"/>
        <v>3135.3348685640126</v>
      </c>
      <c r="P284" s="274">
        <f t="shared" si="722"/>
        <v>3245.2446594484982</v>
      </c>
      <c r="Q284" s="274">
        <f t="shared" si="722"/>
        <v>3359.0073600343976</v>
      </c>
      <c r="R284" s="274">
        <f t="shared" si="722"/>
        <v>3476.7580348418755</v>
      </c>
      <c r="S284" s="274">
        <f t="shared" si="722"/>
        <v>3598.6364831048654</v>
      </c>
      <c r="T284" s="274">
        <f t="shared" si="722"/>
        <v>3724.7874047474033</v>
      </c>
      <c r="U284" s="274">
        <f t="shared" si="722"/>
        <v>3855.3605721783047</v>
      </c>
      <c r="V284" s="274">
        <f t="shared" si="722"/>
        <v>3990.5110081081307</v>
      </c>
    </row>
    <row r="285" spans="10:22">
      <c r="J285" s="285" t="s">
        <v>413</v>
      </c>
      <c r="K285" s="274"/>
      <c r="L285" s="284">
        <v>3000</v>
      </c>
      <c r="M285" s="274">
        <f>L285*(1+$G$12)</f>
        <v>3044.28</v>
      </c>
      <c r="N285" s="274">
        <f t="shared" ref="N285" si="723">M285*(1+$G$12)</f>
        <v>3089.2135728000007</v>
      </c>
      <c r="O285" s="274">
        <f t="shared" ref="O285" si="724">N285*(1+$G$12)</f>
        <v>3134.8103651345291</v>
      </c>
      <c r="P285" s="274">
        <f t="shared" ref="P285" si="725">O285*(1+$G$12)</f>
        <v>3181.0801661239152</v>
      </c>
      <c r="Q285" s="274">
        <f t="shared" ref="Q285" si="726">P285*(1+$G$12)</f>
        <v>3228.0329093759046</v>
      </c>
      <c r="R285" s="274">
        <f t="shared" ref="R285" si="727">Q285*(1+$G$12)</f>
        <v>3275.6786751182935</v>
      </c>
      <c r="S285" s="274">
        <f t="shared" ref="S285" si="728">R285*(1+$G$12)</f>
        <v>3324.0276923630399</v>
      </c>
      <c r="T285" s="274">
        <f t="shared" ref="T285" si="729">S285*(1+$G$12)</f>
        <v>3373.0903411023187</v>
      </c>
      <c r="U285" s="274">
        <f t="shared" ref="U285" si="730">T285*(1+$G$12)</f>
        <v>3422.8771545369891</v>
      </c>
      <c r="V285" s="274">
        <f t="shared" ref="V285" si="731">U285*(1+$G$12)</f>
        <v>3473.3988213379553</v>
      </c>
    </row>
    <row r="286" spans="10:22" ht="15.5">
      <c r="J286" s="270" t="s">
        <v>35</v>
      </c>
      <c r="K286" s="282"/>
      <c r="L286" s="273">
        <f>L284+L285</f>
        <v>5827.4400000000005</v>
      </c>
      <c r="M286" s="273">
        <f t="shared" ref="M286:V286" si="732">M284+M285</f>
        <v>5970.8364746880006</v>
      </c>
      <c r="N286" s="273">
        <f t="shared" si="732"/>
        <v>6118.361070019484</v>
      </c>
      <c r="O286" s="273">
        <f t="shared" si="732"/>
        <v>6270.1452336985421</v>
      </c>
      <c r="P286" s="273">
        <f t="shared" si="732"/>
        <v>6426.3248255724138</v>
      </c>
      <c r="Q286" s="273">
        <f t="shared" si="732"/>
        <v>6587.0402694103022</v>
      </c>
      <c r="R286" s="273">
        <f t="shared" si="732"/>
        <v>6752.4367099601695</v>
      </c>
      <c r="S286" s="273">
        <f t="shared" si="732"/>
        <v>6922.6641754679058</v>
      </c>
      <c r="T286" s="273">
        <f t="shared" si="732"/>
        <v>7097.8777458497225</v>
      </c>
      <c r="U286" s="273">
        <f t="shared" si="732"/>
        <v>7278.2377267152933</v>
      </c>
      <c r="V286" s="273">
        <f t="shared" si="732"/>
        <v>7463.9098294460855</v>
      </c>
    </row>
    <row r="287" spans="10:22">
      <c r="J287" s="286" t="s">
        <v>414</v>
      </c>
      <c r="K287" s="274"/>
      <c r="L287" s="274">
        <f>L281-L283-L286</f>
        <v>74283.360000000001</v>
      </c>
      <c r="M287" s="274">
        <f t="shared" ref="M287:V287" si="733">M281-M283-M286</f>
        <v>76948.263641472018</v>
      </c>
      <c r="N287" s="274">
        <f t="shared" si="733"/>
        <v>79707.484684532537</v>
      </c>
      <c r="O287" s="274">
        <f t="shared" si="733"/>
        <v>82564.342708948476</v>
      </c>
      <c r="P287" s="274">
        <f t="shared" si="733"/>
        <v>85522.273858801695</v>
      </c>
      <c r="Q287" s="274">
        <f t="shared" si="733"/>
        <v>88584.834931564299</v>
      </c>
      <c r="R287" s="274">
        <f t="shared" si="733"/>
        <v>91755.707610559635</v>
      </c>
      <c r="S287" s="274">
        <f t="shared" si="733"/>
        <v>95038.702845836626</v>
      </c>
      <c r="T287" s="274">
        <f t="shared" si="733"/>
        <v>98437.765388660046</v>
      </c>
      <c r="U287" s="274">
        <f t="shared" si="733"/>
        <v>101956.97848500335</v>
      </c>
      <c r="V287" s="274">
        <f t="shared" si="733"/>
        <v>105600.56873361762</v>
      </c>
    </row>
    <row r="288" spans="10:22">
      <c r="J288" s="286" t="s">
        <v>415</v>
      </c>
      <c r="K288" s="274"/>
      <c r="L288" s="274">
        <f>L287*$G$13</f>
        <v>29713.344000000001</v>
      </c>
      <c r="M288" s="274">
        <f t="shared" ref="M288:Q288" si="734">M287*$G$13</f>
        <v>30779.305456588809</v>
      </c>
      <c r="N288" s="274">
        <f t="shared" si="734"/>
        <v>31882.993873813015</v>
      </c>
      <c r="O288" s="274">
        <f t="shared" si="734"/>
        <v>33025.737083579392</v>
      </c>
      <c r="P288" s="274">
        <f t="shared" si="734"/>
        <v>34208.909543520676</v>
      </c>
      <c r="Q288" s="274">
        <f t="shared" si="734"/>
        <v>35433.933972625724</v>
      </c>
      <c r="R288" s="274">
        <f>R287*$G$13</f>
        <v>36702.283044223856</v>
      </c>
      <c r="S288" s="274">
        <f t="shared" ref="S288:V288" si="735">S287*$G$13</f>
        <v>38015.481138334653</v>
      </c>
      <c r="T288" s="274">
        <f t="shared" si="735"/>
        <v>39375.106155464018</v>
      </c>
      <c r="U288" s="274">
        <f t="shared" si="735"/>
        <v>40782.791394001339</v>
      </c>
      <c r="V288" s="274">
        <f t="shared" si="735"/>
        <v>42240.227493447048</v>
      </c>
    </row>
    <row r="289" spans="10:23" ht="15.5">
      <c r="J289" s="270" t="s">
        <v>358</v>
      </c>
      <c r="K289" s="272"/>
      <c r="L289" s="273">
        <f>L287-L288</f>
        <v>44570.016000000003</v>
      </c>
      <c r="M289" s="273">
        <f t="shared" ref="M289:V289" si="736">M287-M288</f>
        <v>46168.958184883209</v>
      </c>
      <c r="N289" s="273">
        <f t="shared" si="736"/>
        <v>47824.490810719522</v>
      </c>
      <c r="O289" s="273">
        <f t="shared" si="736"/>
        <v>49538.605625369084</v>
      </c>
      <c r="P289" s="273">
        <f t="shared" si="736"/>
        <v>51313.364315281018</v>
      </c>
      <c r="Q289" s="273">
        <f t="shared" si="736"/>
        <v>53150.900958938575</v>
      </c>
      <c r="R289" s="273">
        <f t="shared" si="736"/>
        <v>55053.42456633578</v>
      </c>
      <c r="S289" s="273">
        <f t="shared" si="736"/>
        <v>57023.221707501973</v>
      </c>
      <c r="T289" s="273">
        <f t="shared" si="736"/>
        <v>59062.659233196027</v>
      </c>
      <c r="U289" s="273">
        <f t="shared" si="736"/>
        <v>61174.187091002008</v>
      </c>
      <c r="V289" s="273">
        <f t="shared" si="736"/>
        <v>63360.341240170572</v>
      </c>
    </row>
    <row r="290" spans="10:23" ht="15.5">
      <c r="J290" s="270" t="s">
        <v>419</v>
      </c>
      <c r="K290" s="272"/>
      <c r="L290" s="273">
        <f>M281*$G$14</f>
        <v>16258.647081600002</v>
      </c>
      <c r="M290" s="273">
        <f t="shared" ref="M290" si="737">N281*$G$14</f>
        <v>16828.597206774906</v>
      </c>
      <c r="N290" s="273">
        <f t="shared" ref="N290" si="738">O281*$G$14</f>
        <v>17418.527047577845</v>
      </c>
      <c r="O290" s="273">
        <f t="shared" ref="O290" si="739">P281*$G$14</f>
        <v>18029.1369969361</v>
      </c>
      <c r="P290" s="273">
        <f t="shared" ref="P290" si="740">Q281*$G$14</f>
        <v>18661.152000191098</v>
      </c>
      <c r="Q290" s="273">
        <f t="shared" ref="Q290" si="741">R281*$G$14</f>
        <v>19315.322415788196</v>
      </c>
      <c r="R290" s="273">
        <f t="shared" ref="R290" si="742">S281*$G$14</f>
        <v>19992.424906138142</v>
      </c>
      <c r="S290" s="273">
        <f t="shared" ref="S290" si="743">T281*$G$14</f>
        <v>20693.263359707795</v>
      </c>
      <c r="T290" s="273">
        <f t="shared" ref="T290" si="744">U281*$G$14</f>
        <v>21418.669845435026</v>
      </c>
      <c r="U290" s="273">
        <f t="shared" ref="U290" si="745">V281*$G$14</f>
        <v>22169.505600600725</v>
      </c>
      <c r="V290" s="273">
        <f t="shared" ref="V290" si="746">W281*$G$14</f>
        <v>0</v>
      </c>
    </row>
    <row r="291" spans="10:23" ht="16" thickBot="1">
      <c r="J291" s="270" t="s">
        <v>416</v>
      </c>
      <c r="K291" s="290">
        <f>L281*$G$14</f>
        <v>15708</v>
      </c>
      <c r="L291" s="273">
        <f>L290-K291</f>
        <v>550.64708160000191</v>
      </c>
      <c r="M291" s="273">
        <f>M290-L290</f>
        <v>569.95012517490431</v>
      </c>
      <c r="N291" s="273">
        <f t="shared" ref="N291" si="747">N290-M290</f>
        <v>589.929840802939</v>
      </c>
      <c r="O291" s="273">
        <f t="shared" ref="O291" si="748">O290-N290</f>
        <v>610.60994935825511</v>
      </c>
      <c r="P291" s="273">
        <f t="shared" ref="P291" si="749">P290-O290</f>
        <v>632.01500325499728</v>
      </c>
      <c r="Q291" s="273">
        <f t="shared" ref="Q291" si="750">Q290-P290</f>
        <v>654.17041559709833</v>
      </c>
      <c r="R291" s="273">
        <f t="shared" ref="R291" si="751">R290-Q290</f>
        <v>677.10249034994558</v>
      </c>
      <c r="S291" s="273">
        <f t="shared" ref="S291" si="752">S290-R290</f>
        <v>700.83845356965321</v>
      </c>
      <c r="T291" s="273">
        <f t="shared" ref="T291" si="753">T290-S290</f>
        <v>725.40648572723148</v>
      </c>
      <c r="U291" s="273">
        <f t="shared" ref="U291" si="754">U290-T290</f>
        <v>750.83575516569908</v>
      </c>
      <c r="V291" s="273">
        <f t="shared" ref="V291" si="755">V290-U290</f>
        <v>-22169.505600600725</v>
      </c>
    </row>
    <row r="292" spans="10:23" ht="15.5">
      <c r="J292" s="271" t="s">
        <v>417</v>
      </c>
      <c r="K292" s="275">
        <f>K289-K291</f>
        <v>-15708</v>
      </c>
      <c r="L292" s="275">
        <f>L289-L291</f>
        <v>44019.368918400003</v>
      </c>
      <c r="M292" s="275">
        <f>M289-M291</f>
        <v>45599.008059708307</v>
      </c>
      <c r="N292" s="275">
        <f t="shared" ref="N292:V292" si="756">N289-N291</f>
        <v>47234.56096991658</v>
      </c>
      <c r="O292" s="275">
        <f t="shared" si="756"/>
        <v>48927.995676010833</v>
      </c>
      <c r="P292" s="275">
        <f t="shared" si="756"/>
        <v>50681.349312026025</v>
      </c>
      <c r="Q292" s="275">
        <f t="shared" si="756"/>
        <v>52496.730543341473</v>
      </c>
      <c r="R292" s="275">
        <f t="shared" si="756"/>
        <v>54376.322075985838</v>
      </c>
      <c r="S292" s="275">
        <f t="shared" si="756"/>
        <v>56322.383253932319</v>
      </c>
      <c r="T292" s="275">
        <f t="shared" si="756"/>
        <v>58337.252747468796</v>
      </c>
      <c r="U292" s="275">
        <f t="shared" si="756"/>
        <v>60423.351335836313</v>
      </c>
      <c r="V292" s="275">
        <f t="shared" si="756"/>
        <v>85529.846840771294</v>
      </c>
      <c r="W292" s="295" t="s">
        <v>360</v>
      </c>
    </row>
    <row r="293" spans="10:23" ht="16" thickBot="1">
      <c r="J293" s="271" t="s">
        <v>367</v>
      </c>
      <c r="K293" s="291">
        <f>K292/(1+$G$16)^(K276-$G$15)</f>
        <v>-10256.185263148082</v>
      </c>
      <c r="L293" s="291">
        <f>L292/(1+$G$16)^(L276-$G$15)</f>
        <v>25835.984641840398</v>
      </c>
      <c r="M293" s="291">
        <f t="shared" ref="M293:V293" si="757">M292/(1+$G$16)^(M276-$G$15)</f>
        <v>24057.630048630948</v>
      </c>
      <c r="N293" s="291">
        <f t="shared" si="757"/>
        <v>22401.317994009449</v>
      </c>
      <c r="O293" s="291">
        <f t="shared" si="757"/>
        <v>20858.705597002547</v>
      </c>
      <c r="P293" s="291">
        <f t="shared" si="757"/>
        <v>19422.017406604809</v>
      </c>
      <c r="Q293" s="291">
        <f t="shared" si="757"/>
        <v>18084.007067379393</v>
      </c>
      <c r="R293" s="291">
        <f t="shared" si="757"/>
        <v>16837.921551618674</v>
      </c>
      <c r="S293" s="291">
        <f t="shared" si="757"/>
        <v>15677.467788330394</v>
      </c>
      <c r="T293" s="291">
        <f t="shared" si="757"/>
        <v>14596.781530347862</v>
      </c>
      <c r="U293" s="291">
        <f t="shared" si="757"/>
        <v>13590.39831119687</v>
      </c>
      <c r="V293" s="291">
        <f t="shared" si="757"/>
        <v>17292.64043835194</v>
      </c>
      <c r="W293" s="294">
        <f>SUM(K293:V293)</f>
        <v>198398.68711216521</v>
      </c>
    </row>
    <row r="298" spans="10:23">
      <c r="J298">
        <v>1112222</v>
      </c>
    </row>
    <row r="300" spans="10:23" ht="15.5">
      <c r="J300" s="276" t="s">
        <v>407</v>
      </c>
      <c r="K300" s="276">
        <v>2013</v>
      </c>
      <c r="L300" s="276">
        <v>2014</v>
      </c>
      <c r="M300" s="276">
        <v>2015</v>
      </c>
      <c r="N300" s="276">
        <v>2016</v>
      </c>
      <c r="O300" s="276">
        <v>2017</v>
      </c>
      <c r="P300" s="276">
        <v>2018</v>
      </c>
      <c r="Q300" s="276">
        <v>2019</v>
      </c>
      <c r="R300" s="276">
        <v>2020</v>
      </c>
      <c r="S300" s="276">
        <v>2021</v>
      </c>
      <c r="T300" s="276">
        <v>2022</v>
      </c>
      <c r="U300" s="276">
        <v>2023</v>
      </c>
      <c r="V300" s="276">
        <v>2024</v>
      </c>
    </row>
    <row r="301" spans="10:23">
      <c r="J301" s="269" t="s">
        <v>33</v>
      </c>
      <c r="K301" s="277">
        <f>Données!$C$5</f>
        <v>560000</v>
      </c>
      <c r="L301" s="278">
        <f>K301*(1+$D$13)</f>
        <v>565600</v>
      </c>
      <c r="M301" s="278">
        <f t="shared" ref="M301:V301" si="758">L301*(1+$D$13)</f>
        <v>571256</v>
      </c>
      <c r="N301" s="278">
        <f t="shared" si="758"/>
        <v>576968.56000000006</v>
      </c>
      <c r="O301" s="278">
        <f t="shared" si="758"/>
        <v>582738.24560000002</v>
      </c>
      <c r="P301" s="278">
        <f t="shared" si="758"/>
        <v>588565.62805599999</v>
      </c>
      <c r="Q301" s="278">
        <f t="shared" si="758"/>
        <v>594451.28433655994</v>
      </c>
      <c r="R301" s="278">
        <f t="shared" si="758"/>
        <v>600395.79717992549</v>
      </c>
      <c r="S301" s="278">
        <f t="shared" si="758"/>
        <v>606399.75515172479</v>
      </c>
      <c r="T301" s="278">
        <f t="shared" si="758"/>
        <v>612463.752703242</v>
      </c>
      <c r="U301" s="278">
        <f t="shared" si="758"/>
        <v>618588.39023027441</v>
      </c>
      <c r="V301" s="278">
        <f t="shared" si="758"/>
        <v>624774.27413257712</v>
      </c>
    </row>
    <row r="302" spans="10:23">
      <c r="J302" s="269" t="s">
        <v>408</v>
      </c>
      <c r="K302" s="279"/>
      <c r="L302" s="278">
        <f>L301*$D$15</f>
        <v>282800</v>
      </c>
      <c r="M302" s="278">
        <f t="shared" ref="M302" si="759">M301*$D$15</f>
        <v>285628</v>
      </c>
      <c r="N302" s="278">
        <f t="shared" ref="N302" si="760">N301*$D$15</f>
        <v>288484.28000000003</v>
      </c>
      <c r="O302" s="278">
        <f t="shared" ref="O302" si="761">O301*$D$15</f>
        <v>291369.12280000001</v>
      </c>
      <c r="P302" s="278">
        <f t="shared" ref="P302" si="762">P301*$D$15</f>
        <v>294282.81402799999</v>
      </c>
      <c r="Q302" s="278">
        <f t="shared" ref="Q302" si="763">Q301*$D$15</f>
        <v>297225.64216827997</v>
      </c>
      <c r="R302" s="278">
        <f t="shared" ref="R302" si="764">R301*$D$15</f>
        <v>300197.89858996274</v>
      </c>
      <c r="S302" s="278">
        <f t="shared" ref="S302" si="765">S301*$D$15</f>
        <v>303199.8775758624</v>
      </c>
      <c r="T302" s="278">
        <f t="shared" ref="T302" si="766">T301*$D$15</f>
        <v>306231.876351621</v>
      </c>
      <c r="U302" s="278">
        <f t="shared" ref="U302" si="767">U301*$D$15</f>
        <v>309294.1951151372</v>
      </c>
      <c r="V302" s="278">
        <f t="shared" ref="V302" si="768">V301*$D$15</f>
        <v>312387.13706628856</v>
      </c>
    </row>
    <row r="303" spans="10:23">
      <c r="J303" s="269" t="s">
        <v>409</v>
      </c>
      <c r="K303" s="280"/>
      <c r="L303" s="278">
        <f>L302*$D$17</f>
        <v>93324</v>
      </c>
      <c r="M303" s="278">
        <f t="shared" ref="M303" si="769">M302*$D$17</f>
        <v>94257.24</v>
      </c>
      <c r="N303" s="278">
        <f t="shared" ref="N303" si="770">N302*$D$17</f>
        <v>95199.81240000001</v>
      </c>
      <c r="O303" s="278">
        <f t="shared" ref="O303" si="771">O302*$D$17</f>
        <v>96151.810524000015</v>
      </c>
      <c r="P303" s="278">
        <f t="shared" ref="P303" si="772">P302*$D$17</f>
        <v>97113.328629240001</v>
      </c>
      <c r="Q303" s="278">
        <f t="shared" ref="Q303" si="773">Q302*$D$17</f>
        <v>98084.461915532389</v>
      </c>
      <c r="R303" s="278">
        <f t="shared" ref="R303" si="774">R302*$D$17</f>
        <v>99065.306534687712</v>
      </c>
      <c r="S303" s="278">
        <f t="shared" ref="S303" si="775">S302*$D$17</f>
        <v>100055.95960003459</v>
      </c>
      <c r="T303" s="278">
        <f t="shared" ref="T303" si="776">T302*$D$17</f>
        <v>101056.51919603493</v>
      </c>
      <c r="U303" s="278">
        <f t="shared" ref="U303" si="777">U302*$D$17</f>
        <v>102067.08438799529</v>
      </c>
      <c r="V303" s="278">
        <f t="shared" ref="V303" si="778">V302*$D$17</f>
        <v>103087.75523187523</v>
      </c>
    </row>
    <row r="304" spans="10:23">
      <c r="J304" s="269" t="s">
        <v>410</v>
      </c>
      <c r="K304" s="281"/>
      <c r="L304" s="288">
        <f>1</f>
        <v>1</v>
      </c>
      <c r="M304" s="288">
        <f>L304*(1+$G$12)</f>
        <v>1.0147600000000001</v>
      </c>
      <c r="N304" s="288">
        <f>M304*(1+$G$12)</f>
        <v>1.0297378576000003</v>
      </c>
      <c r="O304" s="288">
        <f t="shared" ref="O304" si="779">N304*(1+$G$12)</f>
        <v>1.0449367883781764</v>
      </c>
      <c r="P304" s="288">
        <f t="shared" ref="P304" si="780">O304*(1+$G$12)</f>
        <v>1.0603600553746384</v>
      </c>
      <c r="Q304" s="288">
        <f t="shared" ref="Q304" si="781">P304*(1+$G$12)</f>
        <v>1.0760109697919682</v>
      </c>
      <c r="R304" s="288">
        <f t="shared" ref="R304" si="782">Q304*(1+$G$12)</f>
        <v>1.0918928917060977</v>
      </c>
      <c r="S304" s="288">
        <f t="shared" ref="S304" si="783">R304*(1+$G$12)</f>
        <v>1.1080092307876799</v>
      </c>
      <c r="T304" s="288">
        <f t="shared" ref="T304" si="784">S304*(1+$G$12)</f>
        <v>1.1243634470341062</v>
      </c>
      <c r="U304" s="288">
        <f t="shared" ref="U304" si="785">T304*(1+$G$12)</f>
        <v>1.1409590515123298</v>
      </c>
      <c r="V304" s="288">
        <f t="shared" ref="V304" si="786">U304*(1+$G$12)</f>
        <v>1.157799607112652</v>
      </c>
    </row>
    <row r="305" spans="10:23" ht="15.5">
      <c r="J305" s="270" t="s">
        <v>411</v>
      </c>
      <c r="K305" s="282"/>
      <c r="L305" s="273">
        <f>L303*L304</f>
        <v>93324</v>
      </c>
      <c r="M305" s="273">
        <f>M303*M304</f>
        <v>95648.476862400013</v>
      </c>
      <c r="N305" s="273">
        <f>N303*N304</f>
        <v>98030.850864697946</v>
      </c>
      <c r="O305" s="273">
        <f t="shared" ref="O305:V305" si="787">O303*O304</f>
        <v>100472.56408569551</v>
      </c>
      <c r="P305" s="273">
        <f t="shared" si="787"/>
        <v>102975.09452291638</v>
      </c>
      <c r="Q305" s="273">
        <f t="shared" si="787"/>
        <v>105539.95698725537</v>
      </c>
      <c r="R305" s="273">
        <f t="shared" si="787"/>
        <v>108168.70401991115</v>
      </c>
      <c r="S305" s="273">
        <f t="shared" si="787"/>
        <v>110862.92683215751</v>
      </c>
      <c r="T305" s="273">
        <f t="shared" si="787"/>
        <v>113624.25626852216</v>
      </c>
      <c r="U305" s="273">
        <f t="shared" si="787"/>
        <v>116454.36379395603</v>
      </c>
      <c r="V305" s="273">
        <f t="shared" si="787"/>
        <v>119354.96250559037</v>
      </c>
    </row>
    <row r="306" spans="10:23">
      <c r="J306" s="283" t="s">
        <v>34</v>
      </c>
      <c r="K306" s="274"/>
      <c r="L306" s="289">
        <f>D21</f>
        <v>0.15</v>
      </c>
      <c r="M306" s="289">
        <f>L306*(1+$G$12)</f>
        <v>0.15221400000000002</v>
      </c>
      <c r="N306" s="289">
        <f t="shared" ref="N306" si="788">M306*(1+$G$12)</f>
        <v>0.15446067864000004</v>
      </c>
      <c r="O306" s="289">
        <f t="shared" ref="O306" si="789">N306*(1+$G$12)</f>
        <v>0.15674051825672647</v>
      </c>
      <c r="P306" s="289">
        <f t="shared" ref="P306" si="790">O306*(1+$G$12)</f>
        <v>0.15905400830619576</v>
      </c>
      <c r="Q306" s="289">
        <f t="shared" ref="Q306" si="791">P306*(1+$G$12)</f>
        <v>0.16140164546879524</v>
      </c>
      <c r="R306" s="289">
        <f t="shared" ref="R306" si="792">Q306*(1+$G$12)</f>
        <v>0.16378393375591466</v>
      </c>
      <c r="S306" s="289">
        <f t="shared" ref="S306" si="793">R306*(1+$G$12)</f>
        <v>0.16620138461815198</v>
      </c>
      <c r="T306" s="289">
        <f t="shared" ref="T306" si="794">S306*(1+$G$12)</f>
        <v>0.16865451705511592</v>
      </c>
      <c r="U306" s="289">
        <f t="shared" ref="U306" si="795">T306*(1+$G$12)</f>
        <v>0.17114385772684945</v>
      </c>
      <c r="V306" s="289">
        <f t="shared" ref="V306" si="796">U306*(1+$G$12)</f>
        <v>0.17366994106689776</v>
      </c>
    </row>
    <row r="307" spans="10:23" ht="15.5">
      <c r="J307" s="270" t="s">
        <v>412</v>
      </c>
      <c r="K307" s="282"/>
      <c r="L307" s="273">
        <f>L303*L306</f>
        <v>13998.6</v>
      </c>
      <c r="M307" s="273">
        <f t="shared" ref="M307:V307" si="797">M303*M306</f>
        <v>14347.271529360003</v>
      </c>
      <c r="N307" s="273">
        <f t="shared" si="797"/>
        <v>14704.627629704693</v>
      </c>
      <c r="O307" s="273">
        <f t="shared" si="797"/>
        <v>15070.884612854328</v>
      </c>
      <c r="P307" s="273">
        <f t="shared" si="797"/>
        <v>15446.264178437457</v>
      </c>
      <c r="Q307" s="273">
        <f t="shared" si="797"/>
        <v>15830.993548088307</v>
      </c>
      <c r="R307" s="273">
        <f t="shared" si="797"/>
        <v>16225.305602986671</v>
      </c>
      <c r="S307" s="273">
        <f t="shared" si="797"/>
        <v>16629.439024823627</v>
      </c>
      <c r="T307" s="273">
        <f t="shared" si="797"/>
        <v>17043.638440278322</v>
      </c>
      <c r="U307" s="273">
        <f t="shared" si="797"/>
        <v>17468.154569093404</v>
      </c>
      <c r="V307" s="273">
        <f t="shared" si="797"/>
        <v>17903.244375838553</v>
      </c>
    </row>
    <row r="308" spans="10:23">
      <c r="J308" s="285" t="s">
        <v>418</v>
      </c>
      <c r="K308" s="274"/>
      <c r="L308" s="274">
        <f>L305*0.03</f>
        <v>2799.72</v>
      </c>
      <c r="M308" s="274">
        <f t="shared" ref="M308:V308" si="798">M305*0.03</f>
        <v>2869.4543058720001</v>
      </c>
      <c r="N308" s="274">
        <f t="shared" si="798"/>
        <v>2940.9255259409383</v>
      </c>
      <c r="O308" s="274">
        <f t="shared" si="798"/>
        <v>3014.1769225708654</v>
      </c>
      <c r="P308" s="274">
        <f t="shared" si="798"/>
        <v>3089.2528356874914</v>
      </c>
      <c r="Q308" s="274">
        <f t="shared" si="798"/>
        <v>3166.1987096176608</v>
      </c>
      <c r="R308" s="274">
        <f t="shared" si="798"/>
        <v>3245.0611205973346</v>
      </c>
      <c r="S308" s="274">
        <f t="shared" si="798"/>
        <v>3325.8878049647251</v>
      </c>
      <c r="T308" s="274">
        <f t="shared" si="798"/>
        <v>3408.7276880556647</v>
      </c>
      <c r="U308" s="274">
        <f t="shared" si="798"/>
        <v>3493.6309138186807</v>
      </c>
      <c r="V308" s="274">
        <f t="shared" si="798"/>
        <v>3580.6488751677111</v>
      </c>
    </row>
    <row r="309" spans="10:23">
      <c r="J309" s="285" t="s">
        <v>413</v>
      </c>
      <c r="K309" s="274"/>
      <c r="L309" s="284">
        <v>3000</v>
      </c>
      <c r="M309" s="274">
        <f>L309*(1+$G$12)</f>
        <v>3044.28</v>
      </c>
      <c r="N309" s="274">
        <f t="shared" ref="N309" si="799">M309*(1+$G$12)</f>
        <v>3089.2135728000007</v>
      </c>
      <c r="O309" s="274">
        <f t="shared" ref="O309" si="800">N309*(1+$G$12)</f>
        <v>3134.8103651345291</v>
      </c>
      <c r="P309" s="274">
        <f t="shared" ref="P309" si="801">O309*(1+$G$12)</f>
        <v>3181.0801661239152</v>
      </c>
      <c r="Q309" s="274">
        <f t="shared" ref="Q309" si="802">P309*(1+$G$12)</f>
        <v>3228.0329093759046</v>
      </c>
      <c r="R309" s="274">
        <f t="shared" ref="R309" si="803">Q309*(1+$G$12)</f>
        <v>3275.6786751182935</v>
      </c>
      <c r="S309" s="274">
        <f t="shared" ref="S309" si="804">R309*(1+$G$12)</f>
        <v>3324.0276923630399</v>
      </c>
      <c r="T309" s="274">
        <f t="shared" ref="T309" si="805">S309*(1+$G$12)</f>
        <v>3373.0903411023187</v>
      </c>
      <c r="U309" s="274">
        <f t="shared" ref="U309" si="806">T309*(1+$G$12)</f>
        <v>3422.8771545369891</v>
      </c>
      <c r="V309" s="274">
        <f t="shared" ref="V309" si="807">U309*(1+$G$12)</f>
        <v>3473.3988213379553</v>
      </c>
    </row>
    <row r="310" spans="10:23" ht="15.5">
      <c r="J310" s="270" t="s">
        <v>35</v>
      </c>
      <c r="K310" s="282"/>
      <c r="L310" s="273">
        <f>L308+L309</f>
        <v>5799.7199999999993</v>
      </c>
      <c r="M310" s="273">
        <f t="shared" ref="M310:V310" si="808">M308+M309</f>
        <v>5913.7343058719998</v>
      </c>
      <c r="N310" s="273">
        <f t="shared" si="808"/>
        <v>6030.1390987409395</v>
      </c>
      <c r="O310" s="273">
        <f t="shared" si="808"/>
        <v>6148.9872877053949</v>
      </c>
      <c r="P310" s="273">
        <f t="shared" si="808"/>
        <v>6270.3330018114066</v>
      </c>
      <c r="Q310" s="273">
        <f t="shared" si="808"/>
        <v>6394.2316189935655</v>
      </c>
      <c r="R310" s="273">
        <f t="shared" si="808"/>
        <v>6520.7397957156281</v>
      </c>
      <c r="S310" s="273">
        <f t="shared" si="808"/>
        <v>6649.9154973277655</v>
      </c>
      <c r="T310" s="273">
        <f t="shared" si="808"/>
        <v>6781.8180291579829</v>
      </c>
      <c r="U310" s="273">
        <f t="shared" si="808"/>
        <v>6916.5080683556698</v>
      </c>
      <c r="V310" s="273">
        <f t="shared" si="808"/>
        <v>7054.047696505666</v>
      </c>
    </row>
    <row r="311" spans="10:23">
      <c r="J311" s="286" t="s">
        <v>414</v>
      </c>
      <c r="K311" s="274"/>
      <c r="L311" s="274">
        <f>L305-L307-L310</f>
        <v>73525.679999999993</v>
      </c>
      <c r="M311" s="274">
        <f t="shared" ref="M311:V311" si="809">M305-M307-M310</f>
        <v>75387.471027168009</v>
      </c>
      <c r="N311" s="274">
        <f t="shared" si="809"/>
        <v>77296.084136252321</v>
      </c>
      <c r="O311" s="274">
        <f t="shared" si="809"/>
        <v>79252.692185135791</v>
      </c>
      <c r="P311" s="274">
        <f t="shared" si="809"/>
        <v>81258.497342667513</v>
      </c>
      <c r="Q311" s="274">
        <f t="shared" si="809"/>
        <v>83314.731820173503</v>
      </c>
      <c r="R311" s="274">
        <f t="shared" si="809"/>
        <v>85422.658621208859</v>
      </c>
      <c r="S311" s="274">
        <f t="shared" si="809"/>
        <v>87583.572310006115</v>
      </c>
      <c r="T311" s="274">
        <f t="shared" si="809"/>
        <v>89798.799799085871</v>
      </c>
      <c r="U311" s="274">
        <f t="shared" si="809"/>
        <v>92069.701156506955</v>
      </c>
      <c r="V311" s="274">
        <f t="shared" si="809"/>
        <v>94397.670433246152</v>
      </c>
    </row>
    <row r="312" spans="10:23">
      <c r="J312" s="286" t="s">
        <v>415</v>
      </c>
      <c r="K312" s="274"/>
      <c r="L312" s="274">
        <f>L311*$G$13</f>
        <v>29410.271999999997</v>
      </c>
      <c r="M312" s="274">
        <f t="shared" ref="M312:Q312" si="810">M311*$G$13</f>
        <v>30154.988410867205</v>
      </c>
      <c r="N312" s="274">
        <f t="shared" si="810"/>
        <v>30918.433654500928</v>
      </c>
      <c r="O312" s="274">
        <f t="shared" si="810"/>
        <v>31701.076874054317</v>
      </c>
      <c r="P312" s="274">
        <f t="shared" si="810"/>
        <v>32503.398937067006</v>
      </c>
      <c r="Q312" s="274">
        <f t="shared" si="810"/>
        <v>33325.892728069404</v>
      </c>
      <c r="R312" s="274">
        <f>R311*$G$13</f>
        <v>34169.063448483546</v>
      </c>
      <c r="S312" s="274">
        <f t="shared" ref="S312:V312" si="811">S311*$G$13</f>
        <v>35033.428924002445</v>
      </c>
      <c r="T312" s="274">
        <f t="shared" si="811"/>
        <v>35919.519919634353</v>
      </c>
      <c r="U312" s="274">
        <f t="shared" si="811"/>
        <v>36827.880462602785</v>
      </c>
      <c r="V312" s="274">
        <f t="shared" si="811"/>
        <v>37759.068173298459</v>
      </c>
    </row>
    <row r="313" spans="10:23" ht="15.5">
      <c r="J313" s="270" t="s">
        <v>358</v>
      </c>
      <c r="K313" s="272"/>
      <c r="L313" s="273">
        <f>L311-L312</f>
        <v>44115.407999999996</v>
      </c>
      <c r="M313" s="273">
        <f t="shared" ref="M313:V313" si="812">M311-M312</f>
        <v>45232.482616300804</v>
      </c>
      <c r="N313" s="273">
        <f t="shared" si="812"/>
        <v>46377.650481751392</v>
      </c>
      <c r="O313" s="273">
        <f t="shared" si="812"/>
        <v>47551.615311081478</v>
      </c>
      <c r="P313" s="273">
        <f t="shared" si="812"/>
        <v>48755.098405600511</v>
      </c>
      <c r="Q313" s="273">
        <f t="shared" si="812"/>
        <v>49988.839092104099</v>
      </c>
      <c r="R313" s="273">
        <f t="shared" si="812"/>
        <v>51253.595172725312</v>
      </c>
      <c r="S313" s="273">
        <f t="shared" si="812"/>
        <v>52550.14338600367</v>
      </c>
      <c r="T313" s="273">
        <f t="shared" si="812"/>
        <v>53879.279879451518</v>
      </c>
      <c r="U313" s="273">
        <f t="shared" si="812"/>
        <v>55241.82069390417</v>
      </c>
      <c r="V313" s="273">
        <f t="shared" si="812"/>
        <v>56638.602259947693</v>
      </c>
    </row>
    <row r="314" spans="10:23" ht="15.5">
      <c r="J314" s="270" t="s">
        <v>419</v>
      </c>
      <c r="K314" s="272"/>
      <c r="L314" s="273">
        <f>M305*$G$14</f>
        <v>15941.412810400001</v>
      </c>
      <c r="M314" s="273">
        <f t="shared" ref="M314" si="813">N305*$G$14</f>
        <v>16338.475144116324</v>
      </c>
      <c r="N314" s="273">
        <f t="shared" ref="N314" si="814">O305*$G$14</f>
        <v>16745.427347615918</v>
      </c>
      <c r="O314" s="273">
        <f t="shared" ref="O314" si="815">P305*$G$14</f>
        <v>17162.515753819396</v>
      </c>
      <c r="P314" s="273">
        <f t="shared" ref="P314" si="816">Q305*$G$14</f>
        <v>17589.992831209227</v>
      </c>
      <c r="Q314" s="273">
        <f t="shared" ref="Q314" si="817">R305*$G$14</f>
        <v>18028.117336651856</v>
      </c>
      <c r="R314" s="273">
        <f t="shared" ref="R314" si="818">S305*$G$14</f>
        <v>18477.15447202625</v>
      </c>
      <c r="S314" s="273">
        <f t="shared" ref="S314" si="819">T305*$G$14</f>
        <v>18937.376044753692</v>
      </c>
      <c r="T314" s="273">
        <f t="shared" ref="T314" si="820">U305*$G$14</f>
        <v>19409.060632326004</v>
      </c>
      <c r="U314" s="273">
        <f t="shared" ref="U314" si="821">V305*$G$14</f>
        <v>19892.493750931728</v>
      </c>
      <c r="V314" s="273">
        <f t="shared" ref="V314" si="822">W305*$G$14</f>
        <v>0</v>
      </c>
    </row>
    <row r="315" spans="10:23" ht="16" thickBot="1">
      <c r="J315" s="270" t="s">
        <v>416</v>
      </c>
      <c r="K315" s="290">
        <f>L305*$G$14</f>
        <v>15554</v>
      </c>
      <c r="L315" s="273">
        <f>L314-K315</f>
        <v>387.41281040000104</v>
      </c>
      <c r="M315" s="273">
        <f>M314-L314</f>
        <v>397.06233371632334</v>
      </c>
      <c r="N315" s="273">
        <f t="shared" ref="N315" si="823">N314-M314</f>
        <v>406.95220349959345</v>
      </c>
      <c r="O315" s="273">
        <f t="shared" ref="O315" si="824">O314-N314</f>
        <v>417.08840620347837</v>
      </c>
      <c r="P315" s="273">
        <f t="shared" ref="P315" si="825">P314-O314</f>
        <v>427.47707738983081</v>
      </c>
      <c r="Q315" s="273">
        <f t="shared" ref="Q315" si="826">Q314-P314</f>
        <v>438.12450544262902</v>
      </c>
      <c r="R315" s="273">
        <f t="shared" ref="R315" si="827">R314-Q314</f>
        <v>449.03713537439398</v>
      </c>
      <c r="S315" s="273">
        <f t="shared" ref="S315" si="828">S314-R314</f>
        <v>460.22157272744153</v>
      </c>
      <c r="T315" s="273">
        <f t="shared" ref="T315" si="829">T314-S314</f>
        <v>471.68458757231201</v>
      </c>
      <c r="U315" s="273">
        <f t="shared" ref="U315" si="830">U314-T314</f>
        <v>483.4331186057243</v>
      </c>
      <c r="V315" s="273">
        <f t="shared" ref="V315" si="831">V314-U314</f>
        <v>-19892.493750931728</v>
      </c>
    </row>
    <row r="316" spans="10:23" ht="15.5">
      <c r="J316" s="271" t="s">
        <v>417</v>
      </c>
      <c r="K316" s="275">
        <f>K313-K315</f>
        <v>-15554</v>
      </c>
      <c r="L316" s="275">
        <f>L313-L315</f>
        <v>43727.995189599998</v>
      </c>
      <c r="M316" s="275">
        <f>M313-M315</f>
        <v>44835.420282584484</v>
      </c>
      <c r="N316" s="275">
        <f t="shared" ref="N316:V316" si="832">N313-N315</f>
        <v>45970.698278251803</v>
      </c>
      <c r="O316" s="275">
        <f t="shared" si="832"/>
        <v>47134.526904878003</v>
      </c>
      <c r="P316" s="275">
        <f t="shared" si="832"/>
        <v>48327.621328210676</v>
      </c>
      <c r="Q316" s="275">
        <f t="shared" si="832"/>
        <v>49550.714586661474</v>
      </c>
      <c r="R316" s="275">
        <f t="shared" si="832"/>
        <v>50804.558037350915</v>
      </c>
      <c r="S316" s="275">
        <f t="shared" si="832"/>
        <v>52089.921813276233</v>
      </c>
      <c r="T316" s="275">
        <f t="shared" si="832"/>
        <v>53407.595291879203</v>
      </c>
      <c r="U316" s="275">
        <f t="shared" si="832"/>
        <v>54758.387575298446</v>
      </c>
      <c r="V316" s="275">
        <f t="shared" si="832"/>
        <v>76531.096010879424</v>
      </c>
      <c r="W316" s="295" t="s">
        <v>360</v>
      </c>
    </row>
    <row r="317" spans="10:23" ht="16" thickBot="1">
      <c r="J317" s="271" t="s">
        <v>367</v>
      </c>
      <c r="K317" s="291">
        <f>K316/(1+$G$16)^(K300-$G$15)</f>
        <v>-10155.634427234865</v>
      </c>
      <c r="L317" s="291">
        <f>L316/(1+$G$16)^(L300-$G$15)</f>
        <v>25664.970668508173</v>
      </c>
      <c r="M317" s="291">
        <f t="shared" ref="M317:V317" si="833">M316/(1+$G$16)^(M300-$G$15)</f>
        <v>23654.767946287688</v>
      </c>
      <c r="N317" s="291">
        <f t="shared" si="833"/>
        <v>21801.922350747744</v>
      </c>
      <c r="O317" s="291">
        <f t="shared" si="833"/>
        <v>20094.124163048175</v>
      </c>
      <c r="P317" s="291">
        <f t="shared" si="833"/>
        <v>18520.02591481106</v>
      </c>
      <c r="Q317" s="291">
        <f t="shared" si="833"/>
        <v>17069.167232025669</v>
      </c>
      <c r="R317" s="291">
        <f t="shared" si="833"/>
        <v>15731.905543412273</v>
      </c>
      <c r="S317" s="291">
        <f t="shared" si="833"/>
        <v>14499.352196131913</v>
      </c>
      <c r="T317" s="291">
        <f t="shared" si="833"/>
        <v>13363.313557315589</v>
      </c>
      <c r="U317" s="291">
        <f t="shared" si="833"/>
        <v>12316.236712706652</v>
      </c>
      <c r="V317" s="291">
        <f t="shared" si="833"/>
        <v>15473.250269381566</v>
      </c>
      <c r="W317" s="294">
        <f>SUM(K317:V317)</f>
        <v>188033.40212714166</v>
      </c>
    </row>
    <row r="322" spans="10:22">
      <c r="J322">
        <v>1112311</v>
      </c>
    </row>
    <row r="324" spans="10:22" ht="15.5">
      <c r="J324" s="276" t="s">
        <v>407</v>
      </c>
      <c r="K324" s="276">
        <v>2013</v>
      </c>
      <c r="L324" s="276">
        <v>2014</v>
      </c>
      <c r="M324" s="276">
        <v>2015</v>
      </c>
      <c r="N324" s="276">
        <v>2016</v>
      </c>
      <c r="O324" s="276">
        <v>2017</v>
      </c>
      <c r="P324" s="276">
        <v>2018</v>
      </c>
      <c r="Q324" s="276">
        <v>2019</v>
      </c>
      <c r="R324" s="276">
        <v>2020</v>
      </c>
      <c r="S324" s="276">
        <v>2021</v>
      </c>
      <c r="T324" s="276">
        <v>2022</v>
      </c>
      <c r="U324" s="276">
        <v>2023</v>
      </c>
      <c r="V324" s="276">
        <v>2024</v>
      </c>
    </row>
    <row r="325" spans="10:22">
      <c r="J325" s="269" t="s">
        <v>33</v>
      </c>
      <c r="K325" s="277">
        <f>Données!$C$5</f>
        <v>560000</v>
      </c>
      <c r="L325" s="278">
        <f>K325*(1+$D$12)</f>
        <v>571200</v>
      </c>
      <c r="M325" s="278">
        <f t="shared" ref="M325:V325" si="834">L325*(1+$D$12)</f>
        <v>582624</v>
      </c>
      <c r="N325" s="278">
        <f t="shared" si="834"/>
        <v>594276.48</v>
      </c>
      <c r="O325" s="278">
        <f t="shared" si="834"/>
        <v>606162.00959999999</v>
      </c>
      <c r="P325" s="278">
        <f t="shared" si="834"/>
        <v>618285.24979200005</v>
      </c>
      <c r="Q325" s="278">
        <f t="shared" si="834"/>
        <v>630650.95478784002</v>
      </c>
      <c r="R325" s="278">
        <f t="shared" si="834"/>
        <v>643263.97388359683</v>
      </c>
      <c r="S325" s="278">
        <f t="shared" si="834"/>
        <v>656129.25336126878</v>
      </c>
      <c r="T325" s="278">
        <f t="shared" si="834"/>
        <v>669251.83842849417</v>
      </c>
      <c r="U325" s="278">
        <f t="shared" si="834"/>
        <v>682636.87519706402</v>
      </c>
      <c r="V325" s="278">
        <f t="shared" si="834"/>
        <v>696289.6127010053</v>
      </c>
    </row>
    <row r="326" spans="10:22">
      <c r="J326" s="269" t="s">
        <v>408</v>
      </c>
      <c r="K326" s="279"/>
      <c r="L326" s="278">
        <f>L325*$D$14</f>
        <v>571200</v>
      </c>
      <c r="M326" s="278">
        <f t="shared" ref="M326:V326" si="835">M325*$D$14</f>
        <v>582624</v>
      </c>
      <c r="N326" s="278">
        <f t="shared" si="835"/>
        <v>594276.48</v>
      </c>
      <c r="O326" s="278">
        <f t="shared" si="835"/>
        <v>606162.00959999999</v>
      </c>
      <c r="P326" s="278">
        <f t="shared" si="835"/>
        <v>618285.24979200005</v>
      </c>
      <c r="Q326" s="278">
        <f t="shared" si="835"/>
        <v>630650.95478784002</v>
      </c>
      <c r="R326" s="278">
        <f t="shared" si="835"/>
        <v>643263.97388359683</v>
      </c>
      <c r="S326" s="278">
        <f t="shared" si="835"/>
        <v>656129.25336126878</v>
      </c>
      <c r="T326" s="278">
        <f t="shared" si="835"/>
        <v>669251.83842849417</v>
      </c>
      <c r="U326" s="278">
        <f t="shared" si="835"/>
        <v>682636.87519706402</v>
      </c>
      <c r="V326" s="278">
        <f t="shared" si="835"/>
        <v>696289.6127010053</v>
      </c>
    </row>
    <row r="327" spans="10:22">
      <c r="J327" s="269" t="s">
        <v>409</v>
      </c>
      <c r="K327" s="280"/>
      <c r="L327" s="278">
        <f>L326*$D$18</f>
        <v>114240</v>
      </c>
      <c r="M327" s="278">
        <f t="shared" ref="M327:V327" si="836">M326*$D$18</f>
        <v>116524.8</v>
      </c>
      <c r="N327" s="278">
        <f t="shared" si="836"/>
        <v>118855.296</v>
      </c>
      <c r="O327" s="278">
        <f t="shared" si="836"/>
        <v>121232.40192</v>
      </c>
      <c r="P327" s="278">
        <f t="shared" si="836"/>
        <v>123657.04995840002</v>
      </c>
      <c r="Q327" s="278">
        <f t="shared" si="836"/>
        <v>126130.190957568</v>
      </c>
      <c r="R327" s="278">
        <f t="shared" si="836"/>
        <v>128652.79477671937</v>
      </c>
      <c r="S327" s="278">
        <f t="shared" si="836"/>
        <v>131225.85067225376</v>
      </c>
      <c r="T327" s="278">
        <f t="shared" si="836"/>
        <v>133850.36768569885</v>
      </c>
      <c r="U327" s="278">
        <f t="shared" si="836"/>
        <v>136527.37503941281</v>
      </c>
      <c r="V327" s="278">
        <f t="shared" si="836"/>
        <v>139257.92254020108</v>
      </c>
    </row>
    <row r="328" spans="10:22">
      <c r="J328" s="269" t="s">
        <v>410</v>
      </c>
      <c r="K328" s="281"/>
      <c r="L328" s="288">
        <f>1</f>
        <v>1</v>
      </c>
      <c r="M328" s="288">
        <f>L328*(1+$G$12)</f>
        <v>1.0147600000000001</v>
      </c>
      <c r="N328" s="288">
        <f>M328*(1+$G$12)</f>
        <v>1.0297378576000003</v>
      </c>
      <c r="O328" s="288">
        <f t="shared" ref="O328" si="837">N328*(1+$G$12)</f>
        <v>1.0449367883781764</v>
      </c>
      <c r="P328" s="288">
        <f t="shared" ref="P328" si="838">O328*(1+$G$12)</f>
        <v>1.0603600553746384</v>
      </c>
      <c r="Q328" s="288">
        <f t="shared" ref="Q328" si="839">P328*(1+$G$12)</f>
        <v>1.0760109697919682</v>
      </c>
      <c r="R328" s="288">
        <f t="shared" ref="R328" si="840">Q328*(1+$G$12)</f>
        <v>1.0918928917060977</v>
      </c>
      <c r="S328" s="288">
        <f t="shared" ref="S328" si="841">R328*(1+$G$12)</f>
        <v>1.1080092307876799</v>
      </c>
      <c r="T328" s="288">
        <f t="shared" ref="T328" si="842">S328*(1+$G$12)</f>
        <v>1.1243634470341062</v>
      </c>
      <c r="U328" s="288">
        <f t="shared" ref="U328" si="843">T328*(1+$G$12)</f>
        <v>1.1409590515123298</v>
      </c>
      <c r="V328" s="288">
        <f t="shared" ref="V328" si="844">U328*(1+$G$12)</f>
        <v>1.157799607112652</v>
      </c>
    </row>
    <row r="329" spans="10:22" ht="15.5">
      <c r="J329" s="270" t="s">
        <v>411</v>
      </c>
      <c r="K329" s="282"/>
      <c r="L329" s="273">
        <f>L327*L328</f>
        <v>114240</v>
      </c>
      <c r="M329" s="273">
        <f>M327*M328</f>
        <v>118244.70604800002</v>
      </c>
      <c r="N329" s="273">
        <f>N327*N328</f>
        <v>122389.79786745388</v>
      </c>
      <c r="O329" s="273">
        <f t="shared" ref="O329:V329" si="845">O327*O328</f>
        <v>126680.19670965707</v>
      </c>
      <c r="P329" s="273">
        <f t="shared" si="845"/>
        <v>131120.99634135349</v>
      </c>
      <c r="Q329" s="273">
        <f t="shared" si="845"/>
        <v>135717.46909229888</v>
      </c>
      <c r="R329" s="273">
        <f t="shared" si="845"/>
        <v>140475.07211482327</v>
      </c>
      <c r="S329" s="273">
        <f t="shared" si="845"/>
        <v>145399.45386282282</v>
      </c>
      <c r="T329" s="273">
        <f t="shared" si="845"/>
        <v>150496.4607978749</v>
      </c>
      <c r="U329" s="273">
        <f t="shared" si="845"/>
        <v>155772.14433043657</v>
      </c>
      <c r="V329" s="273">
        <f t="shared" si="845"/>
        <v>161232.76800436893</v>
      </c>
    </row>
    <row r="330" spans="10:22">
      <c r="J330" s="283" t="s">
        <v>34</v>
      </c>
      <c r="K330" s="274"/>
      <c r="L330" s="289">
        <f>D21</f>
        <v>0.15</v>
      </c>
      <c r="M330" s="289">
        <f>L330*(1+$G$12)</f>
        <v>0.15221400000000002</v>
      </c>
      <c r="N330" s="289">
        <f t="shared" ref="N330" si="846">M330*(1+$G$12)</f>
        <v>0.15446067864000004</v>
      </c>
      <c r="O330" s="289">
        <f t="shared" ref="O330" si="847">N330*(1+$G$12)</f>
        <v>0.15674051825672647</v>
      </c>
      <c r="P330" s="289">
        <f t="shared" ref="P330" si="848">O330*(1+$G$12)</f>
        <v>0.15905400830619576</v>
      </c>
      <c r="Q330" s="289">
        <f t="shared" ref="Q330" si="849">P330*(1+$G$12)</f>
        <v>0.16140164546879524</v>
      </c>
      <c r="R330" s="289">
        <f t="shared" ref="R330" si="850">Q330*(1+$G$12)</f>
        <v>0.16378393375591466</v>
      </c>
      <c r="S330" s="289">
        <f t="shared" ref="S330" si="851">R330*(1+$G$12)</f>
        <v>0.16620138461815198</v>
      </c>
      <c r="T330" s="289">
        <f t="shared" ref="T330" si="852">S330*(1+$G$12)</f>
        <v>0.16865451705511592</v>
      </c>
      <c r="U330" s="289">
        <f t="shared" ref="U330" si="853">T330*(1+$G$12)</f>
        <v>0.17114385772684945</v>
      </c>
      <c r="V330" s="289">
        <f t="shared" ref="V330" si="854">U330*(1+$G$12)</f>
        <v>0.17366994106689776</v>
      </c>
    </row>
    <row r="331" spans="10:22" ht="15.5">
      <c r="J331" s="270" t="s">
        <v>412</v>
      </c>
      <c r="K331" s="282"/>
      <c r="L331" s="273">
        <f>L327*L330</f>
        <v>17136</v>
      </c>
      <c r="M331" s="273">
        <f t="shared" ref="M331:V331" si="855">M327*M330</f>
        <v>17736.705907200001</v>
      </c>
      <c r="N331" s="273">
        <f t="shared" si="855"/>
        <v>18358.469680118083</v>
      </c>
      <c r="O331" s="273">
        <f t="shared" si="855"/>
        <v>19002.029506448562</v>
      </c>
      <c r="P331" s="273">
        <f t="shared" si="855"/>
        <v>19668.149451203022</v>
      </c>
      <c r="Q331" s="273">
        <f t="shared" si="855"/>
        <v>20357.620363844835</v>
      </c>
      <c r="R331" s="273">
        <f t="shared" si="855"/>
        <v>21071.260817223487</v>
      </c>
      <c r="S331" s="273">
        <f t="shared" si="855"/>
        <v>21809.918079423423</v>
      </c>
      <c r="T331" s="273">
        <f t="shared" si="855"/>
        <v>22574.469119681231</v>
      </c>
      <c r="U331" s="273">
        <f t="shared" si="855"/>
        <v>23365.821649565485</v>
      </c>
      <c r="V331" s="273">
        <f t="shared" si="855"/>
        <v>24184.915200655334</v>
      </c>
    </row>
    <row r="332" spans="10:22">
      <c r="J332" s="285" t="s">
        <v>418</v>
      </c>
      <c r="K332" s="274"/>
      <c r="L332" s="274">
        <f>L329*0.03</f>
        <v>3427.2</v>
      </c>
      <c r="M332" s="274">
        <f t="shared" ref="M332:V332" si="856">M329*0.03</f>
        <v>3547.3411814400006</v>
      </c>
      <c r="N332" s="274">
        <f t="shared" si="856"/>
        <v>3671.6939360236161</v>
      </c>
      <c r="O332" s="274">
        <f t="shared" si="856"/>
        <v>3800.4059012897119</v>
      </c>
      <c r="P332" s="274">
        <f t="shared" si="856"/>
        <v>3933.6298902406043</v>
      </c>
      <c r="Q332" s="274">
        <f t="shared" si="856"/>
        <v>4071.5240727689661</v>
      </c>
      <c r="R332" s="274">
        <f t="shared" si="856"/>
        <v>4214.2521634446975</v>
      </c>
      <c r="S332" s="274">
        <f t="shared" si="856"/>
        <v>4361.9836158846847</v>
      </c>
      <c r="T332" s="274">
        <f t="shared" si="856"/>
        <v>4514.8938239362469</v>
      </c>
      <c r="U332" s="274">
        <f t="shared" si="856"/>
        <v>4673.1643299130965</v>
      </c>
      <c r="V332" s="274">
        <f t="shared" si="856"/>
        <v>4836.9830401310674</v>
      </c>
    </row>
    <row r="333" spans="10:22">
      <c r="J333" s="285" t="s">
        <v>413</v>
      </c>
      <c r="K333" s="274"/>
      <c r="L333" s="284">
        <v>3000</v>
      </c>
      <c r="M333" s="274">
        <f>L333*(1+$G$12)</f>
        <v>3044.28</v>
      </c>
      <c r="N333" s="274">
        <f t="shared" ref="N333" si="857">M333*(1+$G$12)</f>
        <v>3089.2135728000007</v>
      </c>
      <c r="O333" s="274">
        <f t="shared" ref="O333" si="858">N333*(1+$G$12)</f>
        <v>3134.8103651345291</v>
      </c>
      <c r="P333" s="274">
        <f t="shared" ref="P333" si="859">O333*(1+$G$12)</f>
        <v>3181.0801661239152</v>
      </c>
      <c r="Q333" s="274">
        <f t="shared" ref="Q333" si="860">P333*(1+$G$12)</f>
        <v>3228.0329093759046</v>
      </c>
      <c r="R333" s="274">
        <f t="shared" ref="R333" si="861">Q333*(1+$G$12)</f>
        <v>3275.6786751182935</v>
      </c>
      <c r="S333" s="274">
        <f t="shared" ref="S333" si="862">R333*(1+$G$12)</f>
        <v>3324.0276923630399</v>
      </c>
      <c r="T333" s="274">
        <f t="shared" ref="T333" si="863">S333*(1+$G$12)</f>
        <v>3373.0903411023187</v>
      </c>
      <c r="U333" s="274">
        <f t="shared" ref="U333" si="864">T333*(1+$G$12)</f>
        <v>3422.8771545369891</v>
      </c>
      <c r="V333" s="274">
        <f t="shared" ref="V333" si="865">U333*(1+$G$12)</f>
        <v>3473.3988213379553</v>
      </c>
    </row>
    <row r="334" spans="10:22" ht="15.5">
      <c r="J334" s="270" t="s">
        <v>35</v>
      </c>
      <c r="K334" s="282"/>
      <c r="L334" s="273">
        <f>L332+L333</f>
        <v>6427.2</v>
      </c>
      <c r="M334" s="273">
        <f t="shared" ref="M334:V334" si="866">M332+M333</f>
        <v>6591.6211814400012</v>
      </c>
      <c r="N334" s="273">
        <f t="shared" si="866"/>
        <v>6760.9075088236168</v>
      </c>
      <c r="O334" s="273">
        <f t="shared" si="866"/>
        <v>6935.2162664242405</v>
      </c>
      <c r="P334" s="273">
        <f t="shared" si="866"/>
        <v>7114.7100563645199</v>
      </c>
      <c r="Q334" s="273">
        <f t="shared" si="866"/>
        <v>7299.5569821448707</v>
      </c>
      <c r="R334" s="273">
        <f t="shared" si="866"/>
        <v>7489.9308385629911</v>
      </c>
      <c r="S334" s="273">
        <f t="shared" si="866"/>
        <v>7686.0113082477246</v>
      </c>
      <c r="T334" s="273">
        <f t="shared" si="866"/>
        <v>7887.9841650385661</v>
      </c>
      <c r="U334" s="273">
        <f t="shared" si="866"/>
        <v>8096.0414844500856</v>
      </c>
      <c r="V334" s="273">
        <f t="shared" si="866"/>
        <v>8310.3818614690226</v>
      </c>
    </row>
    <row r="335" spans="10:22">
      <c r="J335" s="286" t="s">
        <v>414</v>
      </c>
      <c r="K335" s="274"/>
      <c r="L335" s="274">
        <f>L329-L331-L334</f>
        <v>90676.800000000003</v>
      </c>
      <c r="M335" s="274">
        <f t="shared" ref="M335:V335" si="867">M329-M331-M334</f>
        <v>93916.378959360023</v>
      </c>
      <c r="N335" s="274">
        <f t="shared" si="867"/>
        <v>97270.420678512179</v>
      </c>
      <c r="O335" s="274">
        <f t="shared" si="867"/>
        <v>100742.95093678428</v>
      </c>
      <c r="P335" s="274">
        <f t="shared" si="867"/>
        <v>104338.13683378595</v>
      </c>
      <c r="Q335" s="274">
        <f t="shared" si="867"/>
        <v>108060.29174630917</v>
      </c>
      <c r="R335" s="274">
        <f t="shared" si="867"/>
        <v>111913.88045903679</v>
      </c>
      <c r="S335" s="274">
        <f t="shared" si="867"/>
        <v>115903.52447515167</v>
      </c>
      <c r="T335" s="274">
        <f t="shared" si="867"/>
        <v>120034.0075131551</v>
      </c>
      <c r="U335" s="274">
        <f t="shared" si="867"/>
        <v>124310.281196421</v>
      </c>
      <c r="V335" s="274">
        <f t="shared" si="867"/>
        <v>128737.47094224456</v>
      </c>
    </row>
    <row r="336" spans="10:22">
      <c r="J336" s="286" t="s">
        <v>415</v>
      </c>
      <c r="K336" s="274"/>
      <c r="L336" s="274">
        <f>L335*$G$13</f>
        <v>36270.720000000001</v>
      </c>
      <c r="M336" s="274">
        <f t="shared" ref="M336:Q336" si="868">M335*$G$13</f>
        <v>37566.551583744011</v>
      </c>
      <c r="N336" s="274">
        <f t="shared" si="868"/>
        <v>38908.168271404873</v>
      </c>
      <c r="O336" s="274">
        <f t="shared" si="868"/>
        <v>40297.180374713716</v>
      </c>
      <c r="P336" s="274">
        <f t="shared" si="868"/>
        <v>41735.254733514383</v>
      </c>
      <c r="Q336" s="274">
        <f t="shared" si="868"/>
        <v>43224.11669852367</v>
      </c>
      <c r="R336" s="274">
        <f>R335*$G$13</f>
        <v>44765.552183614724</v>
      </c>
      <c r="S336" s="274">
        <f t="shared" ref="S336:V336" si="869">S335*$G$13</f>
        <v>46361.409790060672</v>
      </c>
      <c r="T336" s="274">
        <f t="shared" si="869"/>
        <v>48013.603005262041</v>
      </c>
      <c r="U336" s="274">
        <f t="shared" si="869"/>
        <v>49724.112478568401</v>
      </c>
      <c r="V336" s="274">
        <f t="shared" si="869"/>
        <v>51494.988376897825</v>
      </c>
    </row>
    <row r="337" spans="10:23" ht="15.5">
      <c r="J337" s="270" t="s">
        <v>358</v>
      </c>
      <c r="K337" s="272"/>
      <c r="L337" s="273">
        <f>L335-L336</f>
        <v>54406.080000000002</v>
      </c>
      <c r="M337" s="273">
        <f t="shared" ref="M337:V337" si="870">M335-M336</f>
        <v>56349.827375616012</v>
      </c>
      <c r="N337" s="273">
        <f t="shared" si="870"/>
        <v>58362.252407107306</v>
      </c>
      <c r="O337" s="273">
        <f t="shared" si="870"/>
        <v>60445.770562070567</v>
      </c>
      <c r="P337" s="273">
        <f t="shared" si="870"/>
        <v>62602.882100271563</v>
      </c>
      <c r="Q337" s="273">
        <f t="shared" si="870"/>
        <v>64836.175047785502</v>
      </c>
      <c r="R337" s="273">
        <f t="shared" si="870"/>
        <v>67148.328275422071</v>
      </c>
      <c r="S337" s="273">
        <f t="shared" si="870"/>
        <v>69542.114685091001</v>
      </c>
      <c r="T337" s="273">
        <f t="shared" si="870"/>
        <v>72020.40450789305</v>
      </c>
      <c r="U337" s="273">
        <f t="shared" si="870"/>
        <v>74586.16871785259</v>
      </c>
      <c r="V337" s="273">
        <f t="shared" si="870"/>
        <v>77242.482565346727</v>
      </c>
    </row>
    <row r="338" spans="10:23" ht="15.5">
      <c r="J338" s="270" t="s">
        <v>419</v>
      </c>
      <c r="K338" s="272"/>
      <c r="L338" s="273">
        <f>M329*$G$14</f>
        <v>19707.451008000004</v>
      </c>
      <c r="M338" s="273">
        <f t="shared" ref="M338" si="871">N329*$G$14</f>
        <v>20398.299644575643</v>
      </c>
      <c r="N338" s="273">
        <f t="shared" ref="N338" si="872">O329*$G$14</f>
        <v>21113.366118276179</v>
      </c>
      <c r="O338" s="273">
        <f t="shared" ref="O338" si="873">P329*$G$14</f>
        <v>21853.499390225581</v>
      </c>
      <c r="P338" s="273">
        <f t="shared" ref="P338" si="874">Q329*$G$14</f>
        <v>22619.578182049812</v>
      </c>
      <c r="Q338" s="273">
        <f t="shared" ref="Q338" si="875">R329*$G$14</f>
        <v>23412.512019137212</v>
      </c>
      <c r="R338" s="273">
        <f t="shared" ref="R338" si="876">S329*$G$14</f>
        <v>24233.242310470469</v>
      </c>
      <c r="S338" s="273">
        <f t="shared" ref="S338" si="877">T329*$G$14</f>
        <v>25082.74346631248</v>
      </c>
      <c r="T338" s="273">
        <f t="shared" ref="T338" si="878">U329*$G$14</f>
        <v>25962.024055072761</v>
      </c>
      <c r="U338" s="273">
        <f t="shared" ref="U338" si="879">V329*$G$14</f>
        <v>26872.128000728153</v>
      </c>
      <c r="V338" s="273">
        <f t="shared" ref="V338" si="880">W329*$G$14</f>
        <v>0</v>
      </c>
    </row>
    <row r="339" spans="10:23" ht="16" thickBot="1">
      <c r="J339" s="270" t="s">
        <v>416</v>
      </c>
      <c r="K339" s="290">
        <f>L329*$G$14</f>
        <v>19040</v>
      </c>
      <c r="L339" s="273">
        <f>L338-K339</f>
        <v>667.45100800000364</v>
      </c>
      <c r="M339" s="273">
        <f>M338-L338</f>
        <v>690.84863657563983</v>
      </c>
      <c r="N339" s="273">
        <f t="shared" ref="N339" si="881">N338-M338</f>
        <v>715.06647370053543</v>
      </c>
      <c r="O339" s="273">
        <f t="shared" ref="O339" si="882">O338-N338</f>
        <v>740.13327194940211</v>
      </c>
      <c r="P339" s="273">
        <f t="shared" ref="P339" si="883">P338-O338</f>
        <v>766.0787918242313</v>
      </c>
      <c r="Q339" s="273">
        <f t="shared" ref="Q339" si="884">Q338-P338</f>
        <v>792.9338370873993</v>
      </c>
      <c r="R339" s="273">
        <f t="shared" ref="R339" si="885">R338-Q338</f>
        <v>820.7302913332569</v>
      </c>
      <c r="S339" s="273">
        <f t="shared" ref="S339" si="886">S338-R338</f>
        <v>849.50115584201194</v>
      </c>
      <c r="T339" s="273">
        <f t="shared" ref="T339" si="887">T338-S338</f>
        <v>879.28058876028081</v>
      </c>
      <c r="U339" s="273">
        <f t="shared" ref="U339" si="888">U338-T338</f>
        <v>910.10394565539173</v>
      </c>
      <c r="V339" s="273">
        <f t="shared" ref="V339" si="889">V338-U338</f>
        <v>-26872.128000728153</v>
      </c>
    </row>
    <row r="340" spans="10:23" ht="15.5">
      <c r="J340" s="271" t="s">
        <v>417</v>
      </c>
      <c r="K340" s="275">
        <f>K337-K339</f>
        <v>-19040</v>
      </c>
      <c r="L340" s="275">
        <f>L337-L339</f>
        <v>53738.628991999998</v>
      </c>
      <c r="M340" s="275">
        <f>M337-M339</f>
        <v>55658.978739040373</v>
      </c>
      <c r="N340" s="275">
        <f t="shared" ref="N340:V340" si="890">N337-N339</f>
        <v>57647.18593340677</v>
      </c>
      <c r="O340" s="275">
        <f t="shared" si="890"/>
        <v>59705.637290121165</v>
      </c>
      <c r="P340" s="275">
        <f t="shared" si="890"/>
        <v>61836.803308447328</v>
      </c>
      <c r="Q340" s="275">
        <f t="shared" si="890"/>
        <v>64043.241210698106</v>
      </c>
      <c r="R340" s="275">
        <f t="shared" si="890"/>
        <v>66327.597984088818</v>
      </c>
      <c r="S340" s="275">
        <f t="shared" si="890"/>
        <v>68692.613529248993</v>
      </c>
      <c r="T340" s="275">
        <f t="shared" si="890"/>
        <v>71141.123919132777</v>
      </c>
      <c r="U340" s="275">
        <f t="shared" si="890"/>
        <v>73676.064772197191</v>
      </c>
      <c r="V340" s="275">
        <f t="shared" si="890"/>
        <v>104114.61056607487</v>
      </c>
      <c r="W340" s="295" t="s">
        <v>360</v>
      </c>
    </row>
    <row r="341" spans="10:23" ht="16" thickBot="1">
      <c r="J341" s="271" t="s">
        <v>367</v>
      </c>
      <c r="K341" s="291">
        <f>K340/(1+$G$16)^(K324-$G$15)</f>
        <v>-12431.739712906765</v>
      </c>
      <c r="L341" s="291">
        <f>L340/(1+$G$16)^(L324-$G$15)</f>
        <v>31540.44293285011</v>
      </c>
      <c r="M341" s="291">
        <f t="shared" ref="M341:V341" si="891">M340/(1+$G$16)^(M324-$G$15)</f>
        <v>29365.180874880072</v>
      </c>
      <c r="N341" s="291">
        <f t="shared" si="891"/>
        <v>27339.577568562592</v>
      </c>
      <c r="O341" s="291">
        <f t="shared" si="891"/>
        <v>25453.368639146185</v>
      </c>
      <c r="P341" s="291">
        <f t="shared" si="891"/>
        <v>23696.990836439338</v>
      </c>
      <c r="Q341" s="291">
        <f t="shared" si="891"/>
        <v>22061.534398146345</v>
      </c>
      <c r="R341" s="291">
        <f t="shared" si="891"/>
        <v>20538.698627000522</v>
      </c>
      <c r="S341" s="291">
        <f t="shared" si="891"/>
        <v>19120.750466926322</v>
      </c>
      <c r="T341" s="291">
        <f t="shared" si="891"/>
        <v>17800.485877628897</v>
      </c>
      <c r="U341" s="291">
        <f t="shared" si="891"/>
        <v>16571.193820258188</v>
      </c>
      <c r="V341" s="291">
        <f t="shared" si="891"/>
        <v>21050.154903819242</v>
      </c>
      <c r="W341" s="294">
        <f>SUM(K341:V341)</f>
        <v>242106.63923275104</v>
      </c>
    </row>
    <row r="346" spans="10:23">
      <c r="J346">
        <v>1112312</v>
      </c>
    </row>
    <row r="348" spans="10:23" ht="15.5">
      <c r="J348" s="276" t="s">
        <v>407</v>
      </c>
      <c r="K348" s="276">
        <v>2013</v>
      </c>
      <c r="L348" s="276">
        <v>2014</v>
      </c>
      <c r="M348" s="276">
        <v>2015</v>
      </c>
      <c r="N348" s="276">
        <v>2016</v>
      </c>
      <c r="O348" s="276">
        <v>2017</v>
      </c>
      <c r="P348" s="276">
        <v>2018</v>
      </c>
      <c r="Q348" s="276">
        <v>2019</v>
      </c>
      <c r="R348" s="276">
        <v>2020</v>
      </c>
      <c r="S348" s="276">
        <v>2021</v>
      </c>
      <c r="T348" s="276">
        <v>2022</v>
      </c>
      <c r="U348" s="276">
        <v>2023</v>
      </c>
      <c r="V348" s="276">
        <v>2024</v>
      </c>
    </row>
    <row r="349" spans="10:23">
      <c r="J349" s="269" t="s">
        <v>33</v>
      </c>
      <c r="K349" s="277">
        <f>Données!$C$5</f>
        <v>560000</v>
      </c>
      <c r="L349" s="278">
        <f>K349*(1+$D$13)</f>
        <v>565600</v>
      </c>
      <c r="M349" s="278">
        <f t="shared" ref="M349:V349" si="892">L349*(1+$D$12)</f>
        <v>576912</v>
      </c>
      <c r="N349" s="278">
        <f t="shared" si="892"/>
        <v>588450.24</v>
      </c>
      <c r="O349" s="278">
        <f t="shared" si="892"/>
        <v>600219.24479999999</v>
      </c>
      <c r="P349" s="278">
        <f t="shared" si="892"/>
        <v>612223.62969600002</v>
      </c>
      <c r="Q349" s="278">
        <f t="shared" si="892"/>
        <v>624468.10228991997</v>
      </c>
      <c r="R349" s="278">
        <f t="shared" si="892"/>
        <v>636957.46433571842</v>
      </c>
      <c r="S349" s="278">
        <f t="shared" si="892"/>
        <v>649696.61362243281</v>
      </c>
      <c r="T349" s="278">
        <f t="shared" si="892"/>
        <v>662690.54589488148</v>
      </c>
      <c r="U349" s="278">
        <f t="shared" si="892"/>
        <v>675944.35681277909</v>
      </c>
      <c r="V349" s="278">
        <f t="shared" si="892"/>
        <v>689463.24394903472</v>
      </c>
    </row>
    <row r="350" spans="10:23">
      <c r="J350" s="269" t="s">
        <v>408</v>
      </c>
      <c r="K350" s="279"/>
      <c r="L350" s="278">
        <f>L349*$D$14</f>
        <v>565600</v>
      </c>
      <c r="M350" s="278">
        <f t="shared" ref="M350" si="893">M349*$D$14</f>
        <v>576912</v>
      </c>
      <c r="N350" s="278">
        <f t="shared" ref="N350" si="894">N349*$D$14</f>
        <v>588450.24</v>
      </c>
      <c r="O350" s="278">
        <f t="shared" ref="O350" si="895">O349*$D$14</f>
        <v>600219.24479999999</v>
      </c>
      <c r="P350" s="278">
        <f t="shared" ref="P350" si="896">P349*$D$14</f>
        <v>612223.62969600002</v>
      </c>
      <c r="Q350" s="278">
        <f t="shared" ref="Q350" si="897">Q349*$D$14</f>
        <v>624468.10228991997</v>
      </c>
      <c r="R350" s="278">
        <f t="shared" ref="R350" si="898">R349*$D$14</f>
        <v>636957.46433571842</v>
      </c>
      <c r="S350" s="278">
        <f t="shared" ref="S350" si="899">S349*$D$14</f>
        <v>649696.61362243281</v>
      </c>
      <c r="T350" s="278">
        <f t="shared" ref="T350" si="900">T349*$D$14</f>
        <v>662690.54589488148</v>
      </c>
      <c r="U350" s="278">
        <f t="shared" ref="U350" si="901">U349*$D$14</f>
        <v>675944.35681277909</v>
      </c>
      <c r="V350" s="278">
        <f t="shared" ref="V350" si="902">V349*$D$14</f>
        <v>689463.24394903472</v>
      </c>
    </row>
    <row r="351" spans="10:23">
      <c r="J351" s="269" t="s">
        <v>409</v>
      </c>
      <c r="K351" s="280"/>
      <c r="L351" s="278">
        <f>L350*$D$18</f>
        <v>113120</v>
      </c>
      <c r="M351" s="278">
        <f t="shared" ref="M351" si="903">M350*$D$18</f>
        <v>115382.40000000001</v>
      </c>
      <c r="N351" s="278">
        <f t="shared" ref="N351" si="904">N350*$D$18</f>
        <v>117690.04800000001</v>
      </c>
      <c r="O351" s="278">
        <f t="shared" ref="O351" si="905">O350*$D$18</f>
        <v>120043.84896</v>
      </c>
      <c r="P351" s="278">
        <f t="shared" ref="P351" si="906">P350*$D$18</f>
        <v>122444.72593920001</v>
      </c>
      <c r="Q351" s="278">
        <f t="shared" ref="Q351" si="907">Q350*$D$18</f>
        <v>124893.620457984</v>
      </c>
      <c r="R351" s="278">
        <f t="shared" ref="R351" si="908">R350*$D$18</f>
        <v>127391.49286714369</v>
      </c>
      <c r="S351" s="278">
        <f t="shared" ref="S351" si="909">S350*$D$18</f>
        <v>129939.32272448657</v>
      </c>
      <c r="T351" s="278">
        <f t="shared" ref="T351" si="910">T350*$D$18</f>
        <v>132538.1091789763</v>
      </c>
      <c r="U351" s="278">
        <f t="shared" ref="U351" si="911">U350*$D$18</f>
        <v>135188.87136255583</v>
      </c>
      <c r="V351" s="278">
        <f t="shared" ref="V351" si="912">V350*$D$18</f>
        <v>137892.64878980696</v>
      </c>
    </row>
    <row r="352" spans="10:23">
      <c r="J352" s="269" t="s">
        <v>410</v>
      </c>
      <c r="K352" s="281"/>
      <c r="L352" s="288">
        <f>1</f>
        <v>1</v>
      </c>
      <c r="M352" s="288">
        <f>L352*(1+$G$12)</f>
        <v>1.0147600000000001</v>
      </c>
      <c r="N352" s="288">
        <f>M352*(1+$G$12)</f>
        <v>1.0297378576000003</v>
      </c>
      <c r="O352" s="288">
        <f t="shared" ref="O352" si="913">N352*(1+$G$12)</f>
        <v>1.0449367883781764</v>
      </c>
      <c r="P352" s="288">
        <f t="shared" ref="P352" si="914">O352*(1+$G$12)</f>
        <v>1.0603600553746384</v>
      </c>
      <c r="Q352" s="288">
        <f t="shared" ref="Q352" si="915">P352*(1+$G$12)</f>
        <v>1.0760109697919682</v>
      </c>
      <c r="R352" s="288">
        <f t="shared" ref="R352" si="916">Q352*(1+$G$12)</f>
        <v>1.0918928917060977</v>
      </c>
      <c r="S352" s="288">
        <f t="shared" ref="S352" si="917">R352*(1+$G$12)</f>
        <v>1.1080092307876799</v>
      </c>
      <c r="T352" s="288">
        <f t="shared" ref="T352" si="918">S352*(1+$G$12)</f>
        <v>1.1243634470341062</v>
      </c>
      <c r="U352" s="288">
        <f t="shared" ref="U352" si="919">T352*(1+$G$12)</f>
        <v>1.1409590515123298</v>
      </c>
      <c r="V352" s="288">
        <f t="shared" ref="V352" si="920">U352*(1+$G$12)</f>
        <v>1.157799607112652</v>
      </c>
    </row>
    <row r="353" spans="10:23" ht="15.5">
      <c r="J353" s="270" t="s">
        <v>411</v>
      </c>
      <c r="K353" s="282"/>
      <c r="L353" s="273">
        <f>L351*L352</f>
        <v>113120</v>
      </c>
      <c r="M353" s="273">
        <f>M351*M352</f>
        <v>117085.44422400002</v>
      </c>
      <c r="N353" s="273">
        <f>N351*N352</f>
        <v>121189.8978883612</v>
      </c>
      <c r="O353" s="273">
        <f t="shared" ref="O353:V353" si="921">O351*O352</f>
        <v>125438.23399681729</v>
      </c>
      <c r="P353" s="273">
        <f t="shared" si="921"/>
        <v>129835.49637722255</v>
      </c>
      <c r="Q353" s="273">
        <f t="shared" si="921"/>
        <v>134386.90566982536</v>
      </c>
      <c r="R353" s="273">
        <f t="shared" si="921"/>
        <v>139097.86552546226</v>
      </c>
      <c r="S353" s="273">
        <f t="shared" si="921"/>
        <v>143973.96902103047</v>
      </c>
      <c r="T353" s="273">
        <f t="shared" si="921"/>
        <v>149021.00529985651</v>
      </c>
      <c r="U353" s="273">
        <f t="shared" si="921"/>
        <v>154244.96644484406</v>
      </c>
      <c r="V353" s="273">
        <f t="shared" si="921"/>
        <v>159652.05459256141</v>
      </c>
    </row>
    <row r="354" spans="10:23">
      <c r="J354" s="283" t="s">
        <v>34</v>
      </c>
      <c r="K354" s="274"/>
      <c r="L354" s="289">
        <f>D21</f>
        <v>0.15</v>
      </c>
      <c r="M354" s="289">
        <f>L354*(1+$G$12)</f>
        <v>0.15221400000000002</v>
      </c>
      <c r="N354" s="289">
        <f t="shared" ref="N354" si="922">M354*(1+$G$12)</f>
        <v>0.15446067864000004</v>
      </c>
      <c r="O354" s="289">
        <f t="shared" ref="O354" si="923">N354*(1+$G$12)</f>
        <v>0.15674051825672647</v>
      </c>
      <c r="P354" s="289">
        <f t="shared" ref="P354" si="924">O354*(1+$G$12)</f>
        <v>0.15905400830619576</v>
      </c>
      <c r="Q354" s="289">
        <f t="shared" ref="Q354" si="925">P354*(1+$G$12)</f>
        <v>0.16140164546879524</v>
      </c>
      <c r="R354" s="289">
        <f t="shared" ref="R354" si="926">Q354*(1+$G$12)</f>
        <v>0.16378393375591466</v>
      </c>
      <c r="S354" s="289">
        <f t="shared" ref="S354" si="927">R354*(1+$G$12)</f>
        <v>0.16620138461815198</v>
      </c>
      <c r="T354" s="289">
        <f t="shared" ref="T354" si="928">S354*(1+$G$12)</f>
        <v>0.16865451705511592</v>
      </c>
      <c r="U354" s="289">
        <f t="shared" ref="U354" si="929">T354*(1+$G$12)</f>
        <v>0.17114385772684945</v>
      </c>
      <c r="V354" s="289">
        <f t="shared" ref="V354" si="930">U354*(1+$G$12)</f>
        <v>0.17366994106689776</v>
      </c>
    </row>
    <row r="355" spans="10:23" ht="15.5">
      <c r="J355" s="270" t="s">
        <v>412</v>
      </c>
      <c r="K355" s="282"/>
      <c r="L355" s="273">
        <f>L351*L354</f>
        <v>16968</v>
      </c>
      <c r="M355" s="273">
        <f t="shared" ref="M355:V355" si="931">M351*M354</f>
        <v>17562.816633600003</v>
      </c>
      <c r="N355" s="273">
        <f t="shared" si="931"/>
        <v>18178.484683254181</v>
      </c>
      <c r="O355" s="273">
        <f t="shared" si="931"/>
        <v>18815.735099522593</v>
      </c>
      <c r="P355" s="273">
        <f t="shared" si="931"/>
        <v>19475.324456583381</v>
      </c>
      <c r="Q355" s="273">
        <f t="shared" si="931"/>
        <v>20158.035850473803</v>
      </c>
      <c r="R355" s="273">
        <f t="shared" si="931"/>
        <v>20864.679828819339</v>
      </c>
      <c r="S355" s="273">
        <f t="shared" si="931"/>
        <v>21596.095353154567</v>
      </c>
      <c r="T355" s="273">
        <f t="shared" si="931"/>
        <v>22353.150794978475</v>
      </c>
      <c r="U355" s="273">
        <f t="shared" si="931"/>
        <v>23136.744966726608</v>
      </c>
      <c r="V355" s="273">
        <f t="shared" si="931"/>
        <v>23947.808188884206</v>
      </c>
    </row>
    <row r="356" spans="10:23">
      <c r="J356" s="285" t="s">
        <v>418</v>
      </c>
      <c r="K356" s="274"/>
      <c r="L356" s="274">
        <f>L353*0.03</f>
        <v>3393.6</v>
      </c>
      <c r="M356" s="274">
        <f t="shared" ref="M356:V356" si="932">M353*0.03</f>
        <v>3512.5633267200005</v>
      </c>
      <c r="N356" s="274">
        <f t="shared" si="932"/>
        <v>3635.6969366508361</v>
      </c>
      <c r="O356" s="274">
        <f t="shared" si="932"/>
        <v>3763.1470199045184</v>
      </c>
      <c r="P356" s="274">
        <f t="shared" si="932"/>
        <v>3895.064891316676</v>
      </c>
      <c r="Q356" s="274">
        <f t="shared" si="932"/>
        <v>4031.6071700947605</v>
      </c>
      <c r="R356" s="274">
        <f t="shared" si="932"/>
        <v>4172.9359657638679</v>
      </c>
      <c r="S356" s="274">
        <f t="shared" si="932"/>
        <v>4319.2190706309138</v>
      </c>
      <c r="T356" s="274">
        <f t="shared" si="932"/>
        <v>4470.6301589956947</v>
      </c>
      <c r="U356" s="274">
        <f t="shared" si="932"/>
        <v>4627.348993345322</v>
      </c>
      <c r="V356" s="274">
        <f t="shared" si="932"/>
        <v>4789.561637776842</v>
      </c>
    </row>
    <row r="357" spans="10:23">
      <c r="J357" s="285" t="s">
        <v>413</v>
      </c>
      <c r="K357" s="274"/>
      <c r="L357" s="284">
        <v>3000</v>
      </c>
      <c r="M357" s="274">
        <f>L357*(1+$G$12)</f>
        <v>3044.28</v>
      </c>
      <c r="N357" s="274">
        <f t="shared" ref="N357" si="933">M357*(1+$G$12)</f>
        <v>3089.2135728000007</v>
      </c>
      <c r="O357" s="274">
        <f t="shared" ref="O357" si="934">N357*(1+$G$12)</f>
        <v>3134.8103651345291</v>
      </c>
      <c r="P357" s="274">
        <f t="shared" ref="P357" si="935">O357*(1+$G$12)</f>
        <v>3181.0801661239152</v>
      </c>
      <c r="Q357" s="274">
        <f t="shared" ref="Q357" si="936">P357*(1+$G$12)</f>
        <v>3228.0329093759046</v>
      </c>
      <c r="R357" s="274">
        <f t="shared" ref="R357" si="937">Q357*(1+$G$12)</f>
        <v>3275.6786751182935</v>
      </c>
      <c r="S357" s="274">
        <f t="shared" ref="S357" si="938">R357*(1+$G$12)</f>
        <v>3324.0276923630399</v>
      </c>
      <c r="T357" s="274">
        <f t="shared" ref="T357" si="939">S357*(1+$G$12)</f>
        <v>3373.0903411023187</v>
      </c>
      <c r="U357" s="274">
        <f t="shared" ref="U357" si="940">T357*(1+$G$12)</f>
        <v>3422.8771545369891</v>
      </c>
      <c r="V357" s="274">
        <f t="shared" ref="V357" si="941">U357*(1+$G$12)</f>
        <v>3473.3988213379553</v>
      </c>
    </row>
    <row r="358" spans="10:23" ht="15.5">
      <c r="J358" s="270" t="s">
        <v>35</v>
      </c>
      <c r="K358" s="282"/>
      <c r="L358" s="273">
        <f>L356+L357</f>
        <v>6393.6</v>
      </c>
      <c r="M358" s="273">
        <f t="shared" ref="M358:V358" si="942">M356+M357</f>
        <v>6556.8433267200007</v>
      </c>
      <c r="N358" s="273">
        <f t="shared" si="942"/>
        <v>6724.9105094508368</v>
      </c>
      <c r="O358" s="273">
        <f t="shared" si="942"/>
        <v>6897.9573850390479</v>
      </c>
      <c r="P358" s="273">
        <f t="shared" si="942"/>
        <v>7076.1450574405917</v>
      </c>
      <c r="Q358" s="273">
        <f t="shared" si="942"/>
        <v>7259.6400794706651</v>
      </c>
      <c r="R358" s="273">
        <f t="shared" si="942"/>
        <v>7448.6146408821614</v>
      </c>
      <c r="S358" s="273">
        <f t="shared" si="942"/>
        <v>7643.2467629939538</v>
      </c>
      <c r="T358" s="273">
        <f t="shared" si="942"/>
        <v>7843.7205000980139</v>
      </c>
      <c r="U358" s="273">
        <f t="shared" si="942"/>
        <v>8050.2261478823111</v>
      </c>
      <c r="V358" s="273">
        <f t="shared" si="942"/>
        <v>8262.9604591147981</v>
      </c>
    </row>
    <row r="359" spans="10:23">
      <c r="J359" s="286" t="s">
        <v>414</v>
      </c>
      <c r="K359" s="274"/>
      <c r="L359" s="274">
        <f>L353-L355-L358</f>
        <v>89758.399999999994</v>
      </c>
      <c r="M359" s="274">
        <f t="shared" ref="M359:V359" si="943">M353-M355-M358</f>
        <v>92965.78426368002</v>
      </c>
      <c r="N359" s="274">
        <f t="shared" si="943"/>
        <v>96286.502695656178</v>
      </c>
      <c r="O359" s="274">
        <f t="shared" si="943"/>
        <v>99724.541512255644</v>
      </c>
      <c r="P359" s="274">
        <f t="shared" si="943"/>
        <v>103284.02686319858</v>
      </c>
      <c r="Q359" s="274">
        <f t="shared" si="943"/>
        <v>106969.22973988089</v>
      </c>
      <c r="R359" s="274">
        <f t="shared" si="943"/>
        <v>110784.57105576075</v>
      </c>
      <c r="S359" s="274">
        <f t="shared" si="943"/>
        <v>114734.62690488195</v>
      </c>
      <c r="T359" s="274">
        <f t="shared" si="943"/>
        <v>118824.13400478002</v>
      </c>
      <c r="U359" s="274">
        <f t="shared" si="943"/>
        <v>123057.99533023515</v>
      </c>
      <c r="V359" s="274">
        <f t="shared" si="943"/>
        <v>127441.28594456242</v>
      </c>
    </row>
    <row r="360" spans="10:23">
      <c r="J360" s="286" t="s">
        <v>415</v>
      </c>
      <c r="K360" s="274"/>
      <c r="L360" s="274">
        <f>L359*$G$13</f>
        <v>35903.360000000001</v>
      </c>
      <c r="M360" s="274">
        <f t="shared" ref="M360:Q360" si="944">M359*$G$13</f>
        <v>37186.313705472006</v>
      </c>
      <c r="N360" s="274">
        <f t="shared" si="944"/>
        <v>38514.601078262473</v>
      </c>
      <c r="O360" s="274">
        <f t="shared" si="944"/>
        <v>39889.816604902262</v>
      </c>
      <c r="P360" s="274">
        <f t="shared" si="944"/>
        <v>41313.610745279439</v>
      </c>
      <c r="Q360" s="274">
        <f t="shared" si="944"/>
        <v>42787.691895952361</v>
      </c>
      <c r="R360" s="274">
        <f>R359*$G$13</f>
        <v>44313.828422304301</v>
      </c>
      <c r="S360" s="274">
        <f t="shared" ref="S360:V360" si="945">S359*$G$13</f>
        <v>45893.850761952781</v>
      </c>
      <c r="T360" s="274">
        <f t="shared" si="945"/>
        <v>47529.65360191201</v>
      </c>
      <c r="U360" s="274">
        <f t="shared" si="945"/>
        <v>49223.198132094061</v>
      </c>
      <c r="V360" s="274">
        <f t="shared" si="945"/>
        <v>50976.514377824969</v>
      </c>
    </row>
    <row r="361" spans="10:23" ht="15.5">
      <c r="J361" s="270" t="s">
        <v>358</v>
      </c>
      <c r="K361" s="272"/>
      <c r="L361" s="273">
        <f>L359-L360</f>
        <v>53855.039999999994</v>
      </c>
      <c r="M361" s="273">
        <f t="shared" ref="M361:V361" si="946">M359-M360</f>
        <v>55779.470558208013</v>
      </c>
      <c r="N361" s="273">
        <f t="shared" si="946"/>
        <v>57771.901617393705</v>
      </c>
      <c r="O361" s="273">
        <f t="shared" si="946"/>
        <v>59834.724907353382</v>
      </c>
      <c r="P361" s="273">
        <f t="shared" si="946"/>
        <v>61970.416117919143</v>
      </c>
      <c r="Q361" s="273">
        <f t="shared" si="946"/>
        <v>64181.537843928527</v>
      </c>
      <c r="R361" s="273">
        <f t="shared" si="946"/>
        <v>66470.742633456452</v>
      </c>
      <c r="S361" s="273">
        <f t="shared" si="946"/>
        <v>68840.776142929171</v>
      </c>
      <c r="T361" s="273">
        <f t="shared" si="946"/>
        <v>71294.480402868008</v>
      </c>
      <c r="U361" s="273">
        <f t="shared" si="946"/>
        <v>73834.797198141081</v>
      </c>
      <c r="V361" s="273">
        <f t="shared" si="946"/>
        <v>76464.771566737443</v>
      </c>
    </row>
    <row r="362" spans="10:23" ht="15.5">
      <c r="J362" s="270" t="s">
        <v>419</v>
      </c>
      <c r="K362" s="272"/>
      <c r="L362" s="273">
        <f>M353*$G$14</f>
        <v>19514.240704000003</v>
      </c>
      <c r="M362" s="273">
        <f t="shared" ref="M362" si="947">N353*$G$14</f>
        <v>20198.316314726864</v>
      </c>
      <c r="N362" s="273">
        <f t="shared" ref="N362" si="948">O353*$G$14</f>
        <v>20906.372332802879</v>
      </c>
      <c r="O362" s="273">
        <f t="shared" ref="O362" si="949">P353*$G$14</f>
        <v>21639.249396203755</v>
      </c>
      <c r="P362" s="273">
        <f t="shared" ref="P362" si="950">Q353*$G$14</f>
        <v>22397.817611637558</v>
      </c>
      <c r="Q362" s="273">
        <f t="shared" ref="Q362" si="951">R353*$G$14</f>
        <v>23182.977587577043</v>
      </c>
      <c r="R362" s="273">
        <f t="shared" ref="R362" si="952">S353*$G$14</f>
        <v>23995.661503505078</v>
      </c>
      <c r="S362" s="273">
        <f t="shared" ref="S362" si="953">T353*$G$14</f>
        <v>24836.83421664275</v>
      </c>
      <c r="T362" s="273">
        <f t="shared" ref="T362" si="954">U353*$G$14</f>
        <v>25707.494407474009</v>
      </c>
      <c r="U362" s="273">
        <f t="shared" ref="U362" si="955">V353*$G$14</f>
        <v>26608.675765426902</v>
      </c>
      <c r="V362" s="273">
        <f t="shared" ref="V362" si="956">W353*$G$14</f>
        <v>0</v>
      </c>
    </row>
    <row r="363" spans="10:23" ht="16" thickBot="1">
      <c r="J363" s="270" t="s">
        <v>416</v>
      </c>
      <c r="K363" s="290">
        <f>L353*$G$14</f>
        <v>18853.333333333332</v>
      </c>
      <c r="L363" s="273">
        <f>L362-K363</f>
        <v>660.90737066667134</v>
      </c>
      <c r="M363" s="273">
        <f>M362-L362</f>
        <v>684.07561072686076</v>
      </c>
      <c r="N363" s="273">
        <f t="shared" ref="N363" si="957">N362-M362</f>
        <v>708.05601807601488</v>
      </c>
      <c r="O363" s="273">
        <f t="shared" ref="O363" si="958">O362-N362</f>
        <v>732.87706340087607</v>
      </c>
      <c r="P363" s="273">
        <f t="shared" ref="P363" si="959">P362-O362</f>
        <v>758.56821543380283</v>
      </c>
      <c r="Q363" s="273">
        <f t="shared" ref="Q363" si="960">Q362-P362</f>
        <v>785.15997593948487</v>
      </c>
      <c r="R363" s="273">
        <f t="shared" ref="R363" si="961">R362-Q362</f>
        <v>812.68391592803528</v>
      </c>
      <c r="S363" s="273">
        <f t="shared" ref="S363" si="962">S362-R362</f>
        <v>841.17271313767196</v>
      </c>
      <c r="T363" s="273">
        <f t="shared" ref="T363" si="963">T362-S362</f>
        <v>870.66019083125866</v>
      </c>
      <c r="U363" s="273">
        <f t="shared" ref="U363" si="964">U362-T362</f>
        <v>901.18135795289345</v>
      </c>
      <c r="V363" s="273">
        <f t="shared" ref="V363" si="965">V362-U362</f>
        <v>-26608.675765426902</v>
      </c>
    </row>
    <row r="364" spans="10:23" ht="15.5">
      <c r="J364" s="271" t="s">
        <v>417</v>
      </c>
      <c r="K364" s="275">
        <f>K361-K363</f>
        <v>-18853.333333333332</v>
      </c>
      <c r="L364" s="275">
        <f>L361-L363</f>
        <v>53194.132629333326</v>
      </c>
      <c r="M364" s="275">
        <f>M361-M363</f>
        <v>55095.394947481152</v>
      </c>
      <c r="N364" s="275">
        <f t="shared" ref="N364:V364" si="966">N361-N363</f>
        <v>57063.84559931769</v>
      </c>
      <c r="O364" s="275">
        <f t="shared" si="966"/>
        <v>59101.847843952506</v>
      </c>
      <c r="P364" s="275">
        <f t="shared" si="966"/>
        <v>61211.847902485344</v>
      </c>
      <c r="Q364" s="275">
        <f t="shared" si="966"/>
        <v>63396.377867989038</v>
      </c>
      <c r="R364" s="275">
        <f t="shared" si="966"/>
        <v>65658.058717528416</v>
      </c>
      <c r="S364" s="275">
        <f t="shared" si="966"/>
        <v>67999.603429791503</v>
      </c>
      <c r="T364" s="275">
        <f t="shared" si="966"/>
        <v>70423.82021203675</v>
      </c>
      <c r="U364" s="275">
        <f t="shared" si="966"/>
        <v>72933.615840188184</v>
      </c>
      <c r="V364" s="275">
        <f t="shared" si="966"/>
        <v>103073.44733216435</v>
      </c>
      <c r="W364" s="295" t="s">
        <v>360</v>
      </c>
    </row>
    <row r="365" spans="10:23" ht="16" thickBot="1">
      <c r="J365" s="271" t="s">
        <v>367</v>
      </c>
      <c r="K365" s="291">
        <f>K364/(1+$G$16)^(K348-$G$15)</f>
        <v>-12309.859911799835</v>
      </c>
      <c r="L365" s="291">
        <f>L364/(1+$G$16)^(L348-$G$15)</f>
        <v>31220.865437555443</v>
      </c>
      <c r="M365" s="291">
        <f t="shared" ref="M365:V365" si="967">M364/(1+$G$16)^(M348-$G$15)</f>
        <v>29067.839091896931</v>
      </c>
      <c r="N365" s="291">
        <f t="shared" si="967"/>
        <v>27062.924371108638</v>
      </c>
      <c r="O365" s="291">
        <f t="shared" si="967"/>
        <v>25195.964547149339</v>
      </c>
      <c r="P365" s="291">
        <f t="shared" si="967"/>
        <v>23457.496526644685</v>
      </c>
      <c r="Q365" s="291">
        <f t="shared" si="967"/>
        <v>21838.703735358278</v>
      </c>
      <c r="R365" s="291">
        <f t="shared" si="967"/>
        <v>20331.372180200415</v>
      </c>
      <c r="S365" s="291">
        <f t="shared" si="967"/>
        <v>18927.849476528798</v>
      </c>
      <c r="T365" s="291">
        <f t="shared" si="967"/>
        <v>17621.0066424871</v>
      </c>
      <c r="U365" s="291">
        <f t="shared" si="967"/>
        <v>16404.202475212736</v>
      </c>
      <c r="V365" s="291">
        <f t="shared" si="967"/>
        <v>20839.649891748253</v>
      </c>
      <c r="W365" s="294">
        <f>SUM(K365:V365)</f>
        <v>239658.01446409081</v>
      </c>
    </row>
    <row r="369" spans="6:22">
      <c r="J369">
        <v>1111112</v>
      </c>
    </row>
    <row r="371" spans="6:22" ht="15.5">
      <c r="J371" s="276" t="s">
        <v>407</v>
      </c>
      <c r="K371" s="276">
        <v>2013</v>
      </c>
      <c r="L371" s="276">
        <v>2014</v>
      </c>
      <c r="M371" s="276">
        <v>2015</v>
      </c>
      <c r="N371" s="276">
        <v>2016</v>
      </c>
      <c r="O371" s="276">
        <v>2017</v>
      </c>
      <c r="P371" s="276">
        <v>2018</v>
      </c>
      <c r="Q371" s="276">
        <v>2019</v>
      </c>
      <c r="R371" s="276">
        <v>2020</v>
      </c>
      <c r="S371" s="276">
        <v>2021</v>
      </c>
      <c r="T371" s="276">
        <v>2022</v>
      </c>
      <c r="U371" s="276">
        <v>2023</v>
      </c>
      <c r="V371" s="276">
        <v>2024</v>
      </c>
    </row>
    <row r="372" spans="6:22">
      <c r="J372" s="269" t="s">
        <v>33</v>
      </c>
      <c r="K372" s="277">
        <f>Données!$C$5</f>
        <v>560000</v>
      </c>
      <c r="L372" s="278">
        <f>K372*(1+$D$13)</f>
        <v>565600</v>
      </c>
      <c r="M372" s="278">
        <f t="shared" ref="M372:V372" si="968">L372*(1+$D$13)</f>
        <v>571256</v>
      </c>
      <c r="N372" s="278">
        <f t="shared" si="968"/>
        <v>576968.56000000006</v>
      </c>
      <c r="O372" s="278">
        <f t="shared" si="968"/>
        <v>582738.24560000002</v>
      </c>
      <c r="P372" s="278">
        <f t="shared" si="968"/>
        <v>588565.62805599999</v>
      </c>
      <c r="Q372" s="278">
        <f t="shared" si="968"/>
        <v>594451.28433655994</v>
      </c>
      <c r="R372" s="278">
        <f t="shared" si="968"/>
        <v>600395.79717992549</v>
      </c>
      <c r="S372" s="278">
        <f t="shared" si="968"/>
        <v>606399.75515172479</v>
      </c>
      <c r="T372" s="278">
        <f t="shared" si="968"/>
        <v>612463.752703242</v>
      </c>
      <c r="U372" s="278">
        <f t="shared" si="968"/>
        <v>618588.39023027441</v>
      </c>
      <c r="V372" s="278">
        <f t="shared" si="968"/>
        <v>624774.27413257712</v>
      </c>
    </row>
    <row r="373" spans="6:22">
      <c r="J373" s="269" t="s">
        <v>408</v>
      </c>
      <c r="K373" s="279"/>
      <c r="L373" s="278">
        <f>L372*$D$14</f>
        <v>565600</v>
      </c>
      <c r="M373" s="278">
        <f t="shared" ref="M373:V373" si="969">M372*$D$14</f>
        <v>571256</v>
      </c>
      <c r="N373" s="278">
        <f t="shared" si="969"/>
        <v>576968.56000000006</v>
      </c>
      <c r="O373" s="278">
        <f t="shared" si="969"/>
        <v>582738.24560000002</v>
      </c>
      <c r="P373" s="278">
        <f t="shared" si="969"/>
        <v>588565.62805599999</v>
      </c>
      <c r="Q373" s="278">
        <f t="shared" si="969"/>
        <v>594451.28433655994</v>
      </c>
      <c r="R373" s="278">
        <f t="shared" si="969"/>
        <v>600395.79717992549</v>
      </c>
      <c r="S373" s="278">
        <f t="shared" si="969"/>
        <v>606399.75515172479</v>
      </c>
      <c r="T373" s="278">
        <f t="shared" si="969"/>
        <v>612463.752703242</v>
      </c>
      <c r="U373" s="278">
        <f t="shared" si="969"/>
        <v>618588.39023027441</v>
      </c>
      <c r="V373" s="278">
        <f t="shared" si="969"/>
        <v>624774.27413257712</v>
      </c>
    </row>
    <row r="374" spans="6:22">
      <c r="J374" s="269" t="s">
        <v>409</v>
      </c>
      <c r="K374" s="280"/>
      <c r="L374" s="278">
        <f>L373*$D$16</f>
        <v>282800</v>
      </c>
      <c r="M374" s="278">
        <f t="shared" ref="M374:V374" si="970">M373*$D$16</f>
        <v>285628</v>
      </c>
      <c r="N374" s="278">
        <f t="shared" si="970"/>
        <v>288484.28000000003</v>
      </c>
      <c r="O374" s="278">
        <f t="shared" si="970"/>
        <v>291369.12280000001</v>
      </c>
      <c r="P374" s="278">
        <f t="shared" si="970"/>
        <v>294282.81402799999</v>
      </c>
      <c r="Q374" s="278">
        <f t="shared" si="970"/>
        <v>297225.64216827997</v>
      </c>
      <c r="R374" s="278">
        <f t="shared" si="970"/>
        <v>300197.89858996274</v>
      </c>
      <c r="S374" s="278">
        <f t="shared" si="970"/>
        <v>303199.8775758624</v>
      </c>
      <c r="T374" s="278">
        <f t="shared" si="970"/>
        <v>306231.876351621</v>
      </c>
      <c r="U374" s="278">
        <f t="shared" si="970"/>
        <v>309294.1951151372</v>
      </c>
      <c r="V374" s="278">
        <f t="shared" si="970"/>
        <v>312387.13706628856</v>
      </c>
    </row>
    <row r="375" spans="6:22">
      <c r="J375" s="269" t="s">
        <v>410</v>
      </c>
      <c r="K375" s="281"/>
      <c r="L375" s="288">
        <f>$D$19</f>
        <v>1</v>
      </c>
      <c r="M375" s="288">
        <f>L375*(1+$G$12)</f>
        <v>1.0147600000000001</v>
      </c>
      <c r="N375" s="288">
        <f t="shared" ref="N375:V375" si="971">M375*(1+$G$12)</f>
        <v>1.0297378576000003</v>
      </c>
      <c r="O375" s="288">
        <f t="shared" si="971"/>
        <v>1.0449367883781764</v>
      </c>
      <c r="P375" s="288">
        <f t="shared" si="971"/>
        <v>1.0603600553746384</v>
      </c>
      <c r="Q375" s="288">
        <f t="shared" si="971"/>
        <v>1.0760109697919682</v>
      </c>
      <c r="R375" s="288">
        <f t="shared" si="971"/>
        <v>1.0918928917060977</v>
      </c>
      <c r="S375" s="288">
        <f t="shared" si="971"/>
        <v>1.1080092307876799</v>
      </c>
      <c r="T375" s="288">
        <f t="shared" si="971"/>
        <v>1.1243634470341062</v>
      </c>
      <c r="U375" s="288">
        <f t="shared" si="971"/>
        <v>1.1409590515123298</v>
      </c>
      <c r="V375" s="288">
        <f t="shared" si="971"/>
        <v>1.157799607112652</v>
      </c>
    </row>
    <row r="376" spans="6:22" ht="15.5">
      <c r="F376" s="10"/>
      <c r="J376" s="270" t="s">
        <v>411</v>
      </c>
      <c r="K376" s="282"/>
      <c r="L376" s="273">
        <f>L374*L375</f>
        <v>282800</v>
      </c>
      <c r="M376" s="273">
        <f t="shared" ref="M376:V376" si="972">M374*M375</f>
        <v>289843.86928000004</v>
      </c>
      <c r="N376" s="273">
        <f t="shared" si="972"/>
        <v>297063.18443847861</v>
      </c>
      <c r="O376" s="273">
        <f t="shared" si="972"/>
        <v>304462.31541119848</v>
      </c>
      <c r="P376" s="273">
        <f t="shared" si="972"/>
        <v>312045.74097853451</v>
      </c>
      <c r="Q376" s="273">
        <f t="shared" si="972"/>
        <v>319818.05147653143</v>
      </c>
      <c r="R376" s="273">
        <f t="shared" si="972"/>
        <v>327783.95157548832</v>
      </c>
      <c r="S376" s="273">
        <f t="shared" si="972"/>
        <v>335948.26312775002</v>
      </c>
      <c r="T376" s="273">
        <f t="shared" si="972"/>
        <v>344315.92808643077</v>
      </c>
      <c r="U376" s="273">
        <f t="shared" si="972"/>
        <v>352892.01149683644</v>
      </c>
      <c r="V376" s="273">
        <f t="shared" si="972"/>
        <v>361681.70456239505</v>
      </c>
    </row>
    <row r="377" spans="6:22">
      <c r="F377" s="10"/>
      <c r="J377" s="283" t="s">
        <v>34</v>
      </c>
      <c r="K377" s="274"/>
      <c r="L377" s="289">
        <f>D20</f>
        <v>0.2</v>
      </c>
      <c r="M377" s="289">
        <f>L377*(1+$G$12)</f>
        <v>0.20295200000000002</v>
      </c>
      <c r="N377" s="289">
        <f t="shared" ref="N377:V377" si="973">M377*(1+$G$12)</f>
        <v>0.20594757152000004</v>
      </c>
      <c r="O377" s="289">
        <f t="shared" si="973"/>
        <v>0.20898735767563525</v>
      </c>
      <c r="P377" s="289">
        <f t="shared" si="973"/>
        <v>0.21207201107492765</v>
      </c>
      <c r="Q377" s="289">
        <f t="shared" si="973"/>
        <v>0.2152021939583936</v>
      </c>
      <c r="R377" s="289">
        <f t="shared" si="973"/>
        <v>0.21837857834121951</v>
      </c>
      <c r="S377" s="289">
        <f t="shared" si="973"/>
        <v>0.22160184615753595</v>
      </c>
      <c r="T377" s="289">
        <f t="shared" si="973"/>
        <v>0.2248726894068212</v>
      </c>
      <c r="U377" s="289">
        <f t="shared" si="973"/>
        <v>0.22819181030246591</v>
      </c>
      <c r="V377" s="289">
        <f t="shared" si="973"/>
        <v>0.23155992142253032</v>
      </c>
    </row>
    <row r="378" spans="6:22" ht="15.5">
      <c r="F378" s="10"/>
      <c r="J378" s="270" t="s">
        <v>412</v>
      </c>
      <c r="K378" s="282"/>
      <c r="L378" s="273">
        <f>L374*L377</f>
        <v>56560</v>
      </c>
      <c r="M378" s="273">
        <f>M374*M377</f>
        <v>57968.773856000007</v>
      </c>
      <c r="N378" s="273">
        <f t="shared" ref="N378:V378" si="974">N374*N377</f>
        <v>59412.63688769572</v>
      </c>
      <c r="O378" s="273">
        <f t="shared" si="974"/>
        <v>60892.463082239694</v>
      </c>
      <c r="P378" s="273">
        <f t="shared" si="974"/>
        <v>62409.14819570689</v>
      </c>
      <c r="Q378" s="273">
        <f t="shared" si="974"/>
        <v>63963.61029530628</v>
      </c>
      <c r="R378" s="273">
        <f t="shared" si="974"/>
        <v>65556.790315097649</v>
      </c>
      <c r="S378" s="273">
        <f t="shared" si="974"/>
        <v>67189.652625549992</v>
      </c>
      <c r="T378" s="273">
        <f t="shared" si="974"/>
        <v>68863.185617286144</v>
      </c>
      <c r="U378" s="273">
        <f t="shared" si="974"/>
        <v>70578.40229936727</v>
      </c>
      <c r="V378" s="273">
        <f t="shared" si="974"/>
        <v>72336.340912478991</v>
      </c>
    </row>
    <row r="379" spans="6:22">
      <c r="F379" s="10"/>
      <c r="J379" s="285" t="s">
        <v>418</v>
      </c>
      <c r="K379" s="274"/>
      <c r="L379" s="274">
        <f>L376*0.03</f>
        <v>8484</v>
      </c>
      <c r="M379" s="274">
        <f t="shared" ref="M379:V379" si="975">M376*0.03</f>
        <v>8695.3160784000011</v>
      </c>
      <c r="N379" s="274">
        <f t="shared" si="975"/>
        <v>8911.8955331543584</v>
      </c>
      <c r="O379" s="274">
        <f t="shared" si="975"/>
        <v>9133.8694623359534</v>
      </c>
      <c r="P379" s="274">
        <f t="shared" si="975"/>
        <v>9361.3722293560349</v>
      </c>
      <c r="Q379" s="274">
        <f t="shared" si="975"/>
        <v>9594.541544295942</v>
      </c>
      <c r="R379" s="274">
        <f t="shared" si="975"/>
        <v>9833.5185472646499</v>
      </c>
      <c r="S379" s="274">
        <f t="shared" si="975"/>
        <v>10078.447893832501</v>
      </c>
      <c r="T379" s="274">
        <f t="shared" si="975"/>
        <v>10329.477842592923</v>
      </c>
      <c r="U379" s="274">
        <f t="shared" si="975"/>
        <v>10586.760344905093</v>
      </c>
      <c r="V379" s="274">
        <f t="shared" si="975"/>
        <v>10850.45113687185</v>
      </c>
    </row>
    <row r="380" spans="6:22">
      <c r="F380" s="10"/>
      <c r="J380" s="285" t="s">
        <v>413</v>
      </c>
      <c r="K380" s="274"/>
      <c r="L380" s="284">
        <f>D23</f>
        <v>3000</v>
      </c>
      <c r="M380" s="274">
        <f>L380*(1+$G$12)</f>
        <v>3044.28</v>
      </c>
      <c r="N380" s="274">
        <f t="shared" ref="N380:V380" si="976">M380*(1+$G$12)</f>
        <v>3089.2135728000007</v>
      </c>
      <c r="O380" s="274">
        <f t="shared" si="976"/>
        <v>3134.8103651345291</v>
      </c>
      <c r="P380" s="274">
        <f t="shared" si="976"/>
        <v>3181.0801661239152</v>
      </c>
      <c r="Q380" s="274">
        <f t="shared" si="976"/>
        <v>3228.0329093759046</v>
      </c>
      <c r="R380" s="274">
        <f t="shared" si="976"/>
        <v>3275.6786751182935</v>
      </c>
      <c r="S380" s="274">
        <f t="shared" si="976"/>
        <v>3324.0276923630399</v>
      </c>
      <c r="T380" s="274">
        <f t="shared" si="976"/>
        <v>3373.0903411023187</v>
      </c>
      <c r="U380" s="274">
        <f t="shared" si="976"/>
        <v>3422.8771545369891</v>
      </c>
      <c r="V380" s="274">
        <f t="shared" si="976"/>
        <v>3473.3988213379553</v>
      </c>
    </row>
    <row r="381" spans="6:22" ht="15.5">
      <c r="F381" s="10"/>
      <c r="J381" s="270" t="s">
        <v>35</v>
      </c>
      <c r="K381" s="282"/>
      <c r="L381" s="273">
        <f>L379+L380</f>
        <v>11484</v>
      </c>
      <c r="M381" s="273">
        <f t="shared" ref="M381:V381" si="977">M379+M380</f>
        <v>11739.596078400002</v>
      </c>
      <c r="N381" s="273">
        <f t="shared" si="977"/>
        <v>12001.10910595436</v>
      </c>
      <c r="O381" s="273">
        <f t="shared" si="977"/>
        <v>12268.679827470482</v>
      </c>
      <c r="P381" s="273">
        <f t="shared" si="977"/>
        <v>12542.45239547995</v>
      </c>
      <c r="Q381" s="273">
        <f t="shared" si="977"/>
        <v>12822.574453671847</v>
      </c>
      <c r="R381" s="273">
        <f t="shared" si="977"/>
        <v>13109.197222382943</v>
      </c>
      <c r="S381" s="273">
        <f t="shared" si="977"/>
        <v>13402.475586195542</v>
      </c>
      <c r="T381" s="273">
        <f t="shared" si="977"/>
        <v>13702.568183695243</v>
      </c>
      <c r="U381" s="273">
        <f t="shared" si="977"/>
        <v>14009.637499442082</v>
      </c>
      <c r="V381" s="273">
        <f t="shared" si="977"/>
        <v>14323.849958209805</v>
      </c>
    </row>
    <row r="382" spans="6:22">
      <c r="F382" s="10"/>
      <c r="J382" s="286" t="s">
        <v>414</v>
      </c>
      <c r="K382" s="274"/>
      <c r="L382" s="274">
        <f>L376-L378-L381</f>
        <v>214756</v>
      </c>
      <c r="M382" s="274">
        <f t="shared" ref="M382:V382" si="978">M376-M378-M381</f>
        <v>220135.49934560002</v>
      </c>
      <c r="N382" s="274">
        <f t="shared" si="978"/>
        <v>225649.43844482853</v>
      </c>
      <c r="O382" s="274">
        <f t="shared" si="978"/>
        <v>231301.1725014883</v>
      </c>
      <c r="P382" s="274">
        <f t="shared" si="978"/>
        <v>237094.14038734767</v>
      </c>
      <c r="Q382" s="274">
        <f t="shared" si="978"/>
        <v>243031.86672755331</v>
      </c>
      <c r="R382" s="274">
        <f t="shared" si="978"/>
        <v>249117.96403800772</v>
      </c>
      <c r="S382" s="274">
        <f t="shared" si="978"/>
        <v>255356.13491600449</v>
      </c>
      <c r="T382" s="274">
        <f t="shared" si="978"/>
        <v>261750.17428544938</v>
      </c>
      <c r="U382" s="274">
        <f t="shared" si="978"/>
        <v>268303.9716980271</v>
      </c>
      <c r="V382" s="274">
        <f t="shared" si="978"/>
        <v>275021.51369170629</v>
      </c>
    </row>
    <row r="383" spans="6:22">
      <c r="J383" s="286" t="s">
        <v>415</v>
      </c>
      <c r="K383" s="274"/>
      <c r="L383" s="274">
        <f>L382*$G$13</f>
        <v>85902.400000000009</v>
      </c>
      <c r="M383" s="274">
        <f t="shared" ref="M383:V383" si="979">M382*$G$13</f>
        <v>88054.199738240015</v>
      </c>
      <c r="N383" s="274">
        <f t="shared" si="979"/>
        <v>90259.775377931423</v>
      </c>
      <c r="O383" s="274">
        <f t="shared" si="979"/>
        <v>92520.469000595331</v>
      </c>
      <c r="P383" s="274">
        <f t="shared" si="979"/>
        <v>94837.656154939075</v>
      </c>
      <c r="Q383" s="274">
        <f t="shared" si="979"/>
        <v>97212.746691021326</v>
      </c>
      <c r="R383" s="274">
        <f t="shared" si="979"/>
        <v>99647.185615203096</v>
      </c>
      <c r="S383" s="274">
        <f t="shared" si="979"/>
        <v>102142.45396640181</v>
      </c>
      <c r="T383" s="274">
        <f t="shared" si="979"/>
        <v>104700.06971417976</v>
      </c>
      <c r="U383" s="274">
        <f t="shared" si="979"/>
        <v>107321.58867921085</v>
      </c>
      <c r="V383" s="274">
        <f t="shared" si="979"/>
        <v>110008.60547668253</v>
      </c>
    </row>
    <row r="384" spans="6:22" ht="15.5">
      <c r="J384" s="270" t="s">
        <v>358</v>
      </c>
      <c r="K384" s="272"/>
      <c r="L384" s="273">
        <f>L382-L383</f>
        <v>128853.59999999999</v>
      </c>
      <c r="M384" s="273">
        <f t="shared" ref="M384:V384" si="980">M382-M383</f>
        <v>132081.29960736001</v>
      </c>
      <c r="N384" s="273">
        <f t="shared" si="980"/>
        <v>135389.6630668971</v>
      </c>
      <c r="O384" s="273">
        <f t="shared" si="980"/>
        <v>138780.70350089297</v>
      </c>
      <c r="P384" s="273">
        <f t="shared" si="980"/>
        <v>142256.48423240858</v>
      </c>
      <c r="Q384" s="273">
        <f t="shared" si="980"/>
        <v>145819.120036532</v>
      </c>
      <c r="R384" s="273">
        <f t="shared" si="980"/>
        <v>149470.77842280461</v>
      </c>
      <c r="S384" s="273">
        <f t="shared" si="980"/>
        <v>153213.68094960268</v>
      </c>
      <c r="T384" s="273">
        <f t="shared" si="980"/>
        <v>157050.10457126962</v>
      </c>
      <c r="U384" s="273">
        <f t="shared" si="980"/>
        <v>160982.38301881624</v>
      </c>
      <c r="V384" s="273">
        <f t="shared" si="980"/>
        <v>165012.90821502375</v>
      </c>
    </row>
    <row r="385" spans="10:23" ht="15.5">
      <c r="J385" s="270" t="s">
        <v>419</v>
      </c>
      <c r="K385" s="272"/>
      <c r="L385" s="273">
        <f>M376*$G$14</f>
        <v>48307.311546666671</v>
      </c>
      <c r="M385" s="273">
        <f t="shared" ref="M385:V385" si="981">N376*$G$14</f>
        <v>49510.530739746435</v>
      </c>
      <c r="N385" s="273">
        <f t="shared" si="981"/>
        <v>50743.719235199744</v>
      </c>
      <c r="O385" s="273">
        <f t="shared" si="981"/>
        <v>52007.623496422413</v>
      </c>
      <c r="P385" s="273">
        <f t="shared" si="981"/>
        <v>53303.008579421905</v>
      </c>
      <c r="Q385" s="273">
        <f t="shared" si="981"/>
        <v>54630.65859591472</v>
      </c>
      <c r="R385" s="273">
        <f t="shared" si="981"/>
        <v>55991.377187958336</v>
      </c>
      <c r="S385" s="273">
        <f t="shared" si="981"/>
        <v>57385.988014405128</v>
      </c>
      <c r="T385" s="273">
        <f t="shared" si="981"/>
        <v>58815.335249472737</v>
      </c>
      <c r="U385" s="273">
        <f t="shared" si="981"/>
        <v>60280.284093732509</v>
      </c>
      <c r="V385" s="273">
        <f t="shared" si="981"/>
        <v>0</v>
      </c>
    </row>
    <row r="386" spans="10:23" ht="16" thickBot="1">
      <c r="J386" s="270" t="s">
        <v>416</v>
      </c>
      <c r="K386" s="290">
        <f>L376*G14</f>
        <v>47133.333333333328</v>
      </c>
      <c r="L386" s="273">
        <f>L385-K386</f>
        <v>1173.9782133333429</v>
      </c>
      <c r="M386" s="273">
        <f>M385-L385</f>
        <v>1203.2191930797635</v>
      </c>
      <c r="N386" s="273">
        <f t="shared" ref="N386:V386" si="982">N385-M385</f>
        <v>1233.1884954533089</v>
      </c>
      <c r="O386" s="273">
        <f t="shared" si="982"/>
        <v>1263.9042612226694</v>
      </c>
      <c r="P386" s="273">
        <f t="shared" si="982"/>
        <v>1295.3850829994917</v>
      </c>
      <c r="Q386" s="273">
        <f t="shared" si="982"/>
        <v>1327.6500164928148</v>
      </c>
      <c r="R386" s="273">
        <f t="shared" si="982"/>
        <v>1360.7185920436168</v>
      </c>
      <c r="S386" s="273">
        <f t="shared" si="982"/>
        <v>1394.6108264467912</v>
      </c>
      <c r="T386" s="273">
        <f t="shared" si="982"/>
        <v>1429.3472350676093</v>
      </c>
      <c r="U386" s="273">
        <f t="shared" si="982"/>
        <v>1464.9488442597722</v>
      </c>
      <c r="V386" s="273">
        <f t="shared" si="982"/>
        <v>-60280.284093732509</v>
      </c>
    </row>
    <row r="387" spans="10:23" ht="15.5">
      <c r="J387" s="271" t="s">
        <v>417</v>
      </c>
      <c r="K387" s="275">
        <f>K384-K386</f>
        <v>-47133.333333333328</v>
      </c>
      <c r="L387" s="275">
        <f t="shared" ref="L387:S387" si="983">L384-L386</f>
        <v>127679.62178666666</v>
      </c>
      <c r="M387" s="275">
        <f t="shared" si="983"/>
        <v>130878.08041428024</v>
      </c>
      <c r="N387" s="275">
        <f t="shared" si="983"/>
        <v>134156.4745714438</v>
      </c>
      <c r="O387" s="275">
        <f t="shared" si="983"/>
        <v>137516.7992396703</v>
      </c>
      <c r="P387" s="275">
        <f t="shared" si="983"/>
        <v>140961.0991494091</v>
      </c>
      <c r="Q387" s="275">
        <f t="shared" si="983"/>
        <v>144491.47002003918</v>
      </c>
      <c r="R387" s="275">
        <f t="shared" si="983"/>
        <v>148110.05983076099</v>
      </c>
      <c r="S387" s="275">
        <f t="shared" si="983"/>
        <v>151819.07012315589</v>
      </c>
      <c r="T387" s="275">
        <f t="shared" ref="T387" si="984">T384-T386</f>
        <v>155620.75733620202</v>
      </c>
      <c r="U387" s="275">
        <f t="shared" ref="U387" si="985">U384-U386</f>
        <v>159517.43417455646</v>
      </c>
      <c r="V387" s="275">
        <f t="shared" ref="V387" si="986">V384-V386</f>
        <v>225293.19230875626</v>
      </c>
      <c r="W387" s="295" t="s">
        <v>360</v>
      </c>
    </row>
    <row r="388" spans="10:23" ht="16" thickBot="1">
      <c r="J388" s="271" t="s">
        <v>367</v>
      </c>
      <c r="K388" s="291">
        <f>K387/(1+$G$16)^(K371-$G$15)</f>
        <v>-30774.649779499585</v>
      </c>
      <c r="L388" s="291">
        <f t="shared" ref="L388:V388" si="987">L387/(1+$G$16)^(L371-$G$15)</f>
        <v>74938.119936959134</v>
      </c>
      <c r="M388" s="291">
        <f t="shared" si="987"/>
        <v>69050.108194433982</v>
      </c>
      <c r="N388" s="291">
        <f t="shared" si="987"/>
        <v>63624.638106495833</v>
      </c>
      <c r="O388" s="291">
        <f t="shared" si="987"/>
        <v>58625.381856562759</v>
      </c>
      <c r="P388" s="291">
        <f t="shared" si="987"/>
        <v>54018.864108741036</v>
      </c>
      <c r="Q388" s="291">
        <f t="shared" si="987"/>
        <v>49774.238090144252</v>
      </c>
      <c r="R388" s="291">
        <f t="shared" si="987"/>
        <v>45863.079245244968</v>
      </c>
      <c r="S388" s="291">
        <f t="shared" si="987"/>
        <v>42259.195083756917</v>
      </c>
      <c r="T388" s="291">
        <f t="shared" si="987"/>
        <v>38938.449951645714</v>
      </c>
      <c r="U388" s="291">
        <f t="shared" si="987"/>
        <v>35878.603554493566</v>
      </c>
      <c r="V388" s="291">
        <f t="shared" si="987"/>
        <v>45550.346594876079</v>
      </c>
      <c r="W388" s="294">
        <f>SUM(K388:V388)</f>
        <v>547746.37494385464</v>
      </c>
    </row>
    <row r="393" spans="10:23">
      <c r="J393">
        <v>1111121</v>
      </c>
    </row>
    <row r="395" spans="10:23" ht="15.5">
      <c r="J395" s="276" t="s">
        <v>407</v>
      </c>
      <c r="K395" s="276">
        <v>2013</v>
      </c>
      <c r="L395" s="276">
        <v>2014</v>
      </c>
      <c r="M395" s="276">
        <v>2015</v>
      </c>
      <c r="N395" s="276">
        <v>2016</v>
      </c>
      <c r="O395" s="276">
        <v>2017</v>
      </c>
      <c r="P395" s="276">
        <v>2018</v>
      </c>
      <c r="Q395" s="276">
        <v>2019</v>
      </c>
      <c r="R395" s="276">
        <v>2020</v>
      </c>
      <c r="S395" s="276">
        <v>2021</v>
      </c>
      <c r="T395" s="276">
        <v>2022</v>
      </c>
      <c r="U395" s="276">
        <v>2023</v>
      </c>
      <c r="V395" s="276">
        <v>2024</v>
      </c>
    </row>
    <row r="396" spans="10:23">
      <c r="J396" s="269" t="s">
        <v>33</v>
      </c>
      <c r="K396" s="277">
        <f>Données!$C$5</f>
        <v>560000</v>
      </c>
      <c r="L396" s="278">
        <f>K396*(1+$D$12)</f>
        <v>571200</v>
      </c>
      <c r="M396" s="278">
        <f t="shared" ref="M396:V396" si="988">L396*(1+$D$12)</f>
        <v>582624</v>
      </c>
      <c r="N396" s="278">
        <f t="shared" si="988"/>
        <v>594276.48</v>
      </c>
      <c r="O396" s="278">
        <f t="shared" si="988"/>
        <v>606162.00959999999</v>
      </c>
      <c r="P396" s="278">
        <f t="shared" si="988"/>
        <v>618285.24979200005</v>
      </c>
      <c r="Q396" s="278">
        <f t="shared" si="988"/>
        <v>630650.95478784002</v>
      </c>
      <c r="R396" s="278">
        <f t="shared" si="988"/>
        <v>643263.97388359683</v>
      </c>
      <c r="S396" s="278">
        <f t="shared" si="988"/>
        <v>656129.25336126878</v>
      </c>
      <c r="T396" s="278">
        <f t="shared" si="988"/>
        <v>669251.83842849417</v>
      </c>
      <c r="U396" s="278">
        <f t="shared" si="988"/>
        <v>682636.87519706402</v>
      </c>
      <c r="V396" s="278">
        <f t="shared" si="988"/>
        <v>696289.6127010053</v>
      </c>
    </row>
    <row r="397" spans="10:23">
      <c r="J397" s="269" t="s">
        <v>408</v>
      </c>
      <c r="K397" s="279"/>
      <c r="L397" s="278">
        <f>L396*$D$15</f>
        <v>285600</v>
      </c>
      <c r="M397" s="278">
        <f t="shared" ref="M397:V397" si="989">M396*$D$15</f>
        <v>291312</v>
      </c>
      <c r="N397" s="278">
        <f t="shared" si="989"/>
        <v>297138.24</v>
      </c>
      <c r="O397" s="278">
        <f t="shared" si="989"/>
        <v>303081.0048</v>
      </c>
      <c r="P397" s="278">
        <f t="shared" si="989"/>
        <v>309142.62489600002</v>
      </c>
      <c r="Q397" s="278">
        <f t="shared" si="989"/>
        <v>315325.47739392001</v>
      </c>
      <c r="R397" s="278">
        <f t="shared" si="989"/>
        <v>321631.98694179842</v>
      </c>
      <c r="S397" s="278">
        <f t="shared" si="989"/>
        <v>328064.62668063439</v>
      </c>
      <c r="T397" s="278">
        <f t="shared" si="989"/>
        <v>334625.91921424709</v>
      </c>
      <c r="U397" s="278">
        <f t="shared" si="989"/>
        <v>341318.43759853201</v>
      </c>
      <c r="V397" s="278">
        <f t="shared" si="989"/>
        <v>348144.80635050265</v>
      </c>
    </row>
    <row r="398" spans="10:23">
      <c r="J398" s="269" t="s">
        <v>409</v>
      </c>
      <c r="K398" s="280"/>
      <c r="L398" s="278">
        <f>L397*$D$16</f>
        <v>142800</v>
      </c>
      <c r="M398" s="278">
        <f t="shared" ref="M398:V398" si="990">M397*$D$16</f>
        <v>145656</v>
      </c>
      <c r="N398" s="278">
        <f t="shared" si="990"/>
        <v>148569.12</v>
      </c>
      <c r="O398" s="278">
        <f t="shared" si="990"/>
        <v>151540.5024</v>
      </c>
      <c r="P398" s="278">
        <f t="shared" si="990"/>
        <v>154571.31244800001</v>
      </c>
      <c r="Q398" s="278">
        <f t="shared" si="990"/>
        <v>157662.73869696</v>
      </c>
      <c r="R398" s="278">
        <f t="shared" si="990"/>
        <v>160815.99347089921</v>
      </c>
      <c r="S398" s="278">
        <f t="shared" si="990"/>
        <v>164032.3133403172</v>
      </c>
      <c r="T398" s="278">
        <f t="shared" si="990"/>
        <v>167312.95960712354</v>
      </c>
      <c r="U398" s="278">
        <f t="shared" si="990"/>
        <v>170659.218799266</v>
      </c>
      <c r="V398" s="278">
        <f t="shared" si="990"/>
        <v>174072.40317525133</v>
      </c>
    </row>
    <row r="399" spans="10:23">
      <c r="J399" s="269" t="s">
        <v>410</v>
      </c>
      <c r="K399" s="281"/>
      <c r="L399" s="288">
        <f>D19</f>
        <v>1</v>
      </c>
      <c r="M399" s="288">
        <f>L399*(1+$G$12)</f>
        <v>1.0147600000000001</v>
      </c>
      <c r="N399" s="288">
        <f t="shared" ref="N399:V399" si="991">M399*(1+$G$12)</f>
        <v>1.0297378576000003</v>
      </c>
      <c r="O399" s="288">
        <f t="shared" si="991"/>
        <v>1.0449367883781764</v>
      </c>
      <c r="P399" s="288">
        <f t="shared" si="991"/>
        <v>1.0603600553746384</v>
      </c>
      <c r="Q399" s="288">
        <f t="shared" si="991"/>
        <v>1.0760109697919682</v>
      </c>
      <c r="R399" s="288">
        <f t="shared" si="991"/>
        <v>1.0918928917060977</v>
      </c>
      <c r="S399" s="288">
        <f t="shared" si="991"/>
        <v>1.1080092307876799</v>
      </c>
      <c r="T399" s="288">
        <f t="shared" si="991"/>
        <v>1.1243634470341062</v>
      </c>
      <c r="U399" s="288">
        <f t="shared" si="991"/>
        <v>1.1409590515123298</v>
      </c>
      <c r="V399" s="288">
        <f t="shared" si="991"/>
        <v>1.157799607112652</v>
      </c>
    </row>
    <row r="400" spans="10:23" ht="15.5">
      <c r="J400" s="270" t="s">
        <v>411</v>
      </c>
      <c r="K400" s="282"/>
      <c r="L400" s="273">
        <f>L399*L398</f>
        <v>142800</v>
      </c>
      <c r="M400" s="273">
        <f t="shared" ref="M400:V400" si="992">M399*M398</f>
        <v>147805.88256000003</v>
      </c>
      <c r="N400" s="273">
        <f t="shared" si="992"/>
        <v>152987.24733431733</v>
      </c>
      <c r="O400" s="273">
        <f t="shared" si="992"/>
        <v>158350.24588707133</v>
      </c>
      <c r="P400" s="273">
        <f t="shared" si="992"/>
        <v>163901.24542669184</v>
      </c>
      <c r="Q400" s="273">
        <f t="shared" si="992"/>
        <v>169646.8363653736</v>
      </c>
      <c r="R400" s="273">
        <f t="shared" si="992"/>
        <v>175593.84014352906</v>
      </c>
      <c r="S400" s="273">
        <f t="shared" si="992"/>
        <v>181749.31732852853</v>
      </c>
      <c r="T400" s="273">
        <f t="shared" si="992"/>
        <v>188120.57599734361</v>
      </c>
      <c r="U400" s="273">
        <f t="shared" si="992"/>
        <v>194715.18041304569</v>
      </c>
      <c r="V400" s="273">
        <f t="shared" si="992"/>
        <v>201540.96000546112</v>
      </c>
    </row>
    <row r="401" spans="10:23">
      <c r="J401" s="283" t="s">
        <v>34</v>
      </c>
      <c r="K401" s="274"/>
      <c r="L401" s="289">
        <f>D20</f>
        <v>0.2</v>
      </c>
      <c r="M401" s="289">
        <f>L401*(1+$G$12)</f>
        <v>0.20295200000000002</v>
      </c>
      <c r="N401" s="289">
        <f t="shared" ref="N401:V401" si="993">M401*(1+$G$12)</f>
        <v>0.20594757152000004</v>
      </c>
      <c r="O401" s="289">
        <f t="shared" si="993"/>
        <v>0.20898735767563525</v>
      </c>
      <c r="P401" s="289">
        <f t="shared" si="993"/>
        <v>0.21207201107492765</v>
      </c>
      <c r="Q401" s="289">
        <f t="shared" si="993"/>
        <v>0.2152021939583936</v>
      </c>
      <c r="R401" s="289">
        <f t="shared" si="993"/>
        <v>0.21837857834121951</v>
      </c>
      <c r="S401" s="289">
        <f t="shared" si="993"/>
        <v>0.22160184615753595</v>
      </c>
      <c r="T401" s="289">
        <f t="shared" si="993"/>
        <v>0.2248726894068212</v>
      </c>
      <c r="U401" s="289">
        <f t="shared" si="993"/>
        <v>0.22819181030246591</v>
      </c>
      <c r="V401" s="289">
        <f t="shared" si="993"/>
        <v>0.23155992142253032</v>
      </c>
    </row>
    <row r="402" spans="10:23" ht="15.5">
      <c r="J402" s="270" t="s">
        <v>412</v>
      </c>
      <c r="K402" s="282"/>
      <c r="L402" s="273">
        <f>L398*L401</f>
        <v>28560</v>
      </c>
      <c r="M402" s="273">
        <f t="shared" ref="M402:V402" si="994">M398*M401</f>
        <v>29561.176512000002</v>
      </c>
      <c r="N402" s="273">
        <f t="shared" si="994"/>
        <v>30597.449466863469</v>
      </c>
      <c r="O402" s="273">
        <f t="shared" si="994"/>
        <v>31670.049177414261</v>
      </c>
      <c r="P402" s="273">
        <f t="shared" si="994"/>
        <v>32780.249085338364</v>
      </c>
      <c r="Q402" s="273">
        <f t="shared" si="994"/>
        <v>33929.367273074713</v>
      </c>
      <c r="R402" s="273">
        <f t="shared" si="994"/>
        <v>35118.76802870581</v>
      </c>
      <c r="S402" s="273">
        <f t="shared" si="994"/>
        <v>36349.863465705705</v>
      </c>
      <c r="T402" s="273">
        <f t="shared" si="994"/>
        <v>37624.115199468717</v>
      </c>
      <c r="U402" s="273">
        <f t="shared" si="994"/>
        <v>38943.036082609135</v>
      </c>
      <c r="V402" s="273">
        <f t="shared" si="994"/>
        <v>40308.192001092211</v>
      </c>
    </row>
    <row r="403" spans="10:23">
      <c r="J403" s="285" t="s">
        <v>418</v>
      </c>
      <c r="K403" s="274"/>
      <c r="L403" s="274">
        <f>L400*0.03</f>
        <v>4284</v>
      </c>
      <c r="M403" s="274">
        <f t="shared" ref="M403:V403" si="995">M400*0.03</f>
        <v>4434.1764768000003</v>
      </c>
      <c r="N403" s="274">
        <f t="shared" si="995"/>
        <v>4589.61742002952</v>
      </c>
      <c r="O403" s="274">
        <f t="shared" si="995"/>
        <v>4750.5073766121395</v>
      </c>
      <c r="P403" s="274">
        <f t="shared" si="995"/>
        <v>4917.0373628007546</v>
      </c>
      <c r="Q403" s="274">
        <f t="shared" si="995"/>
        <v>5089.4050909612079</v>
      </c>
      <c r="R403" s="274">
        <f t="shared" si="995"/>
        <v>5267.8152043058717</v>
      </c>
      <c r="S403" s="274">
        <f t="shared" si="995"/>
        <v>5452.4795198558559</v>
      </c>
      <c r="T403" s="274">
        <f t="shared" si="995"/>
        <v>5643.6172799203077</v>
      </c>
      <c r="U403" s="274">
        <f t="shared" si="995"/>
        <v>5841.4554123913704</v>
      </c>
      <c r="V403" s="274">
        <f t="shared" si="995"/>
        <v>6046.2288001638335</v>
      </c>
    </row>
    <row r="404" spans="10:23">
      <c r="J404" s="285" t="s">
        <v>413</v>
      </c>
      <c r="K404" s="274"/>
      <c r="L404" s="284">
        <f>D23</f>
        <v>3000</v>
      </c>
      <c r="M404" s="274">
        <f>L404*(1+$G$12)</f>
        <v>3044.28</v>
      </c>
      <c r="N404" s="274">
        <f t="shared" ref="N404:V404" si="996">M404*(1+$G$12)</f>
        <v>3089.2135728000007</v>
      </c>
      <c r="O404" s="274">
        <f t="shared" si="996"/>
        <v>3134.8103651345291</v>
      </c>
      <c r="P404" s="274">
        <f t="shared" si="996"/>
        <v>3181.0801661239152</v>
      </c>
      <c r="Q404" s="274">
        <f t="shared" si="996"/>
        <v>3228.0329093759046</v>
      </c>
      <c r="R404" s="274">
        <f t="shared" si="996"/>
        <v>3275.6786751182935</v>
      </c>
      <c r="S404" s="274">
        <f t="shared" si="996"/>
        <v>3324.0276923630399</v>
      </c>
      <c r="T404" s="274">
        <f t="shared" si="996"/>
        <v>3373.0903411023187</v>
      </c>
      <c r="U404" s="274">
        <f t="shared" si="996"/>
        <v>3422.8771545369891</v>
      </c>
      <c r="V404" s="274">
        <f t="shared" si="996"/>
        <v>3473.3988213379553</v>
      </c>
    </row>
    <row r="405" spans="10:23" ht="15.5">
      <c r="J405" s="270" t="s">
        <v>35</v>
      </c>
      <c r="K405" s="282"/>
      <c r="L405" s="273">
        <f>L403+L404</f>
        <v>7284</v>
      </c>
      <c r="M405" s="273">
        <f t="shared" ref="M405:V405" si="997">M403+M404</f>
        <v>7478.4564768</v>
      </c>
      <c r="N405" s="273">
        <f t="shared" si="997"/>
        <v>7678.8309928295203</v>
      </c>
      <c r="O405" s="273">
        <f t="shared" si="997"/>
        <v>7885.3177417466686</v>
      </c>
      <c r="P405" s="273">
        <f t="shared" si="997"/>
        <v>8098.1175289246694</v>
      </c>
      <c r="Q405" s="273">
        <f t="shared" si="997"/>
        <v>8317.4380003371116</v>
      </c>
      <c r="R405" s="273">
        <f t="shared" si="997"/>
        <v>8543.4938794241643</v>
      </c>
      <c r="S405" s="273">
        <f t="shared" si="997"/>
        <v>8776.5072122188958</v>
      </c>
      <c r="T405" s="273">
        <f t="shared" si="997"/>
        <v>9016.707621022626</v>
      </c>
      <c r="U405" s="273">
        <f t="shared" si="997"/>
        <v>9264.3325669283586</v>
      </c>
      <c r="V405" s="273">
        <f t="shared" si="997"/>
        <v>9519.6276215017897</v>
      </c>
    </row>
    <row r="406" spans="10:23">
      <c r="J406" s="286" t="s">
        <v>414</v>
      </c>
      <c r="K406" s="274"/>
      <c r="L406" s="274">
        <f>L400-L402-L405</f>
        <v>106956</v>
      </c>
      <c r="M406" s="274">
        <f t="shared" ref="M406:V406" si="998">M400-M402-M405</f>
        <v>110766.24957120002</v>
      </c>
      <c r="N406" s="274">
        <f t="shared" si="998"/>
        <v>114710.96687462434</v>
      </c>
      <c r="O406" s="274">
        <f t="shared" si="998"/>
        <v>118794.87896791041</v>
      </c>
      <c r="P406" s="274">
        <f t="shared" si="998"/>
        <v>123022.87881242878</v>
      </c>
      <c r="Q406" s="274">
        <f t="shared" si="998"/>
        <v>127400.03109196178</v>
      </c>
      <c r="R406" s="274">
        <f t="shared" si="998"/>
        <v>131931.57823539907</v>
      </c>
      <c r="S406" s="274">
        <f t="shared" si="998"/>
        <v>136622.94665060393</v>
      </c>
      <c r="T406" s="274">
        <f t="shared" si="998"/>
        <v>141479.75317685227</v>
      </c>
      <c r="U406" s="274">
        <f t="shared" si="998"/>
        <v>146507.81176350819</v>
      </c>
      <c r="V406" s="274">
        <f t="shared" si="998"/>
        <v>151713.1403828671</v>
      </c>
    </row>
    <row r="407" spans="10:23">
      <c r="J407" s="286" t="s">
        <v>415</v>
      </c>
      <c r="K407" s="274"/>
      <c r="L407" s="274">
        <f>L406*$G$13</f>
        <v>42782.400000000001</v>
      </c>
      <c r="M407" s="274">
        <f t="shared" ref="M407:V407" si="999">M406*$G$13</f>
        <v>44306.499828480009</v>
      </c>
      <c r="N407" s="274">
        <f t="shared" si="999"/>
        <v>45884.386749849742</v>
      </c>
      <c r="O407" s="274">
        <f t="shared" si="999"/>
        <v>47517.951587164163</v>
      </c>
      <c r="P407" s="274">
        <f t="shared" si="999"/>
        <v>49209.151524971516</v>
      </c>
      <c r="Q407" s="274">
        <f t="shared" si="999"/>
        <v>50960.012436784717</v>
      </c>
      <c r="R407" s="274">
        <f t="shared" si="999"/>
        <v>52772.631294159626</v>
      </c>
      <c r="S407" s="274">
        <f t="shared" si="999"/>
        <v>54649.178660241574</v>
      </c>
      <c r="T407" s="274">
        <f t="shared" si="999"/>
        <v>56591.901270740913</v>
      </c>
      <c r="U407" s="274">
        <f t="shared" si="999"/>
        <v>58603.124705403279</v>
      </c>
      <c r="V407" s="274">
        <f t="shared" si="999"/>
        <v>60685.256153146845</v>
      </c>
    </row>
    <row r="408" spans="10:23" ht="15.5">
      <c r="J408" s="270" t="s">
        <v>358</v>
      </c>
      <c r="K408" s="272"/>
      <c r="L408" s="273">
        <f>L406-L407</f>
        <v>64173.599999999999</v>
      </c>
      <c r="M408" s="273">
        <f t="shared" ref="M408:V408" si="1000">M406-M407</f>
        <v>66459.749742720014</v>
      </c>
      <c r="N408" s="273">
        <f t="shared" si="1000"/>
        <v>68826.580124774599</v>
      </c>
      <c r="O408" s="273">
        <f t="shared" si="1000"/>
        <v>71276.927380746245</v>
      </c>
      <c r="P408" s="273">
        <f t="shared" si="1000"/>
        <v>73813.727287457266</v>
      </c>
      <c r="Q408" s="273">
        <f t="shared" si="1000"/>
        <v>76440.01865517706</v>
      </c>
      <c r="R408" s="273">
        <f t="shared" si="1000"/>
        <v>79158.946941239439</v>
      </c>
      <c r="S408" s="273">
        <f t="shared" si="1000"/>
        <v>81973.767990362365</v>
      </c>
      <c r="T408" s="273">
        <f t="shared" si="1000"/>
        <v>84887.851906111362</v>
      </c>
      <c r="U408" s="273">
        <f t="shared" si="1000"/>
        <v>87904.687058104901</v>
      </c>
      <c r="V408" s="273">
        <f t="shared" si="1000"/>
        <v>91027.88422972025</v>
      </c>
    </row>
    <row r="409" spans="10:23" ht="15.5">
      <c r="J409" s="270" t="s">
        <v>419</v>
      </c>
      <c r="K409" s="272"/>
      <c r="L409" s="273">
        <f>M400*$G$14</f>
        <v>24634.313760000005</v>
      </c>
      <c r="M409" s="273">
        <f t="shared" ref="M409:V409" si="1001">N400*$G$14</f>
        <v>25497.874555719554</v>
      </c>
      <c r="N409" s="273">
        <f t="shared" si="1001"/>
        <v>26391.707647845222</v>
      </c>
      <c r="O409" s="273">
        <f t="shared" si="1001"/>
        <v>27316.874237781973</v>
      </c>
      <c r="P409" s="273">
        <f t="shared" si="1001"/>
        <v>28274.472727562264</v>
      </c>
      <c r="Q409" s="273">
        <f t="shared" si="1001"/>
        <v>29265.640023921507</v>
      </c>
      <c r="R409" s="273">
        <f t="shared" si="1001"/>
        <v>30291.552888088088</v>
      </c>
      <c r="S409" s="273">
        <f t="shared" si="1001"/>
        <v>31353.429332890599</v>
      </c>
      <c r="T409" s="273">
        <f t="shared" si="1001"/>
        <v>32452.530068840948</v>
      </c>
      <c r="U409" s="273">
        <f t="shared" si="1001"/>
        <v>33590.160000910182</v>
      </c>
      <c r="V409" s="273">
        <f t="shared" si="1001"/>
        <v>0</v>
      </c>
    </row>
    <row r="410" spans="10:23" ht="16" thickBot="1">
      <c r="J410" s="270" t="s">
        <v>416</v>
      </c>
      <c r="K410" s="290">
        <f>L400*G14</f>
        <v>23800</v>
      </c>
      <c r="L410" s="273">
        <f>L409-K410</f>
        <v>834.31376000000455</v>
      </c>
      <c r="M410" s="273">
        <f>M409-L409</f>
        <v>863.56079571954979</v>
      </c>
      <c r="N410" s="273">
        <f t="shared" ref="N410:V410" si="1002">N409-M409</f>
        <v>893.83309212566746</v>
      </c>
      <c r="O410" s="273">
        <f t="shared" si="1002"/>
        <v>925.16658993675082</v>
      </c>
      <c r="P410" s="273">
        <f t="shared" si="1002"/>
        <v>957.59848978029186</v>
      </c>
      <c r="Q410" s="273">
        <f t="shared" si="1002"/>
        <v>991.16729635924275</v>
      </c>
      <c r="R410" s="273">
        <f t="shared" si="1002"/>
        <v>1025.9128641665811</v>
      </c>
      <c r="S410" s="273">
        <f t="shared" si="1002"/>
        <v>1061.8764448025104</v>
      </c>
      <c r="T410" s="273">
        <f t="shared" si="1002"/>
        <v>1099.1007359503492</v>
      </c>
      <c r="U410" s="273">
        <f t="shared" si="1002"/>
        <v>1137.6299320692342</v>
      </c>
      <c r="V410" s="273">
        <f t="shared" si="1002"/>
        <v>-33590.160000910182</v>
      </c>
    </row>
    <row r="411" spans="10:23" ht="15.5">
      <c r="J411" s="271" t="s">
        <v>417</v>
      </c>
      <c r="K411" s="275">
        <f>K408-K410</f>
        <v>-23800</v>
      </c>
      <c r="L411" s="275">
        <f t="shared" ref="L411:V411" si="1003">L408-L410</f>
        <v>63339.286239999994</v>
      </c>
      <c r="M411" s="275">
        <f t="shared" si="1003"/>
        <v>65596.188947000468</v>
      </c>
      <c r="N411" s="275">
        <f t="shared" si="1003"/>
        <v>67932.747032648927</v>
      </c>
      <c r="O411" s="275">
        <f t="shared" si="1003"/>
        <v>70351.760790809494</v>
      </c>
      <c r="P411" s="275">
        <f t="shared" si="1003"/>
        <v>72856.128797676967</v>
      </c>
      <c r="Q411" s="275">
        <f t="shared" si="1003"/>
        <v>75448.851358817818</v>
      </c>
      <c r="R411" s="275">
        <f t="shared" si="1003"/>
        <v>78133.034077072865</v>
      </c>
      <c r="S411" s="275">
        <f t="shared" si="1003"/>
        <v>80911.891545559862</v>
      </c>
      <c r="T411" s="275">
        <f t="shared" si="1003"/>
        <v>83788.751170161006</v>
      </c>
      <c r="U411" s="275">
        <f t="shared" si="1003"/>
        <v>86767.057126035666</v>
      </c>
      <c r="V411" s="275">
        <f t="shared" si="1003"/>
        <v>124618.04423063043</v>
      </c>
      <c r="W411" s="295" t="s">
        <v>360</v>
      </c>
    </row>
    <row r="412" spans="10:23" ht="16" thickBot="1">
      <c r="J412" s="271" t="s">
        <v>367</v>
      </c>
      <c r="K412" s="291">
        <f>K411/(1+$G$16)^(K395-$G$15)</f>
        <v>-15539.674641133455</v>
      </c>
      <c r="L412" s="291">
        <f t="shared" ref="L412:V412" si="1004">L411/(1+$G$16)^(L395-$G$15)</f>
        <v>37175.290485315141</v>
      </c>
      <c r="M412" s="291">
        <f t="shared" si="1004"/>
        <v>34607.964371081245</v>
      </c>
      <c r="N412" s="291">
        <f t="shared" si="1004"/>
        <v>32217.576224624703</v>
      </c>
      <c r="O412" s="291">
        <f t="shared" si="1004"/>
        <v>29991.963625146502</v>
      </c>
      <c r="P412" s="291">
        <f t="shared" si="1004"/>
        <v>27919.797339542416</v>
      </c>
      <c r="Q412" s="291">
        <f t="shared" si="1004"/>
        <v>25990.524496988459</v>
      </c>
      <c r="R412" s="291">
        <f t="shared" si="1004"/>
        <v>24194.31561666264</v>
      </c>
      <c r="S412" s="291">
        <f t="shared" si="1004"/>
        <v>22522.015229350814</v>
      </c>
      <c r="T412" s="291">
        <f t="shared" si="1004"/>
        <v>20965.095850945534</v>
      </c>
      <c r="U412" s="291">
        <f t="shared" si="1004"/>
        <v>19515.615081976259</v>
      </c>
      <c r="V412" s="291">
        <f t="shared" si="1004"/>
        <v>25195.590903170818</v>
      </c>
      <c r="W412" s="294">
        <f>SUM(K412:V412)</f>
        <v>284756.07458367106</v>
      </c>
    </row>
    <row r="417" spans="10:22">
      <c r="J417">
        <v>1111122</v>
      </c>
    </row>
    <row r="419" spans="10:22" ht="15.5">
      <c r="J419" s="276" t="s">
        <v>407</v>
      </c>
      <c r="K419" s="276">
        <v>2013</v>
      </c>
      <c r="L419" s="276">
        <v>2014</v>
      </c>
      <c r="M419" s="276">
        <v>2015</v>
      </c>
      <c r="N419" s="276">
        <v>2016</v>
      </c>
      <c r="O419" s="276">
        <v>2017</v>
      </c>
      <c r="P419" s="276">
        <v>2018</v>
      </c>
      <c r="Q419" s="276">
        <v>2019</v>
      </c>
      <c r="R419" s="276">
        <v>2020</v>
      </c>
      <c r="S419" s="276">
        <v>2021</v>
      </c>
      <c r="T419" s="276">
        <v>2022</v>
      </c>
      <c r="U419" s="276">
        <v>2023</v>
      </c>
      <c r="V419" s="276">
        <v>2024</v>
      </c>
    </row>
    <row r="420" spans="10:22">
      <c r="J420" s="269" t="s">
        <v>33</v>
      </c>
      <c r="K420" s="277">
        <f>Données!$C$5</f>
        <v>560000</v>
      </c>
      <c r="L420" s="278">
        <f>K420*(1+$D$13)</f>
        <v>565600</v>
      </c>
      <c r="M420" s="278">
        <f t="shared" ref="M420:V420" si="1005">L420*(1+$D$13)</f>
        <v>571256</v>
      </c>
      <c r="N420" s="278">
        <f t="shared" si="1005"/>
        <v>576968.56000000006</v>
      </c>
      <c r="O420" s="278">
        <f t="shared" si="1005"/>
        <v>582738.24560000002</v>
      </c>
      <c r="P420" s="278">
        <f t="shared" si="1005"/>
        <v>588565.62805599999</v>
      </c>
      <c r="Q420" s="278">
        <f t="shared" si="1005"/>
        <v>594451.28433655994</v>
      </c>
      <c r="R420" s="278">
        <f t="shared" si="1005"/>
        <v>600395.79717992549</v>
      </c>
      <c r="S420" s="278">
        <f t="shared" si="1005"/>
        <v>606399.75515172479</v>
      </c>
      <c r="T420" s="278">
        <f t="shared" si="1005"/>
        <v>612463.752703242</v>
      </c>
      <c r="U420" s="278">
        <f t="shared" si="1005"/>
        <v>618588.39023027441</v>
      </c>
      <c r="V420" s="278">
        <f t="shared" si="1005"/>
        <v>624774.27413257712</v>
      </c>
    </row>
    <row r="421" spans="10:22">
      <c r="J421" s="269" t="s">
        <v>408</v>
      </c>
      <c r="K421" s="279"/>
      <c r="L421" s="278">
        <f>L420*$D$15</f>
        <v>282800</v>
      </c>
      <c r="M421" s="278">
        <f t="shared" ref="M421:V421" si="1006">M420*$D$15</f>
        <v>285628</v>
      </c>
      <c r="N421" s="278">
        <f t="shared" si="1006"/>
        <v>288484.28000000003</v>
      </c>
      <c r="O421" s="278">
        <f t="shared" si="1006"/>
        <v>291369.12280000001</v>
      </c>
      <c r="P421" s="278">
        <f t="shared" si="1006"/>
        <v>294282.81402799999</v>
      </c>
      <c r="Q421" s="278">
        <f t="shared" si="1006"/>
        <v>297225.64216827997</v>
      </c>
      <c r="R421" s="278">
        <f t="shared" si="1006"/>
        <v>300197.89858996274</v>
      </c>
      <c r="S421" s="278">
        <f t="shared" si="1006"/>
        <v>303199.8775758624</v>
      </c>
      <c r="T421" s="278">
        <f t="shared" si="1006"/>
        <v>306231.876351621</v>
      </c>
      <c r="U421" s="278">
        <f t="shared" si="1006"/>
        <v>309294.1951151372</v>
      </c>
      <c r="V421" s="278">
        <f t="shared" si="1006"/>
        <v>312387.13706628856</v>
      </c>
    </row>
    <row r="422" spans="10:22">
      <c r="J422" s="269" t="s">
        <v>409</v>
      </c>
      <c r="K422" s="280"/>
      <c r="L422" s="278">
        <f>L421*$D$16</f>
        <v>141400</v>
      </c>
      <c r="M422" s="278">
        <f t="shared" ref="M422:V422" si="1007">M421*$D$16</f>
        <v>142814</v>
      </c>
      <c r="N422" s="278">
        <f t="shared" si="1007"/>
        <v>144242.14000000001</v>
      </c>
      <c r="O422" s="278">
        <f t="shared" si="1007"/>
        <v>145684.56140000001</v>
      </c>
      <c r="P422" s="278">
        <f t="shared" si="1007"/>
        <v>147141.407014</v>
      </c>
      <c r="Q422" s="278">
        <f t="shared" si="1007"/>
        <v>148612.82108413999</v>
      </c>
      <c r="R422" s="278">
        <f t="shared" si="1007"/>
        <v>150098.94929498137</v>
      </c>
      <c r="S422" s="278">
        <f t="shared" si="1007"/>
        <v>151599.9387879312</v>
      </c>
      <c r="T422" s="278">
        <f t="shared" si="1007"/>
        <v>153115.9381758105</v>
      </c>
      <c r="U422" s="278">
        <f t="shared" si="1007"/>
        <v>154647.0975575686</v>
      </c>
      <c r="V422" s="278">
        <f t="shared" si="1007"/>
        <v>156193.56853314428</v>
      </c>
    </row>
    <row r="423" spans="10:22">
      <c r="J423" s="269" t="s">
        <v>410</v>
      </c>
      <c r="K423" s="281"/>
      <c r="L423" s="288">
        <f>D19</f>
        <v>1</v>
      </c>
      <c r="M423" s="321">
        <f>L423*(1+$G$12)</f>
        <v>1.0147600000000001</v>
      </c>
      <c r="N423" s="321">
        <f t="shared" ref="N423:V423" si="1008">M423*(1+$G$12)</f>
        <v>1.0297378576000003</v>
      </c>
      <c r="O423" s="321">
        <f t="shared" si="1008"/>
        <v>1.0449367883781764</v>
      </c>
      <c r="P423" s="321">
        <f t="shared" si="1008"/>
        <v>1.0603600553746384</v>
      </c>
      <c r="Q423" s="321">
        <f t="shared" si="1008"/>
        <v>1.0760109697919682</v>
      </c>
      <c r="R423" s="321">
        <f t="shared" si="1008"/>
        <v>1.0918928917060977</v>
      </c>
      <c r="S423" s="321">
        <f t="shared" si="1008"/>
        <v>1.1080092307876799</v>
      </c>
      <c r="T423" s="321">
        <f t="shared" si="1008"/>
        <v>1.1243634470341062</v>
      </c>
      <c r="U423" s="321">
        <f t="shared" si="1008"/>
        <v>1.1409590515123298</v>
      </c>
      <c r="V423" s="321">
        <f t="shared" si="1008"/>
        <v>1.157799607112652</v>
      </c>
    </row>
    <row r="424" spans="10:22" ht="15.5">
      <c r="J424" s="270" t="s">
        <v>411</v>
      </c>
      <c r="K424" s="282"/>
      <c r="L424" s="273">
        <f>L422*L423</f>
        <v>141400</v>
      </c>
      <c r="M424" s="273">
        <f t="shared" ref="M424:V424" si="1009">M422*M423</f>
        <v>144921.93464000002</v>
      </c>
      <c r="N424" s="273">
        <f t="shared" si="1009"/>
        <v>148531.5922192393</v>
      </c>
      <c r="O424" s="273">
        <f t="shared" si="1009"/>
        <v>152231.15770559924</v>
      </c>
      <c r="P424" s="273">
        <f t="shared" si="1009"/>
        <v>156022.87048926725</v>
      </c>
      <c r="Q424" s="273">
        <f t="shared" si="1009"/>
        <v>159909.02573826571</v>
      </c>
      <c r="R424" s="273">
        <f t="shared" si="1009"/>
        <v>163891.97578774416</v>
      </c>
      <c r="S424" s="273">
        <f t="shared" si="1009"/>
        <v>167974.13156387501</v>
      </c>
      <c r="T424" s="273">
        <f t="shared" si="1009"/>
        <v>172157.96404321538</v>
      </c>
      <c r="U424" s="273">
        <f t="shared" si="1009"/>
        <v>176446.00574841822</v>
      </c>
      <c r="V424" s="273">
        <f t="shared" si="1009"/>
        <v>180840.85228119753</v>
      </c>
    </row>
    <row r="425" spans="10:22">
      <c r="J425" s="283" t="s">
        <v>34</v>
      </c>
      <c r="K425" s="274"/>
      <c r="L425" s="289">
        <f>D20</f>
        <v>0.2</v>
      </c>
      <c r="M425" s="289">
        <f>L425*(1+$G$12)</f>
        <v>0.20295200000000002</v>
      </c>
      <c r="N425" s="289">
        <f t="shared" ref="N425:V425" si="1010">M425*(1+$G$12)</f>
        <v>0.20594757152000004</v>
      </c>
      <c r="O425" s="289">
        <f t="shared" si="1010"/>
        <v>0.20898735767563525</v>
      </c>
      <c r="P425" s="289">
        <f t="shared" si="1010"/>
        <v>0.21207201107492765</v>
      </c>
      <c r="Q425" s="289">
        <f t="shared" si="1010"/>
        <v>0.2152021939583936</v>
      </c>
      <c r="R425" s="289">
        <f t="shared" si="1010"/>
        <v>0.21837857834121951</v>
      </c>
      <c r="S425" s="289">
        <f t="shared" si="1010"/>
        <v>0.22160184615753595</v>
      </c>
      <c r="T425" s="289">
        <f t="shared" si="1010"/>
        <v>0.2248726894068212</v>
      </c>
      <c r="U425" s="289">
        <f t="shared" si="1010"/>
        <v>0.22819181030246591</v>
      </c>
      <c r="V425" s="289">
        <f t="shared" si="1010"/>
        <v>0.23155992142253032</v>
      </c>
    </row>
    <row r="426" spans="10:22" ht="15.5">
      <c r="J426" s="270" t="s">
        <v>412</v>
      </c>
      <c r="K426" s="282"/>
      <c r="L426" s="273">
        <f>L422*L425</f>
        <v>28280</v>
      </c>
      <c r="M426" s="273">
        <f t="shared" ref="M426:V426" si="1011">M422*M425</f>
        <v>28984.386928000004</v>
      </c>
      <c r="N426" s="273">
        <f t="shared" si="1011"/>
        <v>29706.31844384786</v>
      </c>
      <c r="O426" s="273">
        <f t="shared" si="1011"/>
        <v>30446.231541119847</v>
      </c>
      <c r="P426" s="273">
        <f t="shared" si="1011"/>
        <v>31204.574097853445</v>
      </c>
      <c r="Q426" s="273">
        <f t="shared" si="1011"/>
        <v>31981.80514765314</v>
      </c>
      <c r="R426" s="273">
        <f t="shared" si="1011"/>
        <v>32778.395157548824</v>
      </c>
      <c r="S426" s="273">
        <f t="shared" si="1011"/>
        <v>33594.826312774996</v>
      </c>
      <c r="T426" s="273">
        <f t="shared" si="1011"/>
        <v>34431.592808643072</v>
      </c>
      <c r="U426" s="273">
        <f t="shared" si="1011"/>
        <v>35289.201149683635</v>
      </c>
      <c r="V426" s="273">
        <f t="shared" si="1011"/>
        <v>36168.170456239495</v>
      </c>
    </row>
    <row r="427" spans="10:22">
      <c r="J427" s="285" t="s">
        <v>418</v>
      </c>
      <c r="K427" s="274"/>
      <c r="L427" s="274">
        <f>L424*0.03</f>
        <v>4242</v>
      </c>
      <c r="M427" s="274">
        <f t="shared" ref="M427:V427" si="1012">M424*0.03</f>
        <v>4347.6580392000005</v>
      </c>
      <c r="N427" s="274">
        <f t="shared" si="1012"/>
        <v>4455.9477665771792</v>
      </c>
      <c r="O427" s="274">
        <f t="shared" si="1012"/>
        <v>4566.9347311679767</v>
      </c>
      <c r="P427" s="274">
        <f t="shared" si="1012"/>
        <v>4680.6861146780175</v>
      </c>
      <c r="Q427" s="274">
        <f t="shared" si="1012"/>
        <v>4797.270772147971</v>
      </c>
      <c r="R427" s="274">
        <f t="shared" si="1012"/>
        <v>4916.7592736323249</v>
      </c>
      <c r="S427" s="274">
        <f t="shared" si="1012"/>
        <v>5039.2239469162505</v>
      </c>
      <c r="T427" s="274">
        <f t="shared" si="1012"/>
        <v>5164.7389212964617</v>
      </c>
      <c r="U427" s="274">
        <f t="shared" si="1012"/>
        <v>5293.3801724525465</v>
      </c>
      <c r="V427" s="274">
        <f t="shared" si="1012"/>
        <v>5425.2255684359252</v>
      </c>
    </row>
    <row r="428" spans="10:22">
      <c r="J428" s="285" t="s">
        <v>413</v>
      </c>
      <c r="K428" s="274"/>
      <c r="L428" s="284">
        <f>D23</f>
        <v>3000</v>
      </c>
      <c r="M428" s="274">
        <f>L428*(1+$G$12)</f>
        <v>3044.28</v>
      </c>
      <c r="N428" s="274">
        <f t="shared" ref="N428:V428" si="1013">M428*(1+$G$12)</f>
        <v>3089.2135728000007</v>
      </c>
      <c r="O428" s="274">
        <f t="shared" si="1013"/>
        <v>3134.8103651345291</v>
      </c>
      <c r="P428" s="274">
        <f t="shared" si="1013"/>
        <v>3181.0801661239152</v>
      </c>
      <c r="Q428" s="274">
        <f t="shared" si="1013"/>
        <v>3228.0329093759046</v>
      </c>
      <c r="R428" s="274">
        <f t="shared" si="1013"/>
        <v>3275.6786751182935</v>
      </c>
      <c r="S428" s="274">
        <f t="shared" si="1013"/>
        <v>3324.0276923630399</v>
      </c>
      <c r="T428" s="274">
        <f t="shared" si="1013"/>
        <v>3373.0903411023187</v>
      </c>
      <c r="U428" s="274">
        <f t="shared" si="1013"/>
        <v>3422.8771545369891</v>
      </c>
      <c r="V428" s="274">
        <f t="shared" si="1013"/>
        <v>3473.3988213379553</v>
      </c>
    </row>
    <row r="429" spans="10:22" ht="15.5">
      <c r="J429" s="270" t="s">
        <v>35</v>
      </c>
      <c r="K429" s="282"/>
      <c r="L429" s="273">
        <f>L427+L428</f>
        <v>7242</v>
      </c>
      <c r="M429" s="273">
        <f t="shared" ref="M429:V429" si="1014">M427+M428</f>
        <v>7391.9380392000003</v>
      </c>
      <c r="N429" s="273">
        <f t="shared" si="1014"/>
        <v>7545.1613393771804</v>
      </c>
      <c r="O429" s="273">
        <f t="shared" si="1014"/>
        <v>7701.7450963025058</v>
      </c>
      <c r="P429" s="273">
        <f t="shared" si="1014"/>
        <v>7861.7662808019322</v>
      </c>
      <c r="Q429" s="273">
        <f t="shared" si="1014"/>
        <v>8025.3036815238756</v>
      </c>
      <c r="R429" s="273">
        <f t="shared" si="1014"/>
        <v>8192.4379487506194</v>
      </c>
      <c r="S429" s="273">
        <f t="shared" si="1014"/>
        <v>8363.2516392792895</v>
      </c>
      <c r="T429" s="273">
        <f t="shared" si="1014"/>
        <v>8537.82926239878</v>
      </c>
      <c r="U429" s="273">
        <f t="shared" si="1014"/>
        <v>8716.2573269895365</v>
      </c>
      <c r="V429" s="273">
        <f t="shared" si="1014"/>
        <v>8898.6243897738805</v>
      </c>
    </row>
    <row r="430" spans="10:22">
      <c r="J430" s="286" t="s">
        <v>414</v>
      </c>
      <c r="K430" s="274"/>
      <c r="L430" s="274">
        <f>L424-L426-L429</f>
        <v>105878</v>
      </c>
      <c r="M430" s="274">
        <f t="shared" ref="M430:V430" si="1015">M424-M426-M429</f>
        <v>108545.60967280001</v>
      </c>
      <c r="N430" s="274">
        <f t="shared" si="1015"/>
        <v>111280.11243601426</v>
      </c>
      <c r="O430" s="274">
        <f t="shared" si="1015"/>
        <v>114083.18106817688</v>
      </c>
      <c r="P430" s="274">
        <f t="shared" si="1015"/>
        <v>116956.53011061187</v>
      </c>
      <c r="Q430" s="274">
        <f t="shared" si="1015"/>
        <v>119901.9169090887</v>
      </c>
      <c r="R430" s="274">
        <f t="shared" si="1015"/>
        <v>122921.1426814447</v>
      </c>
      <c r="S430" s="274">
        <f t="shared" si="1015"/>
        <v>126016.05361182072</v>
      </c>
      <c r="T430" s="274">
        <f t="shared" si="1015"/>
        <v>129188.54197217354</v>
      </c>
      <c r="U430" s="274">
        <f t="shared" si="1015"/>
        <v>132440.54727174505</v>
      </c>
      <c r="V430" s="274">
        <f t="shared" si="1015"/>
        <v>135774.05743518416</v>
      </c>
    </row>
    <row r="431" spans="10:22">
      <c r="J431" s="286" t="s">
        <v>415</v>
      </c>
      <c r="K431" s="274"/>
      <c r="L431" s="274">
        <f>L430*$G$13</f>
        <v>42351.200000000004</v>
      </c>
      <c r="M431" s="274">
        <f t="shared" ref="M431:V431" si="1016">M430*$G$13</f>
        <v>43418.243869120008</v>
      </c>
      <c r="N431" s="274">
        <f t="shared" si="1016"/>
        <v>44512.044974405704</v>
      </c>
      <c r="O431" s="274">
        <f t="shared" si="1016"/>
        <v>45633.272427270756</v>
      </c>
      <c r="P431" s="274">
        <f t="shared" si="1016"/>
        <v>46782.61204424475</v>
      </c>
      <c r="Q431" s="274">
        <f t="shared" si="1016"/>
        <v>47960.766763635482</v>
      </c>
      <c r="R431" s="274">
        <f t="shared" si="1016"/>
        <v>49168.457072577883</v>
      </c>
      <c r="S431" s="274">
        <f t="shared" si="1016"/>
        <v>50406.421444728294</v>
      </c>
      <c r="T431" s="274">
        <f t="shared" si="1016"/>
        <v>51675.416788869421</v>
      </c>
      <c r="U431" s="274">
        <f t="shared" si="1016"/>
        <v>52976.218908698022</v>
      </c>
      <c r="V431" s="274">
        <f t="shared" si="1016"/>
        <v>54309.622974073667</v>
      </c>
    </row>
    <row r="432" spans="10:22" ht="15.5">
      <c r="J432" s="270" t="s">
        <v>358</v>
      </c>
      <c r="K432" s="272"/>
      <c r="L432" s="273">
        <f>L430-L431</f>
        <v>63526.799999999996</v>
      </c>
      <c r="M432" s="273">
        <f t="shared" ref="M432:V432" si="1017">M430-M431</f>
        <v>65127.365803680004</v>
      </c>
      <c r="N432" s="273">
        <f t="shared" si="1017"/>
        <v>66768.06746160856</v>
      </c>
      <c r="O432" s="273">
        <f t="shared" si="1017"/>
        <v>68449.908640906127</v>
      </c>
      <c r="P432" s="273">
        <f t="shared" si="1017"/>
        <v>70173.918066367129</v>
      </c>
      <c r="Q432" s="273">
        <f t="shared" si="1017"/>
        <v>71941.150145453226</v>
      </c>
      <c r="R432" s="273">
        <f t="shared" si="1017"/>
        <v>73752.685608866828</v>
      </c>
      <c r="S432" s="273">
        <f t="shared" si="1017"/>
        <v>75609.632167092437</v>
      </c>
      <c r="T432" s="273">
        <f t="shared" si="1017"/>
        <v>77513.125183304117</v>
      </c>
      <c r="U432" s="273">
        <f t="shared" si="1017"/>
        <v>79464.328363047025</v>
      </c>
      <c r="V432" s="273">
        <f t="shared" si="1017"/>
        <v>81464.434461110504</v>
      </c>
    </row>
    <row r="433" spans="10:23" ht="15.5">
      <c r="J433" s="270" t="s">
        <v>419</v>
      </c>
      <c r="K433" s="272"/>
      <c r="L433" s="273">
        <f>M424*$G$14</f>
        <v>24153.655773333336</v>
      </c>
      <c r="M433" s="273">
        <f t="shared" ref="M433:V433" si="1018">N424*$G$14</f>
        <v>24755.265369873217</v>
      </c>
      <c r="N433" s="273">
        <f t="shared" si="1018"/>
        <v>25371.859617599872</v>
      </c>
      <c r="O433" s="273">
        <f t="shared" si="1018"/>
        <v>26003.811748211207</v>
      </c>
      <c r="P433" s="273">
        <f t="shared" si="1018"/>
        <v>26651.504289710952</v>
      </c>
      <c r="Q433" s="273">
        <f t="shared" si="1018"/>
        <v>27315.32929795736</v>
      </c>
      <c r="R433" s="273">
        <f t="shared" si="1018"/>
        <v>27995.688593979168</v>
      </c>
      <c r="S433" s="273">
        <f t="shared" si="1018"/>
        <v>28692.994007202564</v>
      </c>
      <c r="T433" s="273">
        <f t="shared" si="1018"/>
        <v>29407.667624736368</v>
      </c>
      <c r="U433" s="273">
        <f t="shared" si="1018"/>
        <v>30140.142046866255</v>
      </c>
      <c r="V433" s="273">
        <f t="shared" si="1018"/>
        <v>0</v>
      </c>
    </row>
    <row r="434" spans="10:23" ht="16" thickBot="1">
      <c r="J434" s="270" t="s">
        <v>416</v>
      </c>
      <c r="K434" s="290">
        <f>L424*$G$14</f>
        <v>23566.666666666664</v>
      </c>
      <c r="L434" s="273">
        <f>L433-K434</f>
        <v>586.98910666667143</v>
      </c>
      <c r="M434" s="273">
        <f>M433-L433</f>
        <v>601.60959653988175</v>
      </c>
      <c r="N434" s="273">
        <f t="shared" ref="N434:V434" si="1019">N433-M433</f>
        <v>616.59424772665443</v>
      </c>
      <c r="O434" s="273">
        <f t="shared" si="1019"/>
        <v>631.95213061133472</v>
      </c>
      <c r="P434" s="273">
        <f t="shared" si="1019"/>
        <v>647.69254149974586</v>
      </c>
      <c r="Q434" s="273">
        <f t="shared" si="1019"/>
        <v>663.82500824640738</v>
      </c>
      <c r="R434" s="273">
        <f t="shared" si="1019"/>
        <v>680.3592960218084</v>
      </c>
      <c r="S434" s="273">
        <f t="shared" si="1019"/>
        <v>697.30541322339559</v>
      </c>
      <c r="T434" s="273">
        <f t="shared" si="1019"/>
        <v>714.67361753380465</v>
      </c>
      <c r="U434" s="273">
        <f t="shared" si="1019"/>
        <v>732.47442212988608</v>
      </c>
      <c r="V434" s="273">
        <f t="shared" si="1019"/>
        <v>-30140.142046866255</v>
      </c>
    </row>
    <row r="435" spans="10:23" ht="15.5">
      <c r="J435" s="271" t="s">
        <v>417</v>
      </c>
      <c r="K435" s="275">
        <f>K432-K434</f>
        <v>-23566.666666666664</v>
      </c>
      <c r="L435" s="275">
        <f t="shared" ref="L435:V435" si="1020">L432-L434</f>
        <v>62939.810893333328</v>
      </c>
      <c r="M435" s="275">
        <f t="shared" si="1020"/>
        <v>64525.756207140119</v>
      </c>
      <c r="N435" s="275">
        <f t="shared" si="1020"/>
        <v>66151.473213881909</v>
      </c>
      <c r="O435" s="275">
        <f t="shared" si="1020"/>
        <v>67817.956510294796</v>
      </c>
      <c r="P435" s="275">
        <f t="shared" si="1020"/>
        <v>69526.22552486739</v>
      </c>
      <c r="Q435" s="275">
        <f t="shared" si="1020"/>
        <v>71277.325137206819</v>
      </c>
      <c r="R435" s="275">
        <f t="shared" si="1020"/>
        <v>73072.32631284502</v>
      </c>
      <c r="S435" s="275">
        <f t="shared" si="1020"/>
        <v>74912.326753869042</v>
      </c>
      <c r="T435" s="275">
        <f t="shared" si="1020"/>
        <v>76798.451565770316</v>
      </c>
      <c r="U435" s="275">
        <f t="shared" si="1020"/>
        <v>78731.853940917135</v>
      </c>
      <c r="V435" s="275">
        <f t="shared" si="1020"/>
        <v>111604.57650797676</v>
      </c>
      <c r="W435" s="295" t="s">
        <v>360</v>
      </c>
    </row>
    <row r="436" spans="10:23" ht="16" thickBot="1">
      <c r="J436" s="271" t="s">
        <v>367</v>
      </c>
      <c r="K436" s="291">
        <f>K435/(1+$G$16)^(K419-$G$15)</f>
        <v>-15387.324889749792</v>
      </c>
      <c r="L436" s="291">
        <f t="shared" ref="L436:V436" si="1021">L435/(1+$G$16)^(L419-$G$15)</f>
        <v>36940.829174876868</v>
      </c>
      <c r="M436" s="291">
        <f t="shared" si="1021"/>
        <v>34043.213602516669</v>
      </c>
      <c r="N436" s="291">
        <f t="shared" si="1021"/>
        <v>31372.794767377382</v>
      </c>
      <c r="O436" s="291">
        <f t="shared" si="1021"/>
        <v>28911.766556015507</v>
      </c>
      <c r="P436" s="291">
        <f t="shared" si="1021"/>
        <v>26643.71767306298</v>
      </c>
      <c r="Q436" s="291">
        <f t="shared" si="1021"/>
        <v>24553.522441954003</v>
      </c>
      <c r="R436" s="291">
        <f t="shared" si="1021"/>
        <v>22627.240149317488</v>
      </c>
      <c r="S436" s="291">
        <f t="shared" si="1021"/>
        <v>20852.022265067524</v>
      </c>
      <c r="T436" s="291">
        <f t="shared" si="1021"/>
        <v>19216.026922405781</v>
      </c>
      <c r="U436" s="291">
        <f t="shared" si="1021"/>
        <v>17708.34009005782</v>
      </c>
      <c r="V436" s="291">
        <f t="shared" si="1021"/>
        <v>22564.495133726796</v>
      </c>
      <c r="W436" s="294">
        <f>SUM(K436:V436)</f>
        <v>270046.64388662903</v>
      </c>
    </row>
    <row r="441" spans="10:23">
      <c r="J441">
        <v>1111211</v>
      </c>
    </row>
    <row r="443" spans="10:23" ht="15.5">
      <c r="J443" s="276" t="s">
        <v>407</v>
      </c>
      <c r="K443" s="276">
        <v>2013</v>
      </c>
      <c r="L443" s="276">
        <v>2014</v>
      </c>
      <c r="M443" s="276">
        <v>2015</v>
      </c>
      <c r="N443" s="276">
        <v>2016</v>
      </c>
      <c r="O443" s="276">
        <v>2017</v>
      </c>
      <c r="P443" s="276">
        <v>2018</v>
      </c>
      <c r="Q443" s="276">
        <v>2019</v>
      </c>
      <c r="R443" s="276">
        <v>2020</v>
      </c>
      <c r="S443" s="276">
        <v>2021</v>
      </c>
      <c r="T443" s="276">
        <v>2022</v>
      </c>
      <c r="U443" s="276">
        <v>2023</v>
      </c>
      <c r="V443" s="276">
        <v>2024</v>
      </c>
    </row>
    <row r="444" spans="10:23">
      <c r="J444" s="269" t="s">
        <v>33</v>
      </c>
      <c r="K444" s="277">
        <f>Données!$C$5</f>
        <v>560000</v>
      </c>
      <c r="L444" s="278">
        <f>K444*(1+$D$12)</f>
        <v>571200</v>
      </c>
      <c r="M444" s="278">
        <f t="shared" ref="M444:V444" si="1022">L444*(1+$D$12)</f>
        <v>582624</v>
      </c>
      <c r="N444" s="278">
        <f t="shared" si="1022"/>
        <v>594276.48</v>
      </c>
      <c r="O444" s="278">
        <f t="shared" si="1022"/>
        <v>606162.00959999999</v>
      </c>
      <c r="P444" s="278">
        <f t="shared" si="1022"/>
        <v>618285.24979200005</v>
      </c>
      <c r="Q444" s="278">
        <f t="shared" si="1022"/>
        <v>630650.95478784002</v>
      </c>
      <c r="R444" s="278">
        <f t="shared" si="1022"/>
        <v>643263.97388359683</v>
      </c>
      <c r="S444" s="278">
        <f t="shared" si="1022"/>
        <v>656129.25336126878</v>
      </c>
      <c r="T444" s="278">
        <f t="shared" si="1022"/>
        <v>669251.83842849417</v>
      </c>
      <c r="U444" s="278">
        <f t="shared" si="1022"/>
        <v>682636.87519706402</v>
      </c>
      <c r="V444" s="278">
        <f t="shared" si="1022"/>
        <v>696289.6127010053</v>
      </c>
    </row>
    <row r="445" spans="10:23">
      <c r="J445" s="269" t="s">
        <v>408</v>
      </c>
      <c r="K445" s="279"/>
      <c r="L445" s="278">
        <f>L444+$D$14</f>
        <v>571201</v>
      </c>
      <c r="M445" s="278">
        <f t="shared" ref="M445:V445" si="1023">M444+$D$14</f>
        <v>582625</v>
      </c>
      <c r="N445" s="278">
        <f t="shared" si="1023"/>
        <v>594277.48</v>
      </c>
      <c r="O445" s="278">
        <f t="shared" si="1023"/>
        <v>606163.00959999999</v>
      </c>
      <c r="P445" s="278">
        <f t="shared" si="1023"/>
        <v>618286.24979200005</v>
      </c>
      <c r="Q445" s="278">
        <f t="shared" si="1023"/>
        <v>630651.95478784002</v>
      </c>
      <c r="R445" s="278">
        <f t="shared" si="1023"/>
        <v>643264.97388359683</v>
      </c>
      <c r="S445" s="278">
        <f t="shared" si="1023"/>
        <v>656130.25336126878</v>
      </c>
      <c r="T445" s="278">
        <f t="shared" si="1023"/>
        <v>669252.83842849417</v>
      </c>
      <c r="U445" s="278">
        <f t="shared" si="1023"/>
        <v>682637.87519706402</v>
      </c>
      <c r="V445" s="278">
        <f t="shared" si="1023"/>
        <v>696290.6127010053</v>
      </c>
    </row>
    <row r="446" spans="10:23">
      <c r="J446" s="269" t="s">
        <v>409</v>
      </c>
      <c r="K446" s="280"/>
      <c r="L446" s="278">
        <f>L445*$D$17</f>
        <v>188496.33000000002</v>
      </c>
      <c r="M446" s="278">
        <f t="shared" ref="M446:V446" si="1024">M445*$D$17</f>
        <v>192266.25</v>
      </c>
      <c r="N446" s="278">
        <f t="shared" si="1024"/>
        <v>196111.56839999999</v>
      </c>
      <c r="O446" s="278">
        <f t="shared" si="1024"/>
        <v>200033.793168</v>
      </c>
      <c r="P446" s="278">
        <f t="shared" si="1024"/>
        <v>204034.46243136004</v>
      </c>
      <c r="Q446" s="278">
        <f t="shared" si="1024"/>
        <v>208115.14507998721</v>
      </c>
      <c r="R446" s="278">
        <f t="shared" si="1024"/>
        <v>212277.44138158698</v>
      </c>
      <c r="S446" s="278">
        <f t="shared" si="1024"/>
        <v>216522.9836092187</v>
      </c>
      <c r="T446" s="278">
        <f t="shared" si="1024"/>
        <v>220853.43668140308</v>
      </c>
      <c r="U446" s="278">
        <f t="shared" si="1024"/>
        <v>225270.49881503114</v>
      </c>
      <c r="V446" s="278">
        <f t="shared" si="1024"/>
        <v>229775.90219133176</v>
      </c>
    </row>
    <row r="447" spans="10:23">
      <c r="J447" s="269" t="s">
        <v>410</v>
      </c>
      <c r="K447" s="281"/>
      <c r="L447" s="288">
        <f>D19</f>
        <v>1</v>
      </c>
      <c r="M447" s="288">
        <f>L447*(1+$G$12)</f>
        <v>1.0147600000000001</v>
      </c>
      <c r="N447" s="288">
        <f t="shared" ref="N447:V447" si="1025">M447*(1+$G$12)</f>
        <v>1.0297378576000003</v>
      </c>
      <c r="O447" s="288">
        <f t="shared" si="1025"/>
        <v>1.0449367883781764</v>
      </c>
      <c r="P447" s="288">
        <f t="shared" si="1025"/>
        <v>1.0603600553746384</v>
      </c>
      <c r="Q447" s="288">
        <f t="shared" si="1025"/>
        <v>1.0760109697919682</v>
      </c>
      <c r="R447" s="288">
        <f t="shared" si="1025"/>
        <v>1.0918928917060977</v>
      </c>
      <c r="S447" s="288">
        <f t="shared" si="1025"/>
        <v>1.1080092307876799</v>
      </c>
      <c r="T447" s="288">
        <f t="shared" si="1025"/>
        <v>1.1243634470341062</v>
      </c>
      <c r="U447" s="288">
        <f t="shared" si="1025"/>
        <v>1.1409590515123298</v>
      </c>
      <c r="V447" s="288">
        <f t="shared" si="1025"/>
        <v>1.157799607112652</v>
      </c>
    </row>
    <row r="448" spans="10:23" ht="15.5">
      <c r="J448" s="270" t="s">
        <v>411</v>
      </c>
      <c r="K448" s="282"/>
      <c r="L448" s="273">
        <f>L446*L447</f>
        <v>188496.33000000002</v>
      </c>
      <c r="M448" s="273">
        <f t="shared" ref="M448:V448" si="1026">M446*M447</f>
        <v>195104.09985000003</v>
      </c>
      <c r="N448" s="273">
        <f t="shared" si="1026"/>
        <v>201943.50629479191</v>
      </c>
      <c r="O448" s="273">
        <f t="shared" si="1026"/>
        <v>209022.66940007432</v>
      </c>
      <c r="P448" s="273">
        <f t="shared" si="1026"/>
        <v>216349.99388205149</v>
      </c>
      <c r="Q448" s="273">
        <f t="shared" si="1026"/>
        <v>223934.1790859132</v>
      </c>
      <c r="R448" s="273">
        <f t="shared" si="1026"/>
        <v>231784.22931411266</v>
      </c>
      <c r="S448" s="273">
        <f t="shared" si="1026"/>
        <v>239909.46451670383</v>
      </c>
      <c r="T448" s="273">
        <f t="shared" si="1026"/>
        <v>248319.53135643108</v>
      </c>
      <c r="U448" s="273">
        <f t="shared" si="1026"/>
        <v>257024.41466170733</v>
      </c>
      <c r="V448" s="273">
        <f t="shared" si="1026"/>
        <v>266034.44928107905</v>
      </c>
    </row>
    <row r="449" spans="6:23">
      <c r="J449" s="283" t="s">
        <v>34</v>
      </c>
      <c r="K449" s="274"/>
      <c r="L449" s="289">
        <f>D20</f>
        <v>0.2</v>
      </c>
      <c r="M449" s="289">
        <f>L449*(1+$G$12)</f>
        <v>0.20295200000000002</v>
      </c>
      <c r="N449" s="289">
        <f t="shared" ref="N449:V449" si="1027">M449*(1+$G$12)</f>
        <v>0.20594757152000004</v>
      </c>
      <c r="O449" s="289">
        <f t="shared" si="1027"/>
        <v>0.20898735767563525</v>
      </c>
      <c r="P449" s="289">
        <f t="shared" si="1027"/>
        <v>0.21207201107492765</v>
      </c>
      <c r="Q449" s="289">
        <f t="shared" si="1027"/>
        <v>0.2152021939583936</v>
      </c>
      <c r="R449" s="289">
        <f t="shared" si="1027"/>
        <v>0.21837857834121951</v>
      </c>
      <c r="S449" s="289">
        <f t="shared" si="1027"/>
        <v>0.22160184615753595</v>
      </c>
      <c r="T449" s="289">
        <f t="shared" si="1027"/>
        <v>0.2248726894068212</v>
      </c>
      <c r="U449" s="289">
        <f t="shared" si="1027"/>
        <v>0.22819181030246591</v>
      </c>
      <c r="V449" s="289">
        <f t="shared" si="1027"/>
        <v>0.23155992142253032</v>
      </c>
    </row>
    <row r="450" spans="6:23" ht="15.5">
      <c r="J450" s="270" t="s">
        <v>412</v>
      </c>
      <c r="K450" s="282"/>
      <c r="L450" s="273">
        <f>L446*L449</f>
        <v>37699.266000000003</v>
      </c>
      <c r="M450" s="273">
        <f t="shared" ref="M450:V450" si="1028">M446*M449</f>
        <v>39020.819970000004</v>
      </c>
      <c r="N450" s="273">
        <f t="shared" si="1028"/>
        <v>40388.701258958376</v>
      </c>
      <c r="O450" s="273">
        <f t="shared" si="1028"/>
        <v>41804.53388001486</v>
      </c>
      <c r="P450" s="273">
        <f t="shared" si="1028"/>
        <v>43269.998776410299</v>
      </c>
      <c r="Q450" s="273">
        <f t="shared" si="1028"/>
        <v>44786.835817182633</v>
      </c>
      <c r="R450" s="273">
        <f t="shared" si="1028"/>
        <v>46356.845862822527</v>
      </c>
      <c r="S450" s="273">
        <f t="shared" si="1028"/>
        <v>47981.892903340762</v>
      </c>
      <c r="T450" s="273">
        <f t="shared" si="1028"/>
        <v>49663.906271286207</v>
      </c>
      <c r="U450" s="273">
        <f t="shared" si="1028"/>
        <v>51404.882932341454</v>
      </c>
      <c r="V450" s="273">
        <f t="shared" si="1028"/>
        <v>53206.889856215792</v>
      </c>
    </row>
    <row r="451" spans="6:23">
      <c r="F451" s="10"/>
      <c r="J451" s="285" t="s">
        <v>418</v>
      </c>
      <c r="K451" s="274"/>
      <c r="L451" s="274">
        <f>L448*0.03</f>
        <v>5654.8899000000001</v>
      </c>
      <c r="M451" s="274">
        <f t="shared" ref="M451:V451" si="1029">M448*0.03</f>
        <v>5853.1229955000008</v>
      </c>
      <c r="N451" s="274">
        <f t="shared" si="1029"/>
        <v>6058.3051888437567</v>
      </c>
      <c r="O451" s="274">
        <f t="shared" si="1029"/>
        <v>6270.680082002229</v>
      </c>
      <c r="P451" s="274">
        <f t="shared" si="1029"/>
        <v>6490.4998164615445</v>
      </c>
      <c r="Q451" s="274">
        <f t="shared" si="1029"/>
        <v>6718.0253725773955</v>
      </c>
      <c r="R451" s="274">
        <f t="shared" si="1029"/>
        <v>6953.5268794233798</v>
      </c>
      <c r="S451" s="274">
        <f t="shared" si="1029"/>
        <v>7197.2839355011147</v>
      </c>
      <c r="T451" s="274">
        <f t="shared" si="1029"/>
        <v>7449.5859406929321</v>
      </c>
      <c r="U451" s="274">
        <f t="shared" si="1029"/>
        <v>7710.7324398512192</v>
      </c>
      <c r="V451" s="274">
        <f t="shared" si="1029"/>
        <v>7981.0334784323713</v>
      </c>
    </row>
    <row r="452" spans="6:23">
      <c r="F452" s="10"/>
      <c r="J452" s="285" t="s">
        <v>413</v>
      </c>
      <c r="K452" s="274"/>
      <c r="L452" s="284">
        <f>D23</f>
        <v>3000</v>
      </c>
      <c r="M452" s="274">
        <f>L452*(1+$G$12)</f>
        <v>3044.28</v>
      </c>
      <c r="N452" s="274">
        <f t="shared" ref="N452:V452" si="1030">M452*(1+$G$12)</f>
        <v>3089.2135728000007</v>
      </c>
      <c r="O452" s="274">
        <f t="shared" si="1030"/>
        <v>3134.8103651345291</v>
      </c>
      <c r="P452" s="274">
        <f t="shared" si="1030"/>
        <v>3181.0801661239152</v>
      </c>
      <c r="Q452" s="274">
        <f t="shared" si="1030"/>
        <v>3228.0329093759046</v>
      </c>
      <c r="R452" s="274">
        <f t="shared" si="1030"/>
        <v>3275.6786751182935</v>
      </c>
      <c r="S452" s="274">
        <f t="shared" si="1030"/>
        <v>3324.0276923630399</v>
      </c>
      <c r="T452" s="274">
        <f t="shared" si="1030"/>
        <v>3373.0903411023187</v>
      </c>
      <c r="U452" s="274">
        <f t="shared" si="1030"/>
        <v>3422.8771545369891</v>
      </c>
      <c r="V452" s="274">
        <f t="shared" si="1030"/>
        <v>3473.3988213379553</v>
      </c>
    </row>
    <row r="453" spans="6:23" ht="15.5">
      <c r="F453" s="10"/>
      <c r="J453" s="270" t="s">
        <v>35</v>
      </c>
      <c r="K453" s="282"/>
      <c r="L453" s="273">
        <f>L451+L452</f>
        <v>8654.8899000000001</v>
      </c>
      <c r="M453" s="273">
        <f t="shared" ref="M453:V453" si="1031">M451+M452</f>
        <v>8897.4029955000005</v>
      </c>
      <c r="N453" s="273">
        <f t="shared" si="1031"/>
        <v>9147.5187616437579</v>
      </c>
      <c r="O453" s="273">
        <f t="shared" si="1031"/>
        <v>9405.490447136759</v>
      </c>
      <c r="P453" s="273">
        <f t="shared" si="1031"/>
        <v>9671.5799825854592</v>
      </c>
      <c r="Q453" s="273">
        <f t="shared" si="1031"/>
        <v>9946.058281953301</v>
      </c>
      <c r="R453" s="273">
        <f t="shared" si="1031"/>
        <v>10229.205554541673</v>
      </c>
      <c r="S453" s="273">
        <f t="shared" si="1031"/>
        <v>10521.311627864154</v>
      </c>
      <c r="T453" s="273">
        <f t="shared" si="1031"/>
        <v>10822.676281795251</v>
      </c>
      <c r="U453" s="273">
        <f t="shared" si="1031"/>
        <v>11133.609594388208</v>
      </c>
      <c r="V453" s="273">
        <f t="shared" si="1031"/>
        <v>11454.432299770328</v>
      </c>
    </row>
    <row r="454" spans="6:23">
      <c r="F454" s="10"/>
      <c r="J454" s="286" t="s">
        <v>414</v>
      </c>
      <c r="K454" s="274"/>
      <c r="L454" s="274">
        <f>L448-L450-L453</f>
        <v>142142.1741</v>
      </c>
      <c r="M454" s="274">
        <f t="shared" ref="M454:V454" si="1032">M448-M450-M453</f>
        <v>147185.87688450003</v>
      </c>
      <c r="N454" s="274">
        <f t="shared" si="1032"/>
        <v>152407.28627418977</v>
      </c>
      <c r="O454" s="274">
        <f t="shared" si="1032"/>
        <v>157812.64507292269</v>
      </c>
      <c r="P454" s="274">
        <f t="shared" si="1032"/>
        <v>163408.41512305575</v>
      </c>
      <c r="Q454" s="274">
        <f t="shared" si="1032"/>
        <v>169201.28498677726</v>
      </c>
      <c r="R454" s="274">
        <f t="shared" si="1032"/>
        <v>175198.17789674847</v>
      </c>
      <c r="S454" s="274">
        <f t="shared" si="1032"/>
        <v>181406.25998549891</v>
      </c>
      <c r="T454" s="274">
        <f t="shared" si="1032"/>
        <v>187832.94880334963</v>
      </c>
      <c r="U454" s="274">
        <f t="shared" si="1032"/>
        <v>194485.92213497768</v>
      </c>
      <c r="V454" s="274">
        <f t="shared" si="1032"/>
        <v>201373.12712509293</v>
      </c>
    </row>
    <row r="455" spans="6:23">
      <c r="J455" s="286" t="s">
        <v>415</v>
      </c>
      <c r="K455" s="274"/>
      <c r="L455" s="274">
        <f>L454*$G$13</f>
        <v>56856.869640000004</v>
      </c>
      <c r="M455" s="274">
        <f t="shared" ref="M455:V455" si="1033">M454*$G$13</f>
        <v>58874.350753800012</v>
      </c>
      <c r="N455" s="274">
        <f t="shared" si="1033"/>
        <v>60962.914509675909</v>
      </c>
      <c r="O455" s="274">
        <f t="shared" si="1033"/>
        <v>63125.058029169079</v>
      </c>
      <c r="P455" s="274">
        <f t="shared" si="1033"/>
        <v>65363.366049222299</v>
      </c>
      <c r="Q455" s="274">
        <f t="shared" si="1033"/>
        <v>67680.513994710913</v>
      </c>
      <c r="R455" s="274">
        <f t="shared" si="1033"/>
        <v>70079.271158699397</v>
      </c>
      <c r="S455" s="274">
        <f t="shared" si="1033"/>
        <v>72562.503994199564</v>
      </c>
      <c r="T455" s="274">
        <f t="shared" si="1033"/>
        <v>75133.179521339858</v>
      </c>
      <c r="U455" s="274">
        <f t="shared" si="1033"/>
        <v>77794.36885399108</v>
      </c>
      <c r="V455" s="274">
        <f t="shared" si="1033"/>
        <v>80549.250850037177</v>
      </c>
    </row>
    <row r="456" spans="6:23" ht="15.5">
      <c r="J456" s="270" t="s">
        <v>358</v>
      </c>
      <c r="K456" s="272"/>
      <c r="L456" s="273">
        <f>L454-L455</f>
        <v>85285.304459999999</v>
      </c>
      <c r="M456" s="273">
        <f t="shared" ref="M456:V456" si="1034">M454-M455</f>
        <v>88311.526130700018</v>
      </c>
      <c r="N456" s="273">
        <f t="shared" si="1034"/>
        <v>91444.371764513868</v>
      </c>
      <c r="O456" s="273">
        <f t="shared" si="1034"/>
        <v>94687.587043753621</v>
      </c>
      <c r="P456" s="273">
        <f t="shared" si="1034"/>
        <v>98045.049073833448</v>
      </c>
      <c r="Q456" s="273">
        <f t="shared" si="1034"/>
        <v>101520.77099206635</v>
      </c>
      <c r="R456" s="273">
        <f t="shared" si="1034"/>
        <v>105118.90673804907</v>
      </c>
      <c r="S456" s="273">
        <f t="shared" si="1034"/>
        <v>108843.75599129935</v>
      </c>
      <c r="T456" s="273">
        <f t="shared" si="1034"/>
        <v>112699.76928200977</v>
      </c>
      <c r="U456" s="273">
        <f t="shared" si="1034"/>
        <v>116691.5532809866</v>
      </c>
      <c r="V456" s="273">
        <f t="shared" si="1034"/>
        <v>120823.87627505575</v>
      </c>
    </row>
    <row r="457" spans="6:23" ht="15.5">
      <c r="J457" s="270" t="s">
        <v>419</v>
      </c>
      <c r="K457" s="272"/>
      <c r="L457" s="273">
        <f>M448*$G$14</f>
        <v>32517.349975000005</v>
      </c>
      <c r="M457" s="273">
        <f t="shared" ref="M457:V457" si="1035">N448*$G$14</f>
        <v>33657.251049131984</v>
      </c>
      <c r="N457" s="273">
        <f t="shared" si="1035"/>
        <v>34837.11156667905</v>
      </c>
      <c r="O457" s="273">
        <f t="shared" si="1035"/>
        <v>36058.332313675244</v>
      </c>
      <c r="P457" s="273">
        <f t="shared" si="1035"/>
        <v>37322.363180985529</v>
      </c>
      <c r="Q457" s="273">
        <f t="shared" si="1035"/>
        <v>38630.704885685438</v>
      </c>
      <c r="R457" s="273">
        <f t="shared" si="1035"/>
        <v>39984.910752783966</v>
      </c>
      <c r="S457" s="273">
        <f t="shared" si="1035"/>
        <v>41386.58855940518</v>
      </c>
      <c r="T457" s="273">
        <f t="shared" si="1035"/>
        <v>42837.402443617888</v>
      </c>
      <c r="U457" s="273">
        <f t="shared" si="1035"/>
        <v>44339.07488017984</v>
      </c>
      <c r="V457" s="273">
        <f t="shared" si="1035"/>
        <v>0</v>
      </c>
    </row>
    <row r="458" spans="6:23" ht="16" thickBot="1">
      <c r="J458" s="270" t="s">
        <v>416</v>
      </c>
      <c r="K458" s="290">
        <f>L448*$G$14</f>
        <v>31416.055</v>
      </c>
      <c r="L458" s="273">
        <f>L457-K458</f>
        <v>1101.2949750000043</v>
      </c>
      <c r="M458" s="273">
        <f>M457-L457</f>
        <v>1139.9010741319798</v>
      </c>
      <c r="N458" s="273">
        <f t="shared" ref="N458:V458" si="1036">N457-M457</f>
        <v>1179.8605175470657</v>
      </c>
      <c r="O458" s="273">
        <f t="shared" si="1036"/>
        <v>1221.2207469961941</v>
      </c>
      <c r="P458" s="273">
        <f t="shared" si="1036"/>
        <v>1264.0308673102845</v>
      </c>
      <c r="Q458" s="273">
        <f t="shared" si="1036"/>
        <v>1308.3417046999093</v>
      </c>
      <c r="R458" s="273">
        <f t="shared" si="1036"/>
        <v>1354.205867098528</v>
      </c>
      <c r="S458" s="273">
        <f t="shared" si="1036"/>
        <v>1401.6778066212137</v>
      </c>
      <c r="T458" s="273">
        <f t="shared" si="1036"/>
        <v>1450.8138842127082</v>
      </c>
      <c r="U458" s="273">
        <f t="shared" si="1036"/>
        <v>1501.6724365619521</v>
      </c>
      <c r="V458" s="273">
        <f t="shared" si="1036"/>
        <v>-44339.07488017984</v>
      </c>
    </row>
    <row r="459" spans="6:23" ht="15.5">
      <c r="J459" s="271" t="s">
        <v>417</v>
      </c>
      <c r="K459" s="275">
        <f>K456-K458</f>
        <v>-31416.055</v>
      </c>
      <c r="L459" s="275">
        <f t="shared" ref="L459:V459" si="1037">L456-L458</f>
        <v>84184.009484999988</v>
      </c>
      <c r="M459" s="275">
        <f t="shared" si="1037"/>
        <v>87171.625056568038</v>
      </c>
      <c r="N459" s="275">
        <f t="shared" si="1037"/>
        <v>90264.511246966809</v>
      </c>
      <c r="O459" s="275">
        <f t="shared" si="1037"/>
        <v>93466.36629675742</v>
      </c>
      <c r="P459" s="275">
        <f t="shared" si="1037"/>
        <v>96781.018206523164</v>
      </c>
      <c r="Q459" s="275">
        <f t="shared" si="1037"/>
        <v>100212.42928736644</v>
      </c>
      <c r="R459" s="275">
        <f t="shared" si="1037"/>
        <v>103764.70087095055</v>
      </c>
      <c r="S459" s="275">
        <f t="shared" si="1037"/>
        <v>107442.07818467813</v>
      </c>
      <c r="T459" s="275">
        <f t="shared" si="1037"/>
        <v>111248.95539779706</v>
      </c>
      <c r="U459" s="275">
        <f t="shared" si="1037"/>
        <v>115189.88084442465</v>
      </c>
      <c r="V459" s="275">
        <f t="shared" si="1037"/>
        <v>165162.95115523558</v>
      </c>
      <c r="W459" s="295" t="s">
        <v>360</v>
      </c>
    </row>
    <row r="460" spans="6:23" ht="16" thickBot="1">
      <c r="J460" s="271" t="s">
        <v>367</v>
      </c>
      <c r="K460" s="291">
        <f>K459/(1+$G$16)^(K443-$G$15)</f>
        <v>-20512.40643730899</v>
      </c>
      <c r="L460" s="291">
        <f t="shared" ref="L460:V460" si="1038">L459/(1+$G$16)^(L443-$G$15)</f>
        <v>49409.54015435397</v>
      </c>
      <c r="M460" s="291">
        <f t="shared" si="1038"/>
        <v>45990.97207559512</v>
      </c>
      <c r="N460" s="291">
        <f t="shared" si="1038"/>
        <v>42808.570218424895</v>
      </c>
      <c r="O460" s="291">
        <f t="shared" si="1038"/>
        <v>39846.051138398412</v>
      </c>
      <c r="P460" s="291">
        <f t="shared" si="1038"/>
        <v>37088.251314374647</v>
      </c>
      <c r="Q460" s="291">
        <f t="shared" si="1038"/>
        <v>34521.050372380792</v>
      </c>
      <c r="R460" s="291">
        <f t="shared" si="1038"/>
        <v>32131.299550762546</v>
      </c>
      <c r="S460" s="291">
        <f t="shared" si="1038"/>
        <v>29906.755050781063</v>
      </c>
      <c r="T460" s="291">
        <f t="shared" si="1038"/>
        <v>27836.01594080064</v>
      </c>
      <c r="U460" s="291">
        <f t="shared" si="1038"/>
        <v>25908.466304591973</v>
      </c>
      <c r="V460" s="291">
        <f t="shared" si="1038"/>
        <v>33393.062580618287</v>
      </c>
      <c r="W460" s="294">
        <f>SUM(K460:V460)</f>
        <v>378327.6282637734</v>
      </c>
    </row>
    <row r="465" spans="10:22">
      <c r="J465">
        <v>1111212</v>
      </c>
    </row>
    <row r="467" spans="10:22" ht="15.5">
      <c r="J467" s="276" t="s">
        <v>407</v>
      </c>
      <c r="K467" s="276">
        <v>2013</v>
      </c>
      <c r="L467" s="276">
        <v>2014</v>
      </c>
      <c r="M467" s="276">
        <v>2015</v>
      </c>
      <c r="N467" s="276">
        <v>2016</v>
      </c>
      <c r="O467" s="276">
        <v>2017</v>
      </c>
      <c r="P467" s="276">
        <v>2018</v>
      </c>
      <c r="Q467" s="276">
        <v>2019</v>
      </c>
      <c r="R467" s="276">
        <v>2020</v>
      </c>
      <c r="S467" s="276">
        <v>2021</v>
      </c>
      <c r="T467" s="276">
        <v>2022</v>
      </c>
      <c r="U467" s="276">
        <v>2023</v>
      </c>
      <c r="V467" s="276">
        <v>2024</v>
      </c>
    </row>
    <row r="468" spans="10:22">
      <c r="J468" s="269" t="s">
        <v>33</v>
      </c>
      <c r="K468" s="277">
        <f>Données!$C$5</f>
        <v>560000</v>
      </c>
      <c r="L468" s="278">
        <f>K468*(1+$D$13)</f>
        <v>565600</v>
      </c>
      <c r="M468" s="278">
        <f t="shared" ref="M468:V468" si="1039">L468*(1+$D$13)</f>
        <v>571256</v>
      </c>
      <c r="N468" s="278">
        <f t="shared" si="1039"/>
        <v>576968.56000000006</v>
      </c>
      <c r="O468" s="278">
        <f t="shared" si="1039"/>
        <v>582738.24560000002</v>
      </c>
      <c r="P468" s="278">
        <f t="shared" si="1039"/>
        <v>588565.62805599999</v>
      </c>
      <c r="Q468" s="278">
        <f t="shared" si="1039"/>
        <v>594451.28433655994</v>
      </c>
      <c r="R468" s="278">
        <f t="shared" si="1039"/>
        <v>600395.79717992549</v>
      </c>
      <c r="S468" s="278">
        <f t="shared" si="1039"/>
        <v>606399.75515172479</v>
      </c>
      <c r="T468" s="278">
        <f t="shared" si="1039"/>
        <v>612463.752703242</v>
      </c>
      <c r="U468" s="278">
        <f t="shared" si="1039"/>
        <v>618588.39023027441</v>
      </c>
      <c r="V468" s="278">
        <f t="shared" si="1039"/>
        <v>624774.27413257712</v>
      </c>
    </row>
    <row r="469" spans="10:22">
      <c r="J469" s="269" t="s">
        <v>408</v>
      </c>
      <c r="K469" s="279"/>
      <c r="L469" s="278">
        <f>L468*$D$14</f>
        <v>565600</v>
      </c>
      <c r="M469" s="278">
        <f t="shared" ref="M469:V469" si="1040">M468*$D$14</f>
        <v>571256</v>
      </c>
      <c r="N469" s="278">
        <f t="shared" si="1040"/>
        <v>576968.56000000006</v>
      </c>
      <c r="O469" s="278">
        <f t="shared" si="1040"/>
        <v>582738.24560000002</v>
      </c>
      <c r="P469" s="278">
        <f t="shared" si="1040"/>
        <v>588565.62805599999</v>
      </c>
      <c r="Q469" s="278">
        <f t="shared" si="1040"/>
        <v>594451.28433655994</v>
      </c>
      <c r="R469" s="278">
        <f t="shared" si="1040"/>
        <v>600395.79717992549</v>
      </c>
      <c r="S469" s="278">
        <f t="shared" si="1040"/>
        <v>606399.75515172479</v>
      </c>
      <c r="T469" s="278">
        <f t="shared" si="1040"/>
        <v>612463.752703242</v>
      </c>
      <c r="U469" s="278">
        <f t="shared" si="1040"/>
        <v>618588.39023027441</v>
      </c>
      <c r="V469" s="278">
        <f t="shared" si="1040"/>
        <v>624774.27413257712</v>
      </c>
    </row>
    <row r="470" spans="10:22">
      <c r="J470" s="269" t="s">
        <v>409</v>
      </c>
      <c r="K470" s="280"/>
      <c r="L470" s="278">
        <f>L469*$D$17</f>
        <v>186648</v>
      </c>
      <c r="M470" s="278">
        <f t="shared" ref="M470:V470" si="1041">M469*$D$17</f>
        <v>188514.48</v>
      </c>
      <c r="N470" s="278">
        <f t="shared" si="1041"/>
        <v>190399.62480000002</v>
      </c>
      <c r="O470" s="278">
        <f t="shared" si="1041"/>
        <v>192303.62104800003</v>
      </c>
      <c r="P470" s="278">
        <f t="shared" si="1041"/>
        <v>194226.65725848</v>
      </c>
      <c r="Q470" s="278">
        <f t="shared" si="1041"/>
        <v>196168.92383106478</v>
      </c>
      <c r="R470" s="278">
        <f t="shared" si="1041"/>
        <v>198130.61306937542</v>
      </c>
      <c r="S470" s="278">
        <f t="shared" si="1041"/>
        <v>200111.91920006918</v>
      </c>
      <c r="T470" s="278">
        <f t="shared" si="1041"/>
        <v>202113.03839206987</v>
      </c>
      <c r="U470" s="278">
        <f t="shared" si="1041"/>
        <v>204134.16877599058</v>
      </c>
      <c r="V470" s="278">
        <f t="shared" si="1041"/>
        <v>206175.51046375046</v>
      </c>
    </row>
    <row r="471" spans="10:22">
      <c r="J471" s="269" t="s">
        <v>410</v>
      </c>
      <c r="K471" s="281"/>
      <c r="L471" s="288">
        <f>D19</f>
        <v>1</v>
      </c>
      <c r="M471" s="288">
        <f>L471*(1+$G$12)</f>
        <v>1.0147600000000001</v>
      </c>
      <c r="N471" s="288">
        <f t="shared" ref="N471:V471" si="1042">M471*(1+$G$12)</f>
        <v>1.0297378576000003</v>
      </c>
      <c r="O471" s="288">
        <f t="shared" si="1042"/>
        <v>1.0449367883781764</v>
      </c>
      <c r="P471" s="288">
        <f t="shared" si="1042"/>
        <v>1.0603600553746384</v>
      </c>
      <c r="Q471" s="288">
        <f t="shared" si="1042"/>
        <v>1.0760109697919682</v>
      </c>
      <c r="R471" s="288">
        <f t="shared" si="1042"/>
        <v>1.0918928917060977</v>
      </c>
      <c r="S471" s="288">
        <f t="shared" si="1042"/>
        <v>1.1080092307876799</v>
      </c>
      <c r="T471" s="288">
        <f t="shared" si="1042"/>
        <v>1.1243634470341062</v>
      </c>
      <c r="U471" s="288">
        <f t="shared" si="1042"/>
        <v>1.1409590515123298</v>
      </c>
      <c r="V471" s="288">
        <f t="shared" si="1042"/>
        <v>1.157799607112652</v>
      </c>
    </row>
    <row r="472" spans="10:22" ht="15.5">
      <c r="J472" s="270" t="s">
        <v>411</v>
      </c>
      <c r="K472" s="282"/>
      <c r="L472" s="273">
        <f>L471*L470</f>
        <v>186648</v>
      </c>
      <c r="M472" s="273">
        <f t="shared" ref="M472:V472" si="1043">M471*M470</f>
        <v>191296.95372480003</v>
      </c>
      <c r="N472" s="273">
        <f t="shared" si="1043"/>
        <v>196061.70172939589</v>
      </c>
      <c r="O472" s="273">
        <f t="shared" si="1043"/>
        <v>200945.12817139103</v>
      </c>
      <c r="P472" s="273">
        <f t="shared" si="1043"/>
        <v>205950.18904583275</v>
      </c>
      <c r="Q472" s="273">
        <f t="shared" si="1043"/>
        <v>211079.91397451074</v>
      </c>
      <c r="R472" s="273">
        <f t="shared" si="1043"/>
        <v>216337.4080398223</v>
      </c>
      <c r="S472" s="273">
        <f t="shared" si="1043"/>
        <v>221725.85366431501</v>
      </c>
      <c r="T472" s="273">
        <f t="shared" si="1043"/>
        <v>227248.51253704433</v>
      </c>
      <c r="U472" s="273">
        <f t="shared" si="1043"/>
        <v>232908.72758791206</v>
      </c>
      <c r="V472" s="273">
        <f t="shared" si="1043"/>
        <v>238709.92501118075</v>
      </c>
    </row>
    <row r="473" spans="10:22">
      <c r="J473" s="283" t="s">
        <v>34</v>
      </c>
      <c r="K473" s="274"/>
      <c r="L473" s="289">
        <f>D20</f>
        <v>0.2</v>
      </c>
      <c r="M473" s="289">
        <f>L473*(1+$G$12)</f>
        <v>0.20295200000000002</v>
      </c>
      <c r="N473" s="289">
        <f t="shared" ref="N473:V473" si="1044">M473*(1+$G$12)</f>
        <v>0.20594757152000004</v>
      </c>
      <c r="O473" s="289">
        <f t="shared" si="1044"/>
        <v>0.20898735767563525</v>
      </c>
      <c r="P473" s="289">
        <f t="shared" si="1044"/>
        <v>0.21207201107492765</v>
      </c>
      <c r="Q473" s="289">
        <f t="shared" si="1044"/>
        <v>0.2152021939583936</v>
      </c>
      <c r="R473" s="289">
        <f t="shared" si="1044"/>
        <v>0.21837857834121951</v>
      </c>
      <c r="S473" s="289">
        <f t="shared" si="1044"/>
        <v>0.22160184615753595</v>
      </c>
      <c r="T473" s="289">
        <f t="shared" si="1044"/>
        <v>0.2248726894068212</v>
      </c>
      <c r="U473" s="289">
        <f t="shared" si="1044"/>
        <v>0.22819181030246591</v>
      </c>
      <c r="V473" s="289">
        <f t="shared" si="1044"/>
        <v>0.23155992142253032</v>
      </c>
    </row>
    <row r="474" spans="10:22" ht="15.5">
      <c r="J474" s="270" t="s">
        <v>412</v>
      </c>
      <c r="K474" s="282"/>
      <c r="L474" s="273">
        <f>L470*L473</f>
        <v>37329.599999999999</v>
      </c>
      <c r="M474" s="273">
        <f t="shared" ref="M474:V474" si="1045">M470*M473</f>
        <v>38259.390744960008</v>
      </c>
      <c r="N474" s="273">
        <f t="shared" si="1045"/>
        <v>39212.34034587918</v>
      </c>
      <c r="O474" s="273">
        <f t="shared" si="1045"/>
        <v>40189.025634278201</v>
      </c>
      <c r="P474" s="273">
        <f t="shared" si="1045"/>
        <v>41190.037809166548</v>
      </c>
      <c r="Q474" s="273">
        <f t="shared" si="1045"/>
        <v>42215.982794902142</v>
      </c>
      <c r="R474" s="273">
        <f t="shared" si="1045"/>
        <v>43267.481607964452</v>
      </c>
      <c r="S474" s="273">
        <f t="shared" si="1045"/>
        <v>44345.170732862993</v>
      </c>
      <c r="T474" s="273">
        <f t="shared" si="1045"/>
        <v>45449.70250740886</v>
      </c>
      <c r="U474" s="273">
        <f t="shared" si="1045"/>
        <v>46581.7455175824</v>
      </c>
      <c r="V474" s="273">
        <f t="shared" si="1045"/>
        <v>47741.985002236135</v>
      </c>
    </row>
    <row r="475" spans="10:22">
      <c r="J475" s="285" t="s">
        <v>418</v>
      </c>
      <c r="K475" s="274"/>
      <c r="L475" s="274">
        <f>L472*0.03</f>
        <v>5599.44</v>
      </c>
      <c r="M475" s="274">
        <f t="shared" ref="M475:V475" si="1046">M472*0.03</f>
        <v>5738.9086117440002</v>
      </c>
      <c r="N475" s="274">
        <f t="shared" si="1046"/>
        <v>5881.8510518818766</v>
      </c>
      <c r="O475" s="274">
        <f t="shared" si="1046"/>
        <v>6028.3538451417307</v>
      </c>
      <c r="P475" s="274">
        <f t="shared" si="1046"/>
        <v>6178.5056713749827</v>
      </c>
      <c r="Q475" s="274">
        <f t="shared" si="1046"/>
        <v>6332.3974192353216</v>
      </c>
      <c r="R475" s="274">
        <f t="shared" si="1046"/>
        <v>6490.1222411946692</v>
      </c>
      <c r="S475" s="274">
        <f t="shared" si="1046"/>
        <v>6651.7756099294502</v>
      </c>
      <c r="T475" s="274">
        <f t="shared" si="1046"/>
        <v>6817.4553761113293</v>
      </c>
      <c r="U475" s="274">
        <f t="shared" si="1046"/>
        <v>6987.2618276373614</v>
      </c>
      <c r="V475" s="274">
        <f t="shared" si="1046"/>
        <v>7161.2977503354223</v>
      </c>
    </row>
    <row r="476" spans="10:22">
      <c r="J476" s="285" t="s">
        <v>413</v>
      </c>
      <c r="K476" s="274"/>
      <c r="L476" s="284">
        <f>D23</f>
        <v>3000</v>
      </c>
      <c r="M476" s="274">
        <f>L476*(1+$G$12)</f>
        <v>3044.28</v>
      </c>
      <c r="N476" s="274">
        <f t="shared" ref="N476:V476" si="1047">M476*(1+$G$12)</f>
        <v>3089.2135728000007</v>
      </c>
      <c r="O476" s="274">
        <f t="shared" si="1047"/>
        <v>3134.8103651345291</v>
      </c>
      <c r="P476" s="274">
        <f t="shared" si="1047"/>
        <v>3181.0801661239152</v>
      </c>
      <c r="Q476" s="274">
        <f t="shared" si="1047"/>
        <v>3228.0329093759046</v>
      </c>
      <c r="R476" s="274">
        <f t="shared" si="1047"/>
        <v>3275.6786751182935</v>
      </c>
      <c r="S476" s="274">
        <f t="shared" si="1047"/>
        <v>3324.0276923630399</v>
      </c>
      <c r="T476" s="274">
        <f t="shared" si="1047"/>
        <v>3373.0903411023187</v>
      </c>
      <c r="U476" s="274">
        <f t="shared" si="1047"/>
        <v>3422.8771545369891</v>
      </c>
      <c r="V476" s="274">
        <f t="shared" si="1047"/>
        <v>3473.3988213379553</v>
      </c>
    </row>
    <row r="477" spans="10:22" ht="15.5">
      <c r="J477" s="270" t="s">
        <v>35</v>
      </c>
      <c r="K477" s="282"/>
      <c r="L477" s="273">
        <f>L475+L476</f>
        <v>8599.4399999999987</v>
      </c>
      <c r="M477" s="273">
        <f t="shared" ref="M477:V477" si="1048">M475+M476</f>
        <v>8783.1886117440008</v>
      </c>
      <c r="N477" s="273">
        <f t="shared" si="1048"/>
        <v>8971.0646246818778</v>
      </c>
      <c r="O477" s="273">
        <f t="shared" si="1048"/>
        <v>9163.1642102762598</v>
      </c>
      <c r="P477" s="273">
        <f t="shared" si="1048"/>
        <v>9359.5858374988984</v>
      </c>
      <c r="Q477" s="273">
        <f t="shared" si="1048"/>
        <v>9560.4303286112263</v>
      </c>
      <c r="R477" s="273">
        <f t="shared" si="1048"/>
        <v>9765.8009163129627</v>
      </c>
      <c r="S477" s="273">
        <f t="shared" si="1048"/>
        <v>9975.8033022924901</v>
      </c>
      <c r="T477" s="273">
        <f t="shared" si="1048"/>
        <v>10190.545717213648</v>
      </c>
      <c r="U477" s="273">
        <f t="shared" si="1048"/>
        <v>10410.138982174351</v>
      </c>
      <c r="V477" s="273">
        <f t="shared" si="1048"/>
        <v>10634.696571673378</v>
      </c>
    </row>
    <row r="478" spans="10:22">
      <c r="J478" s="286" t="s">
        <v>414</v>
      </c>
      <c r="K478" s="274"/>
      <c r="L478" s="274">
        <f>L472-L474-L477</f>
        <v>140718.96</v>
      </c>
      <c r="M478" s="274">
        <f t="shared" ref="M478:V478" si="1049">M472-M474-M477</f>
        <v>144254.37436809603</v>
      </c>
      <c r="N478" s="274">
        <f t="shared" si="1049"/>
        <v>147878.29675883485</v>
      </c>
      <c r="O478" s="274">
        <f t="shared" si="1049"/>
        <v>151592.93832683656</v>
      </c>
      <c r="P478" s="274">
        <f t="shared" si="1049"/>
        <v>155400.5653991673</v>
      </c>
      <c r="Q478" s="274">
        <f t="shared" si="1049"/>
        <v>159303.50085099737</v>
      </c>
      <c r="R478" s="274">
        <f t="shared" si="1049"/>
        <v>163304.1255155449</v>
      </c>
      <c r="S478" s="274">
        <f t="shared" si="1049"/>
        <v>167404.87962915955</v>
      </c>
      <c r="T478" s="274">
        <f t="shared" si="1049"/>
        <v>171608.26431242182</v>
      </c>
      <c r="U478" s="274">
        <f t="shared" si="1049"/>
        <v>175916.84308815532</v>
      </c>
      <c r="V478" s="274">
        <f t="shared" si="1049"/>
        <v>180333.24343727122</v>
      </c>
    </row>
    <row r="479" spans="10:22">
      <c r="J479" s="286" t="s">
        <v>415</v>
      </c>
      <c r="K479" s="274"/>
      <c r="L479" s="274">
        <f>L478*$G$13</f>
        <v>56287.584000000003</v>
      </c>
      <c r="M479" s="274">
        <f t="shared" ref="M479:V479" si="1050">M478*$G$13</f>
        <v>57701.749747238413</v>
      </c>
      <c r="N479" s="274">
        <f t="shared" si="1050"/>
        <v>59151.318703533943</v>
      </c>
      <c r="O479" s="274">
        <f t="shared" si="1050"/>
        <v>60637.17533073463</v>
      </c>
      <c r="P479" s="274">
        <f t="shared" si="1050"/>
        <v>62160.226159666927</v>
      </c>
      <c r="Q479" s="274">
        <f t="shared" si="1050"/>
        <v>63721.400340398948</v>
      </c>
      <c r="R479" s="274">
        <f t="shared" si="1050"/>
        <v>65321.650206217964</v>
      </c>
      <c r="S479" s="274">
        <f t="shared" si="1050"/>
        <v>66961.95185166382</v>
      </c>
      <c r="T479" s="274">
        <f t="shared" si="1050"/>
        <v>68643.305724968726</v>
      </c>
      <c r="U479" s="274">
        <f t="shared" si="1050"/>
        <v>70366.737235262131</v>
      </c>
      <c r="V479" s="274">
        <f t="shared" si="1050"/>
        <v>72133.297374908492</v>
      </c>
    </row>
    <row r="480" spans="10:22" ht="15.5">
      <c r="J480" s="270" t="s">
        <v>358</v>
      </c>
      <c r="K480" s="272"/>
      <c r="L480" s="273">
        <f>L478-L479</f>
        <v>84431.375999999989</v>
      </c>
      <c r="M480" s="273">
        <f t="shared" ref="M480:V480" si="1051">M478-M479</f>
        <v>86552.624620857619</v>
      </c>
      <c r="N480" s="273">
        <f t="shared" si="1051"/>
        <v>88726.978055300919</v>
      </c>
      <c r="O480" s="273">
        <f t="shared" si="1051"/>
        <v>90955.762996101927</v>
      </c>
      <c r="P480" s="273">
        <f t="shared" si="1051"/>
        <v>93240.339239500376</v>
      </c>
      <c r="Q480" s="273">
        <f t="shared" si="1051"/>
        <v>95582.100510598422</v>
      </c>
      <c r="R480" s="273">
        <f t="shared" si="1051"/>
        <v>97982.475309326939</v>
      </c>
      <c r="S480" s="273">
        <f t="shared" si="1051"/>
        <v>100442.92777749573</v>
      </c>
      <c r="T480" s="273">
        <f t="shared" si="1051"/>
        <v>102964.95858745309</v>
      </c>
      <c r="U480" s="273">
        <f t="shared" si="1051"/>
        <v>105550.10585289319</v>
      </c>
      <c r="V480" s="273">
        <f t="shared" si="1051"/>
        <v>108199.94606236272</v>
      </c>
    </row>
    <row r="481" spans="10:23" ht="15.5">
      <c r="J481" s="270" t="s">
        <v>419</v>
      </c>
      <c r="K481" s="272"/>
      <c r="L481" s="273">
        <f>M472*$G$14</f>
        <v>31882.825620800002</v>
      </c>
      <c r="M481" s="273">
        <f t="shared" ref="M481:V481" si="1052">N472*$G$14</f>
        <v>32676.950288232649</v>
      </c>
      <c r="N481" s="273">
        <f t="shared" si="1052"/>
        <v>33490.854695231836</v>
      </c>
      <c r="O481" s="273">
        <f t="shared" si="1052"/>
        <v>34325.031507638792</v>
      </c>
      <c r="P481" s="273">
        <f t="shared" si="1052"/>
        <v>35179.985662418454</v>
      </c>
      <c r="Q481" s="273">
        <f t="shared" si="1052"/>
        <v>36056.234673303712</v>
      </c>
      <c r="R481" s="273">
        <f t="shared" si="1052"/>
        <v>36954.3089440525</v>
      </c>
      <c r="S481" s="273">
        <f t="shared" si="1052"/>
        <v>37874.752089507383</v>
      </c>
      <c r="T481" s="273">
        <f t="shared" si="1052"/>
        <v>38818.121264652007</v>
      </c>
      <c r="U481" s="273">
        <f t="shared" si="1052"/>
        <v>39784.987501863456</v>
      </c>
      <c r="V481" s="273">
        <f t="shared" si="1052"/>
        <v>0</v>
      </c>
    </row>
    <row r="482" spans="10:23" ht="16" thickBot="1">
      <c r="J482" s="270" t="s">
        <v>416</v>
      </c>
      <c r="K482" s="290">
        <f>L472*G14</f>
        <v>31108</v>
      </c>
      <c r="L482" s="273">
        <f>L481-K482</f>
        <v>774.82562080000207</v>
      </c>
      <c r="M482" s="273">
        <f t="shared" ref="M482:V482" si="1053">M481-L482</f>
        <v>31902.124667432647</v>
      </c>
      <c r="N482" s="273">
        <f t="shared" si="1053"/>
        <v>1588.730027799189</v>
      </c>
      <c r="O482" s="273">
        <f t="shared" si="1053"/>
        <v>32736.301479839603</v>
      </c>
      <c r="P482" s="273">
        <f t="shared" si="1053"/>
        <v>2443.6841825788506</v>
      </c>
      <c r="Q482" s="273">
        <f t="shared" si="1053"/>
        <v>33612.550490724861</v>
      </c>
      <c r="R482" s="273">
        <f t="shared" si="1053"/>
        <v>3341.7584533276386</v>
      </c>
      <c r="S482" s="273">
        <f t="shared" si="1053"/>
        <v>34532.993636179744</v>
      </c>
      <c r="T482" s="273">
        <f t="shared" si="1053"/>
        <v>4285.1276284722626</v>
      </c>
      <c r="U482" s="273">
        <f t="shared" si="1053"/>
        <v>35499.859873391193</v>
      </c>
      <c r="V482" s="273">
        <f t="shared" si="1053"/>
        <v>-35499.859873391193</v>
      </c>
    </row>
    <row r="483" spans="10:23" ht="15.5">
      <c r="J483" s="271" t="s">
        <v>417</v>
      </c>
      <c r="K483" s="275">
        <f>K480-K482</f>
        <v>-31108</v>
      </c>
      <c r="L483" s="275">
        <f t="shared" ref="L483:V483" si="1054">L480-L482</f>
        <v>83656.550379199994</v>
      </c>
      <c r="M483" s="275">
        <f t="shared" si="1054"/>
        <v>54650.499953424973</v>
      </c>
      <c r="N483" s="275">
        <f t="shared" si="1054"/>
        <v>87138.24802750173</v>
      </c>
      <c r="O483" s="275">
        <f t="shared" si="1054"/>
        <v>58219.461516262323</v>
      </c>
      <c r="P483" s="275">
        <f t="shared" si="1054"/>
        <v>90796.655056921532</v>
      </c>
      <c r="Q483" s="275">
        <f t="shared" si="1054"/>
        <v>61969.550019873561</v>
      </c>
      <c r="R483" s="275">
        <f t="shared" si="1054"/>
        <v>94640.716855999301</v>
      </c>
      <c r="S483" s="275">
        <f t="shared" si="1054"/>
        <v>65909.934141315985</v>
      </c>
      <c r="T483" s="275">
        <f t="shared" si="1054"/>
        <v>98679.830958980834</v>
      </c>
      <c r="U483" s="275">
        <f t="shared" si="1054"/>
        <v>70050.245979501997</v>
      </c>
      <c r="V483" s="275">
        <f t="shared" si="1054"/>
        <v>143699.80593575392</v>
      </c>
      <c r="W483" s="295" t="s">
        <v>360</v>
      </c>
    </row>
    <row r="484" spans="10:23" ht="16" thickBot="1">
      <c r="J484" s="271" t="s">
        <v>367</v>
      </c>
      <c r="K484" s="291">
        <f>K483/(1+$G$16)^(K467-$G$15)</f>
        <v>-20311.26885446973</v>
      </c>
      <c r="L484" s="291">
        <f t="shared" ref="L484:V484" si="1055">L483/(1+$G$16)^(L467-$G$15)</f>
        <v>49099.962218743196</v>
      </c>
      <c r="M484" s="291">
        <f t="shared" si="1055"/>
        <v>28833.116460135367</v>
      </c>
      <c r="N484" s="291">
        <f t="shared" si="1055"/>
        <v>41325.918213745179</v>
      </c>
      <c r="O484" s="291">
        <f t="shared" si="1055"/>
        <v>24819.790612823763</v>
      </c>
      <c r="P484" s="291">
        <f t="shared" si="1055"/>
        <v>34794.934209823376</v>
      </c>
      <c r="Q484" s="291">
        <f t="shared" si="1055"/>
        <v>21347.191890292968</v>
      </c>
      <c r="R484" s="291">
        <f t="shared" si="1055"/>
        <v>29306.008666482256</v>
      </c>
      <c r="S484" s="291">
        <f t="shared" si="1055"/>
        <v>18346.185117429595</v>
      </c>
      <c r="T484" s="291">
        <f t="shared" si="1055"/>
        <v>24691.048448838701</v>
      </c>
      <c r="U484" s="291">
        <f t="shared" si="1055"/>
        <v>15755.675969831947</v>
      </c>
      <c r="V484" s="291">
        <f t="shared" si="1055"/>
        <v>29053.58967535754</v>
      </c>
      <c r="W484" s="294">
        <f>SUM(K484:V484)</f>
        <v>297062.15262903419</v>
      </c>
    </row>
    <row r="489" spans="10:23">
      <c r="J489">
        <v>1111221</v>
      </c>
    </row>
    <row r="491" spans="10:23" ht="15.5">
      <c r="J491" s="276" t="s">
        <v>407</v>
      </c>
      <c r="K491" s="276">
        <v>2013</v>
      </c>
      <c r="L491" s="276">
        <v>2014</v>
      </c>
      <c r="M491" s="276">
        <v>2015</v>
      </c>
      <c r="N491" s="276">
        <v>2016</v>
      </c>
      <c r="O491" s="276">
        <v>2017</v>
      </c>
      <c r="P491" s="276">
        <v>2018</v>
      </c>
      <c r="Q491" s="276">
        <v>2019</v>
      </c>
      <c r="R491" s="276">
        <v>2020</v>
      </c>
      <c r="S491" s="276">
        <v>2021</v>
      </c>
      <c r="T491" s="276">
        <v>2022</v>
      </c>
      <c r="U491" s="276">
        <v>2023</v>
      </c>
      <c r="V491" s="276">
        <v>2024</v>
      </c>
    </row>
    <row r="492" spans="10:23">
      <c r="J492" s="269" t="s">
        <v>33</v>
      </c>
      <c r="K492" s="277">
        <f>Données!$C$5</f>
        <v>560000</v>
      </c>
      <c r="L492" s="278">
        <f>K492*(1+$D$12)</f>
        <v>571200</v>
      </c>
      <c r="M492" s="278">
        <f t="shared" ref="M492:V492" si="1056">L492*(1+$D$12)</f>
        <v>582624</v>
      </c>
      <c r="N492" s="278">
        <f t="shared" si="1056"/>
        <v>594276.48</v>
      </c>
      <c r="O492" s="278">
        <f t="shared" si="1056"/>
        <v>606162.00959999999</v>
      </c>
      <c r="P492" s="278">
        <f t="shared" si="1056"/>
        <v>618285.24979200005</v>
      </c>
      <c r="Q492" s="278">
        <f t="shared" si="1056"/>
        <v>630650.95478784002</v>
      </c>
      <c r="R492" s="278">
        <f t="shared" si="1056"/>
        <v>643263.97388359683</v>
      </c>
      <c r="S492" s="278">
        <f t="shared" si="1056"/>
        <v>656129.25336126878</v>
      </c>
      <c r="T492" s="278">
        <f t="shared" si="1056"/>
        <v>669251.83842849417</v>
      </c>
      <c r="U492" s="278">
        <f t="shared" si="1056"/>
        <v>682636.87519706402</v>
      </c>
      <c r="V492" s="278">
        <f t="shared" si="1056"/>
        <v>696289.6127010053</v>
      </c>
    </row>
    <row r="493" spans="10:23">
      <c r="J493" s="269" t="s">
        <v>408</v>
      </c>
      <c r="K493" s="279"/>
      <c r="L493" s="278">
        <f>L492*$D$15</f>
        <v>285600</v>
      </c>
      <c r="M493" s="278">
        <f t="shared" ref="M493:V493" si="1057">M492*$D$15</f>
        <v>291312</v>
      </c>
      <c r="N493" s="278">
        <f t="shared" si="1057"/>
        <v>297138.24</v>
      </c>
      <c r="O493" s="278">
        <f t="shared" si="1057"/>
        <v>303081.0048</v>
      </c>
      <c r="P493" s="278">
        <f t="shared" si="1057"/>
        <v>309142.62489600002</v>
      </c>
      <c r="Q493" s="278">
        <f t="shared" si="1057"/>
        <v>315325.47739392001</v>
      </c>
      <c r="R493" s="278">
        <f t="shared" si="1057"/>
        <v>321631.98694179842</v>
      </c>
      <c r="S493" s="278">
        <f t="shared" si="1057"/>
        <v>328064.62668063439</v>
      </c>
      <c r="T493" s="278">
        <f t="shared" si="1057"/>
        <v>334625.91921424709</v>
      </c>
      <c r="U493" s="278">
        <f t="shared" si="1057"/>
        <v>341318.43759853201</v>
      </c>
      <c r="V493" s="278">
        <f t="shared" si="1057"/>
        <v>348144.80635050265</v>
      </c>
    </row>
    <row r="494" spans="10:23">
      <c r="J494" s="269" t="s">
        <v>409</v>
      </c>
      <c r="K494" s="280"/>
      <c r="L494" s="278">
        <f>L493*$D$17</f>
        <v>94248</v>
      </c>
      <c r="M494" s="278">
        <f t="shared" ref="M494:V494" si="1058">M493*$D$17</f>
        <v>96132.96</v>
      </c>
      <c r="N494" s="278">
        <f t="shared" si="1058"/>
        <v>98055.619200000001</v>
      </c>
      <c r="O494" s="278">
        <f t="shared" si="1058"/>
        <v>100016.73158400001</v>
      </c>
      <c r="P494" s="278">
        <f t="shared" si="1058"/>
        <v>102017.06621568001</v>
      </c>
      <c r="Q494" s="278">
        <f t="shared" si="1058"/>
        <v>104057.40753999361</v>
      </c>
      <c r="R494" s="278">
        <f t="shared" si="1058"/>
        <v>106138.55569079348</v>
      </c>
      <c r="S494" s="278">
        <f t="shared" si="1058"/>
        <v>108261.32680460936</v>
      </c>
      <c r="T494" s="278">
        <f t="shared" si="1058"/>
        <v>110426.55334070155</v>
      </c>
      <c r="U494" s="278">
        <f t="shared" si="1058"/>
        <v>112635.08440751556</v>
      </c>
      <c r="V494" s="278">
        <f t="shared" si="1058"/>
        <v>114887.78609566588</v>
      </c>
    </row>
    <row r="495" spans="10:23">
      <c r="J495" s="269" t="s">
        <v>410</v>
      </c>
      <c r="K495" s="281"/>
      <c r="L495" s="288">
        <f>D19</f>
        <v>1</v>
      </c>
      <c r="M495" s="288">
        <f>L495*(1+$G$12)</f>
        <v>1.0147600000000001</v>
      </c>
      <c r="N495" s="288">
        <f t="shared" ref="N495:V495" si="1059">M495*(1+$G$12)</f>
        <v>1.0297378576000003</v>
      </c>
      <c r="O495" s="288">
        <f t="shared" si="1059"/>
        <v>1.0449367883781764</v>
      </c>
      <c r="P495" s="288">
        <f t="shared" si="1059"/>
        <v>1.0603600553746384</v>
      </c>
      <c r="Q495" s="288">
        <f t="shared" si="1059"/>
        <v>1.0760109697919682</v>
      </c>
      <c r="R495" s="288">
        <f t="shared" si="1059"/>
        <v>1.0918928917060977</v>
      </c>
      <c r="S495" s="288">
        <f t="shared" si="1059"/>
        <v>1.1080092307876799</v>
      </c>
      <c r="T495" s="288">
        <f t="shared" si="1059"/>
        <v>1.1243634470341062</v>
      </c>
      <c r="U495" s="288">
        <f t="shared" si="1059"/>
        <v>1.1409590515123298</v>
      </c>
      <c r="V495" s="288">
        <f t="shared" si="1059"/>
        <v>1.157799607112652</v>
      </c>
    </row>
    <row r="496" spans="10:23" ht="15.5">
      <c r="J496" s="270" t="s">
        <v>411</v>
      </c>
      <c r="K496" s="282"/>
      <c r="L496" s="273">
        <f>L494*L495</f>
        <v>94248</v>
      </c>
      <c r="M496" s="273">
        <f t="shared" ref="M496:V496" si="1060">M494*M495</f>
        <v>97551.882489600015</v>
      </c>
      <c r="N496" s="273">
        <f t="shared" si="1060"/>
        <v>100971.58324064944</v>
      </c>
      <c r="O496" s="273">
        <f t="shared" si="1060"/>
        <v>104511.16228546709</v>
      </c>
      <c r="P496" s="273">
        <f t="shared" si="1060"/>
        <v>108174.82198161661</v>
      </c>
      <c r="Q496" s="273">
        <f t="shared" si="1060"/>
        <v>111966.91200114659</v>
      </c>
      <c r="R496" s="273">
        <f t="shared" si="1060"/>
        <v>115891.93449472918</v>
      </c>
      <c r="S496" s="273">
        <f t="shared" si="1060"/>
        <v>119954.54943682885</v>
      </c>
      <c r="T496" s="273">
        <f t="shared" si="1060"/>
        <v>124159.58015824678</v>
      </c>
      <c r="U496" s="273">
        <f t="shared" si="1060"/>
        <v>128512.01907261016</v>
      </c>
      <c r="V496" s="273">
        <f t="shared" si="1060"/>
        <v>133017.03360360436</v>
      </c>
    </row>
    <row r="497" spans="10:23">
      <c r="J497" s="283" t="s">
        <v>34</v>
      </c>
      <c r="K497" s="274"/>
      <c r="L497" s="289">
        <f>D20</f>
        <v>0.2</v>
      </c>
      <c r="M497" s="289">
        <f>L497*(1+$G$12)</f>
        <v>0.20295200000000002</v>
      </c>
      <c r="N497" s="289">
        <f t="shared" ref="N497:V497" si="1061">M497*(1+$G$12)</f>
        <v>0.20594757152000004</v>
      </c>
      <c r="O497" s="289">
        <f t="shared" si="1061"/>
        <v>0.20898735767563525</v>
      </c>
      <c r="P497" s="289">
        <f t="shared" si="1061"/>
        <v>0.21207201107492765</v>
      </c>
      <c r="Q497" s="289">
        <f t="shared" si="1061"/>
        <v>0.2152021939583936</v>
      </c>
      <c r="R497" s="289">
        <f t="shared" si="1061"/>
        <v>0.21837857834121951</v>
      </c>
      <c r="S497" s="289">
        <f t="shared" si="1061"/>
        <v>0.22160184615753595</v>
      </c>
      <c r="T497" s="289">
        <f t="shared" si="1061"/>
        <v>0.2248726894068212</v>
      </c>
      <c r="U497" s="289">
        <f t="shared" si="1061"/>
        <v>0.22819181030246591</v>
      </c>
      <c r="V497" s="289">
        <f t="shared" si="1061"/>
        <v>0.23155992142253032</v>
      </c>
    </row>
    <row r="498" spans="10:23" ht="15.5">
      <c r="J498" s="270" t="s">
        <v>412</v>
      </c>
      <c r="K498" s="282"/>
      <c r="L498" s="273">
        <f>L494*L497</f>
        <v>18849.600000000002</v>
      </c>
      <c r="M498" s="273">
        <f t="shared" ref="M498:V498" si="1062">M494*M497</f>
        <v>19510.376497920002</v>
      </c>
      <c r="N498" s="273">
        <f t="shared" si="1062"/>
        <v>20194.31664812989</v>
      </c>
      <c r="O498" s="273">
        <f t="shared" si="1062"/>
        <v>20902.232457093414</v>
      </c>
      <c r="P498" s="273">
        <f t="shared" si="1062"/>
        <v>21634.964396323317</v>
      </c>
      <c r="Q498" s="273">
        <f t="shared" si="1062"/>
        <v>22393.382400229315</v>
      </c>
      <c r="R498" s="273">
        <f t="shared" si="1062"/>
        <v>23178.386898945835</v>
      </c>
      <c r="S498" s="273">
        <f t="shared" si="1062"/>
        <v>23990.909887365764</v>
      </c>
      <c r="T498" s="273">
        <f t="shared" si="1062"/>
        <v>24831.916031649354</v>
      </c>
      <c r="U498" s="273">
        <f t="shared" si="1062"/>
        <v>25702.403814522026</v>
      </c>
      <c r="V498" s="273">
        <f t="shared" si="1062"/>
        <v>26603.406720720865</v>
      </c>
    </row>
    <row r="499" spans="10:23">
      <c r="J499" s="285" t="s">
        <v>418</v>
      </c>
      <c r="K499" s="274"/>
      <c r="L499" s="274">
        <f>L496*0.03</f>
        <v>2827.44</v>
      </c>
      <c r="M499" s="274">
        <f t="shared" ref="M499:V499" si="1063">M496*0.03</f>
        <v>2926.5564746880004</v>
      </c>
      <c r="N499" s="274">
        <f t="shared" si="1063"/>
        <v>3029.1474972194833</v>
      </c>
      <c r="O499" s="274">
        <f t="shared" si="1063"/>
        <v>3135.3348685640126</v>
      </c>
      <c r="P499" s="274">
        <f t="shared" si="1063"/>
        <v>3245.2446594484982</v>
      </c>
      <c r="Q499" s="274">
        <f t="shared" si="1063"/>
        <v>3359.0073600343976</v>
      </c>
      <c r="R499" s="274">
        <f t="shared" si="1063"/>
        <v>3476.7580348418755</v>
      </c>
      <c r="S499" s="274">
        <f t="shared" si="1063"/>
        <v>3598.6364831048654</v>
      </c>
      <c r="T499" s="274">
        <f t="shared" si="1063"/>
        <v>3724.7874047474033</v>
      </c>
      <c r="U499" s="274">
        <f t="shared" si="1063"/>
        <v>3855.3605721783047</v>
      </c>
      <c r="V499" s="274">
        <f t="shared" si="1063"/>
        <v>3990.5110081081307</v>
      </c>
    </row>
    <row r="500" spans="10:23">
      <c r="J500" s="285" t="s">
        <v>413</v>
      </c>
      <c r="K500" s="274"/>
      <c r="L500" s="284">
        <f>D23</f>
        <v>3000</v>
      </c>
      <c r="M500" s="274">
        <f>L500*(1+$G$12)</f>
        <v>3044.28</v>
      </c>
      <c r="N500" s="274">
        <f t="shared" ref="N500:V500" si="1064">M500*(1+$G$12)</f>
        <v>3089.2135728000007</v>
      </c>
      <c r="O500" s="274">
        <f t="shared" si="1064"/>
        <v>3134.8103651345291</v>
      </c>
      <c r="P500" s="274">
        <f t="shared" si="1064"/>
        <v>3181.0801661239152</v>
      </c>
      <c r="Q500" s="274">
        <f t="shared" si="1064"/>
        <v>3228.0329093759046</v>
      </c>
      <c r="R500" s="274">
        <f t="shared" si="1064"/>
        <v>3275.6786751182935</v>
      </c>
      <c r="S500" s="274">
        <f t="shared" si="1064"/>
        <v>3324.0276923630399</v>
      </c>
      <c r="T500" s="274">
        <f t="shared" si="1064"/>
        <v>3373.0903411023187</v>
      </c>
      <c r="U500" s="274">
        <f t="shared" si="1064"/>
        <v>3422.8771545369891</v>
      </c>
      <c r="V500" s="274">
        <f t="shared" si="1064"/>
        <v>3473.3988213379553</v>
      </c>
    </row>
    <row r="501" spans="10:23" ht="15.5">
      <c r="J501" s="270" t="s">
        <v>35</v>
      </c>
      <c r="K501" s="282"/>
      <c r="L501" s="273">
        <f>L499+L500</f>
        <v>5827.4400000000005</v>
      </c>
      <c r="M501" s="273">
        <f t="shared" ref="M501:V501" si="1065">M499+M500</f>
        <v>5970.8364746880006</v>
      </c>
      <c r="N501" s="273">
        <f t="shared" si="1065"/>
        <v>6118.361070019484</v>
      </c>
      <c r="O501" s="273">
        <f t="shared" si="1065"/>
        <v>6270.1452336985421</v>
      </c>
      <c r="P501" s="273">
        <f t="shared" si="1065"/>
        <v>6426.3248255724138</v>
      </c>
      <c r="Q501" s="273">
        <f t="shared" si="1065"/>
        <v>6587.0402694103022</v>
      </c>
      <c r="R501" s="273">
        <f t="shared" si="1065"/>
        <v>6752.4367099601695</v>
      </c>
      <c r="S501" s="273">
        <f t="shared" si="1065"/>
        <v>6922.6641754679058</v>
      </c>
      <c r="T501" s="273">
        <f t="shared" si="1065"/>
        <v>7097.8777458497225</v>
      </c>
      <c r="U501" s="273">
        <f t="shared" si="1065"/>
        <v>7278.2377267152933</v>
      </c>
      <c r="V501" s="273">
        <f t="shared" si="1065"/>
        <v>7463.9098294460855</v>
      </c>
    </row>
    <row r="502" spans="10:23">
      <c r="J502" s="286" t="s">
        <v>414</v>
      </c>
      <c r="K502" s="274"/>
      <c r="L502" s="274">
        <f>L496-L498-L501</f>
        <v>69570.959999999992</v>
      </c>
      <c r="M502" s="274">
        <f t="shared" ref="M502:V502" si="1066">M496-M498-M501</f>
        <v>72070.669516992013</v>
      </c>
      <c r="N502" s="274">
        <f t="shared" si="1066"/>
        <v>74658.905522500077</v>
      </c>
      <c r="O502" s="274">
        <f t="shared" si="1066"/>
        <v>77338.784594675133</v>
      </c>
      <c r="P502" s="274">
        <f t="shared" si="1066"/>
        <v>80113.532759720882</v>
      </c>
      <c r="Q502" s="274">
        <f t="shared" si="1066"/>
        <v>82986.489331506978</v>
      </c>
      <c r="R502" s="274">
        <f t="shared" si="1066"/>
        <v>85961.110885823175</v>
      </c>
      <c r="S502" s="274">
        <f t="shared" si="1066"/>
        <v>89040.975373995185</v>
      </c>
      <c r="T502" s="274">
        <f t="shared" si="1066"/>
        <v>92229.786380747712</v>
      </c>
      <c r="U502" s="274">
        <f t="shared" si="1066"/>
        <v>95531.37753137284</v>
      </c>
      <c r="V502" s="274">
        <f t="shared" si="1066"/>
        <v>98949.717053437402</v>
      </c>
    </row>
    <row r="503" spans="10:23">
      <c r="J503" s="286" t="s">
        <v>415</v>
      </c>
      <c r="K503" s="274"/>
      <c r="L503" s="274">
        <f>L502*$G$13</f>
        <v>27828.383999999998</v>
      </c>
      <c r="M503" s="274">
        <f t="shared" ref="M503:V503" si="1067">M502*$G$13</f>
        <v>28828.267806796808</v>
      </c>
      <c r="N503" s="274">
        <f t="shared" si="1067"/>
        <v>29863.562209000032</v>
      </c>
      <c r="O503" s="274">
        <f t="shared" si="1067"/>
        <v>30935.513837870054</v>
      </c>
      <c r="P503" s="274">
        <f t="shared" si="1067"/>
        <v>32045.413103888353</v>
      </c>
      <c r="Q503" s="274">
        <f t="shared" si="1067"/>
        <v>33194.595732602793</v>
      </c>
      <c r="R503" s="274">
        <f t="shared" si="1067"/>
        <v>34384.444354329273</v>
      </c>
      <c r="S503" s="274">
        <f t="shared" si="1067"/>
        <v>35616.390149598075</v>
      </c>
      <c r="T503" s="274">
        <f t="shared" si="1067"/>
        <v>36891.914552299088</v>
      </c>
      <c r="U503" s="274">
        <f t="shared" si="1067"/>
        <v>38212.551012549135</v>
      </c>
      <c r="V503" s="274">
        <f t="shared" si="1067"/>
        <v>39579.886821374967</v>
      </c>
    </row>
    <row r="504" spans="10:23" ht="15.5">
      <c r="J504" s="270" t="s">
        <v>358</v>
      </c>
      <c r="K504" s="272"/>
      <c r="L504" s="273">
        <f>L502-L503</f>
        <v>41742.575999999994</v>
      </c>
      <c r="M504" s="273">
        <f t="shared" ref="M504:V504" si="1068">M502-M503</f>
        <v>43242.401710195205</v>
      </c>
      <c r="N504" s="273">
        <f t="shared" si="1068"/>
        <v>44795.343313500045</v>
      </c>
      <c r="O504" s="273">
        <f t="shared" si="1068"/>
        <v>46403.270756805083</v>
      </c>
      <c r="P504" s="273">
        <f t="shared" si="1068"/>
        <v>48068.119655832532</v>
      </c>
      <c r="Q504" s="273">
        <f t="shared" si="1068"/>
        <v>49791.893598904186</v>
      </c>
      <c r="R504" s="273">
        <f t="shared" si="1068"/>
        <v>51576.666531493902</v>
      </c>
      <c r="S504" s="273">
        <f t="shared" si="1068"/>
        <v>53424.585224397109</v>
      </c>
      <c r="T504" s="273">
        <f t="shared" si="1068"/>
        <v>55337.871828448624</v>
      </c>
      <c r="U504" s="273">
        <f t="shared" si="1068"/>
        <v>57318.826518823706</v>
      </c>
      <c r="V504" s="273">
        <f t="shared" si="1068"/>
        <v>59369.830232062435</v>
      </c>
    </row>
    <row r="505" spans="10:23" ht="15.5">
      <c r="J505" s="270" t="s">
        <v>419</v>
      </c>
      <c r="K505" s="272"/>
      <c r="L505" s="273">
        <f>M496*$G$14</f>
        <v>16258.647081600002</v>
      </c>
      <c r="M505" s="273">
        <f t="shared" ref="M505:V505" si="1069">N496*$G$14</f>
        <v>16828.597206774906</v>
      </c>
      <c r="N505" s="273">
        <f t="shared" si="1069"/>
        <v>17418.527047577845</v>
      </c>
      <c r="O505" s="273">
        <f t="shared" si="1069"/>
        <v>18029.1369969361</v>
      </c>
      <c r="P505" s="273">
        <f t="shared" si="1069"/>
        <v>18661.152000191098</v>
      </c>
      <c r="Q505" s="273">
        <f t="shared" si="1069"/>
        <v>19315.322415788196</v>
      </c>
      <c r="R505" s="273">
        <f t="shared" si="1069"/>
        <v>19992.424906138142</v>
      </c>
      <c r="S505" s="273">
        <f t="shared" si="1069"/>
        <v>20693.263359707795</v>
      </c>
      <c r="T505" s="273">
        <f t="shared" si="1069"/>
        <v>21418.669845435026</v>
      </c>
      <c r="U505" s="273">
        <f t="shared" si="1069"/>
        <v>22169.505600600725</v>
      </c>
      <c r="V505" s="273">
        <f t="shared" si="1069"/>
        <v>0</v>
      </c>
    </row>
    <row r="506" spans="10:23" ht="16" thickBot="1">
      <c r="J506" s="270" t="s">
        <v>416</v>
      </c>
      <c r="K506" s="290">
        <f>L496*$G$14</f>
        <v>15708</v>
      </c>
      <c r="L506" s="273">
        <f>L505-K506</f>
        <v>550.64708160000191</v>
      </c>
      <c r="M506" s="273">
        <f>M505-L505</f>
        <v>569.95012517490431</v>
      </c>
      <c r="N506" s="273">
        <f t="shared" ref="N506:V506" si="1070">N505-M505</f>
        <v>589.929840802939</v>
      </c>
      <c r="O506" s="273">
        <f t="shared" si="1070"/>
        <v>610.60994935825511</v>
      </c>
      <c r="P506" s="273">
        <f t="shared" si="1070"/>
        <v>632.01500325499728</v>
      </c>
      <c r="Q506" s="273">
        <f t="shared" si="1070"/>
        <v>654.17041559709833</v>
      </c>
      <c r="R506" s="273">
        <f t="shared" si="1070"/>
        <v>677.10249034994558</v>
      </c>
      <c r="S506" s="273">
        <f t="shared" si="1070"/>
        <v>700.83845356965321</v>
      </c>
      <c r="T506" s="273">
        <f t="shared" si="1070"/>
        <v>725.40648572723148</v>
      </c>
      <c r="U506" s="273">
        <f t="shared" si="1070"/>
        <v>750.83575516569908</v>
      </c>
      <c r="V506" s="273">
        <f t="shared" si="1070"/>
        <v>-22169.505600600725</v>
      </c>
    </row>
    <row r="507" spans="10:23" ht="15.5">
      <c r="J507" s="271" t="s">
        <v>417</v>
      </c>
      <c r="K507" s="275">
        <f>K504-K506</f>
        <v>-15708</v>
      </c>
      <c r="L507" s="275">
        <f t="shared" ref="L507:V507" si="1071">L504-L506</f>
        <v>41191.928918399994</v>
      </c>
      <c r="M507" s="275">
        <f t="shared" si="1071"/>
        <v>42672.451585020302</v>
      </c>
      <c r="N507" s="275">
        <f t="shared" si="1071"/>
        <v>44205.41347269711</v>
      </c>
      <c r="O507" s="275">
        <f t="shared" si="1071"/>
        <v>45792.660807446824</v>
      </c>
      <c r="P507" s="275">
        <f t="shared" si="1071"/>
        <v>47436.104652577531</v>
      </c>
      <c r="Q507" s="275">
        <f t="shared" si="1071"/>
        <v>49137.723183307084</v>
      </c>
      <c r="R507" s="275">
        <f t="shared" si="1071"/>
        <v>50899.564041143953</v>
      </c>
      <c r="S507" s="275">
        <f t="shared" si="1071"/>
        <v>52723.746770827456</v>
      </c>
      <c r="T507" s="275">
        <f t="shared" si="1071"/>
        <v>54612.465342721393</v>
      </c>
      <c r="U507" s="275">
        <f t="shared" si="1071"/>
        <v>56567.990763658003</v>
      </c>
      <c r="V507" s="275">
        <f t="shared" si="1071"/>
        <v>81539.335832663157</v>
      </c>
      <c r="W507" s="295" t="s">
        <v>360</v>
      </c>
    </row>
    <row r="508" spans="10:23" ht="16" thickBot="1">
      <c r="J508" s="271" t="s">
        <v>367</v>
      </c>
      <c r="K508" s="291">
        <f>K507/(1+$G$16)^(K491-$G$15)</f>
        <v>-10256.185263148082</v>
      </c>
      <c r="L508" s="291">
        <f t="shared" ref="L508:V508" si="1072">L507/(1+$G$16)^(L491-$G$15)</f>
        <v>24176.494780658159</v>
      </c>
      <c r="M508" s="291">
        <f t="shared" si="1072"/>
        <v>22513.604948517401</v>
      </c>
      <c r="N508" s="291">
        <f t="shared" si="1072"/>
        <v>20964.723793860347</v>
      </c>
      <c r="O508" s="291">
        <f t="shared" si="1072"/>
        <v>19522.0674194559</v>
      </c>
      <c r="P508" s="291">
        <f t="shared" si="1072"/>
        <v>18178.380464808866</v>
      </c>
      <c r="Q508" s="291">
        <f t="shared" si="1072"/>
        <v>16926.900477892061</v>
      </c>
      <c r="R508" s="291">
        <f t="shared" si="1072"/>
        <v>15761.324665149938</v>
      </c>
      <c r="S508" s="291">
        <f t="shared" si="1072"/>
        <v>14675.778863140104</v>
      </c>
      <c r="T508" s="291">
        <f t="shared" si="1072"/>
        <v>13664.788585300441</v>
      </c>
      <c r="U508" s="291">
        <f t="shared" si="1072"/>
        <v>12723.252006815839</v>
      </c>
      <c r="V508" s="291">
        <f t="shared" si="1072"/>
        <v>16485.828844769097</v>
      </c>
      <c r="W508" s="294">
        <f>SUM(K508:V508)</f>
        <v>185336.95958722007</v>
      </c>
    </row>
    <row r="513" spans="10:22">
      <c r="J513">
        <v>1111222</v>
      </c>
    </row>
    <row r="515" spans="10:22" ht="15.5">
      <c r="J515" s="276" t="s">
        <v>407</v>
      </c>
      <c r="K515" s="276">
        <v>2013</v>
      </c>
      <c r="L515" s="276">
        <v>2014</v>
      </c>
      <c r="M515" s="276">
        <v>2015</v>
      </c>
      <c r="N515" s="276">
        <v>2016</v>
      </c>
      <c r="O515" s="276">
        <v>2017</v>
      </c>
      <c r="P515" s="276">
        <v>2018</v>
      </c>
      <c r="Q515" s="276">
        <v>2019</v>
      </c>
      <c r="R515" s="276">
        <v>2020</v>
      </c>
      <c r="S515" s="276">
        <v>2021</v>
      </c>
      <c r="T515" s="276">
        <v>2022</v>
      </c>
      <c r="U515" s="276">
        <v>2023</v>
      </c>
      <c r="V515" s="276">
        <v>2024</v>
      </c>
    </row>
    <row r="516" spans="10:22">
      <c r="J516" s="269" t="s">
        <v>33</v>
      </c>
      <c r="K516" s="277">
        <f>Données!$C$5</f>
        <v>560000</v>
      </c>
      <c r="L516" s="278">
        <f>K516*(1+$D$13)</f>
        <v>565600</v>
      </c>
      <c r="M516" s="278">
        <f t="shared" ref="M516:V516" si="1073">L516*(1+$D$13)</f>
        <v>571256</v>
      </c>
      <c r="N516" s="278">
        <f t="shared" si="1073"/>
        <v>576968.56000000006</v>
      </c>
      <c r="O516" s="278">
        <f t="shared" si="1073"/>
        <v>582738.24560000002</v>
      </c>
      <c r="P516" s="278">
        <f t="shared" si="1073"/>
        <v>588565.62805599999</v>
      </c>
      <c r="Q516" s="278">
        <f t="shared" si="1073"/>
        <v>594451.28433655994</v>
      </c>
      <c r="R516" s="278">
        <f t="shared" si="1073"/>
        <v>600395.79717992549</v>
      </c>
      <c r="S516" s="278">
        <f t="shared" si="1073"/>
        <v>606399.75515172479</v>
      </c>
      <c r="T516" s="278">
        <f t="shared" si="1073"/>
        <v>612463.752703242</v>
      </c>
      <c r="U516" s="278">
        <f t="shared" si="1073"/>
        <v>618588.39023027441</v>
      </c>
      <c r="V516" s="278">
        <f t="shared" si="1073"/>
        <v>624774.27413257712</v>
      </c>
    </row>
    <row r="517" spans="10:22">
      <c r="J517" s="269" t="s">
        <v>408</v>
      </c>
      <c r="K517" s="279"/>
      <c r="L517" s="278">
        <f>L516*$D$15</f>
        <v>282800</v>
      </c>
      <c r="M517" s="278">
        <f t="shared" ref="M517:V517" si="1074">M516*$D$15</f>
        <v>285628</v>
      </c>
      <c r="N517" s="278">
        <f t="shared" si="1074"/>
        <v>288484.28000000003</v>
      </c>
      <c r="O517" s="278">
        <f t="shared" si="1074"/>
        <v>291369.12280000001</v>
      </c>
      <c r="P517" s="278">
        <f t="shared" si="1074"/>
        <v>294282.81402799999</v>
      </c>
      <c r="Q517" s="278">
        <f t="shared" si="1074"/>
        <v>297225.64216827997</v>
      </c>
      <c r="R517" s="278">
        <f t="shared" si="1074"/>
        <v>300197.89858996274</v>
      </c>
      <c r="S517" s="278">
        <f t="shared" si="1074"/>
        <v>303199.8775758624</v>
      </c>
      <c r="T517" s="278">
        <f t="shared" si="1074"/>
        <v>306231.876351621</v>
      </c>
      <c r="U517" s="278">
        <f t="shared" si="1074"/>
        <v>309294.1951151372</v>
      </c>
      <c r="V517" s="278">
        <f t="shared" si="1074"/>
        <v>312387.13706628856</v>
      </c>
    </row>
    <row r="518" spans="10:22">
      <c r="J518" s="269" t="s">
        <v>409</v>
      </c>
      <c r="K518" s="280"/>
      <c r="L518" s="278">
        <f>L517*$D$17</f>
        <v>93324</v>
      </c>
      <c r="M518" s="278">
        <f t="shared" ref="M518:V518" si="1075">M517*$D$17</f>
        <v>94257.24</v>
      </c>
      <c r="N518" s="278">
        <f t="shared" si="1075"/>
        <v>95199.81240000001</v>
      </c>
      <c r="O518" s="278">
        <f t="shared" si="1075"/>
        <v>96151.810524000015</v>
      </c>
      <c r="P518" s="278">
        <f t="shared" si="1075"/>
        <v>97113.328629240001</v>
      </c>
      <c r="Q518" s="278">
        <f t="shared" si="1075"/>
        <v>98084.461915532389</v>
      </c>
      <c r="R518" s="278">
        <f t="shared" si="1075"/>
        <v>99065.306534687712</v>
      </c>
      <c r="S518" s="278">
        <f t="shared" si="1075"/>
        <v>100055.95960003459</v>
      </c>
      <c r="T518" s="278">
        <f t="shared" si="1075"/>
        <v>101056.51919603493</v>
      </c>
      <c r="U518" s="278">
        <f t="shared" si="1075"/>
        <v>102067.08438799529</v>
      </c>
      <c r="V518" s="278">
        <f t="shared" si="1075"/>
        <v>103087.75523187523</v>
      </c>
    </row>
    <row r="519" spans="10:22">
      <c r="J519" s="269" t="s">
        <v>410</v>
      </c>
      <c r="K519" s="281"/>
      <c r="L519" s="288">
        <f>D19</f>
        <v>1</v>
      </c>
      <c r="M519" s="288">
        <f>L519*(1+$G$12)</f>
        <v>1.0147600000000001</v>
      </c>
      <c r="N519" s="288">
        <f t="shared" ref="N519:V519" si="1076">M519*(1+$G$12)</f>
        <v>1.0297378576000003</v>
      </c>
      <c r="O519" s="288">
        <f t="shared" si="1076"/>
        <v>1.0449367883781764</v>
      </c>
      <c r="P519" s="288">
        <f t="shared" si="1076"/>
        <v>1.0603600553746384</v>
      </c>
      <c r="Q519" s="288">
        <f t="shared" si="1076"/>
        <v>1.0760109697919682</v>
      </c>
      <c r="R519" s="288">
        <f t="shared" si="1076"/>
        <v>1.0918928917060977</v>
      </c>
      <c r="S519" s="288">
        <f t="shared" si="1076"/>
        <v>1.1080092307876799</v>
      </c>
      <c r="T519" s="288">
        <f t="shared" si="1076"/>
        <v>1.1243634470341062</v>
      </c>
      <c r="U519" s="288">
        <f t="shared" si="1076"/>
        <v>1.1409590515123298</v>
      </c>
      <c r="V519" s="288">
        <f t="shared" si="1076"/>
        <v>1.157799607112652</v>
      </c>
    </row>
    <row r="520" spans="10:22" ht="15.5">
      <c r="J520" s="270" t="s">
        <v>411</v>
      </c>
      <c r="K520" s="282"/>
      <c r="L520" s="273">
        <f>L518*L519</f>
        <v>93324</v>
      </c>
      <c r="M520" s="273">
        <f t="shared" ref="M520:V520" si="1077">M518*M519</f>
        <v>95648.476862400013</v>
      </c>
      <c r="N520" s="273">
        <f t="shared" si="1077"/>
        <v>98030.850864697946</v>
      </c>
      <c r="O520" s="273">
        <f t="shared" si="1077"/>
        <v>100472.56408569551</v>
      </c>
      <c r="P520" s="273">
        <f t="shared" si="1077"/>
        <v>102975.09452291638</v>
      </c>
      <c r="Q520" s="273">
        <f t="shared" si="1077"/>
        <v>105539.95698725537</v>
      </c>
      <c r="R520" s="273">
        <f t="shared" si="1077"/>
        <v>108168.70401991115</v>
      </c>
      <c r="S520" s="273">
        <f t="shared" si="1077"/>
        <v>110862.92683215751</v>
      </c>
      <c r="T520" s="273">
        <f t="shared" si="1077"/>
        <v>113624.25626852216</v>
      </c>
      <c r="U520" s="273">
        <f t="shared" si="1077"/>
        <v>116454.36379395603</v>
      </c>
      <c r="V520" s="273">
        <f t="shared" si="1077"/>
        <v>119354.96250559037</v>
      </c>
    </row>
    <row r="521" spans="10:22">
      <c r="J521" s="283" t="s">
        <v>34</v>
      </c>
      <c r="K521" s="274"/>
      <c r="L521" s="289">
        <f>D20</f>
        <v>0.2</v>
      </c>
      <c r="M521" s="289">
        <f>L521*(1+$G$12)</f>
        <v>0.20295200000000002</v>
      </c>
      <c r="N521" s="289">
        <f t="shared" ref="N521:V521" si="1078">M521*(1+$G$12)</f>
        <v>0.20594757152000004</v>
      </c>
      <c r="O521" s="289">
        <f t="shared" si="1078"/>
        <v>0.20898735767563525</v>
      </c>
      <c r="P521" s="289">
        <f t="shared" si="1078"/>
        <v>0.21207201107492765</v>
      </c>
      <c r="Q521" s="289">
        <f t="shared" si="1078"/>
        <v>0.2152021939583936</v>
      </c>
      <c r="R521" s="289">
        <f t="shared" si="1078"/>
        <v>0.21837857834121951</v>
      </c>
      <c r="S521" s="289">
        <f t="shared" si="1078"/>
        <v>0.22160184615753595</v>
      </c>
      <c r="T521" s="289">
        <f t="shared" si="1078"/>
        <v>0.2248726894068212</v>
      </c>
      <c r="U521" s="289">
        <f t="shared" si="1078"/>
        <v>0.22819181030246591</v>
      </c>
      <c r="V521" s="289">
        <f t="shared" si="1078"/>
        <v>0.23155992142253032</v>
      </c>
    </row>
    <row r="522" spans="10:22" ht="15.5">
      <c r="J522" s="270" t="s">
        <v>412</v>
      </c>
      <c r="K522" s="282"/>
      <c r="L522" s="273">
        <f>L521*L518</f>
        <v>18664.8</v>
      </c>
      <c r="M522" s="273">
        <f t="shared" ref="M522:V522" si="1079">M521*M518</f>
        <v>19129.695372480004</v>
      </c>
      <c r="N522" s="273">
        <f t="shared" si="1079"/>
        <v>19606.17017293959</v>
      </c>
      <c r="O522" s="273">
        <f t="shared" si="1079"/>
        <v>20094.512817139101</v>
      </c>
      <c r="P522" s="273">
        <f t="shared" si="1079"/>
        <v>20595.018904583274</v>
      </c>
      <c r="Q522" s="273">
        <f t="shared" si="1079"/>
        <v>21107.991397451071</v>
      </c>
      <c r="R522" s="273">
        <f t="shared" si="1079"/>
        <v>21633.740803982226</v>
      </c>
      <c r="S522" s="273">
        <f t="shared" si="1079"/>
        <v>22172.585366431496</v>
      </c>
      <c r="T522" s="273">
        <f t="shared" si="1079"/>
        <v>22724.85125370443</v>
      </c>
      <c r="U522" s="273">
        <f t="shared" si="1079"/>
        <v>23290.8727587912</v>
      </c>
      <c r="V522" s="273">
        <f t="shared" si="1079"/>
        <v>23870.992501118068</v>
      </c>
    </row>
    <row r="523" spans="10:22">
      <c r="J523" s="285" t="s">
        <v>418</v>
      </c>
      <c r="K523" s="274"/>
      <c r="L523" s="274">
        <f>L520*0.03</f>
        <v>2799.72</v>
      </c>
      <c r="M523" s="274">
        <f t="shared" ref="M523:V523" si="1080">M520*0.03</f>
        <v>2869.4543058720001</v>
      </c>
      <c r="N523" s="274">
        <f t="shared" si="1080"/>
        <v>2940.9255259409383</v>
      </c>
      <c r="O523" s="274">
        <f t="shared" si="1080"/>
        <v>3014.1769225708654</v>
      </c>
      <c r="P523" s="274">
        <f t="shared" si="1080"/>
        <v>3089.2528356874914</v>
      </c>
      <c r="Q523" s="274">
        <f t="shared" si="1080"/>
        <v>3166.1987096176608</v>
      </c>
      <c r="R523" s="274">
        <f t="shared" si="1080"/>
        <v>3245.0611205973346</v>
      </c>
      <c r="S523" s="274">
        <f t="shared" si="1080"/>
        <v>3325.8878049647251</v>
      </c>
      <c r="T523" s="274">
        <f t="shared" si="1080"/>
        <v>3408.7276880556647</v>
      </c>
      <c r="U523" s="274">
        <f t="shared" si="1080"/>
        <v>3493.6309138186807</v>
      </c>
      <c r="V523" s="274">
        <f t="shared" si="1080"/>
        <v>3580.6488751677111</v>
      </c>
    </row>
    <row r="524" spans="10:22">
      <c r="J524" s="285" t="s">
        <v>413</v>
      </c>
      <c r="K524" s="274"/>
      <c r="L524" s="284">
        <f>D23</f>
        <v>3000</v>
      </c>
      <c r="M524" s="274">
        <f>L524*(1+$G$12)</f>
        <v>3044.28</v>
      </c>
      <c r="N524" s="274">
        <f t="shared" ref="N524:V524" si="1081">M524*(1+$G$12)</f>
        <v>3089.2135728000007</v>
      </c>
      <c r="O524" s="274">
        <f t="shared" si="1081"/>
        <v>3134.8103651345291</v>
      </c>
      <c r="P524" s="274">
        <f t="shared" si="1081"/>
        <v>3181.0801661239152</v>
      </c>
      <c r="Q524" s="274">
        <f t="shared" si="1081"/>
        <v>3228.0329093759046</v>
      </c>
      <c r="R524" s="274">
        <f t="shared" si="1081"/>
        <v>3275.6786751182935</v>
      </c>
      <c r="S524" s="274">
        <f t="shared" si="1081"/>
        <v>3324.0276923630399</v>
      </c>
      <c r="T524" s="274">
        <f t="shared" si="1081"/>
        <v>3373.0903411023187</v>
      </c>
      <c r="U524" s="274">
        <f t="shared" si="1081"/>
        <v>3422.8771545369891</v>
      </c>
      <c r="V524" s="274">
        <f t="shared" si="1081"/>
        <v>3473.3988213379553</v>
      </c>
    </row>
    <row r="525" spans="10:22" ht="15.5">
      <c r="J525" s="270" t="s">
        <v>35</v>
      </c>
      <c r="K525" s="282"/>
      <c r="L525" s="273">
        <f>L523+L524</f>
        <v>5799.7199999999993</v>
      </c>
      <c r="M525" s="273">
        <f t="shared" ref="M525:V525" si="1082">M523+M524</f>
        <v>5913.7343058719998</v>
      </c>
      <c r="N525" s="273">
        <f t="shared" si="1082"/>
        <v>6030.1390987409395</v>
      </c>
      <c r="O525" s="273">
        <f t="shared" si="1082"/>
        <v>6148.9872877053949</v>
      </c>
      <c r="P525" s="273">
        <f t="shared" si="1082"/>
        <v>6270.3330018114066</v>
      </c>
      <c r="Q525" s="273">
        <f t="shared" si="1082"/>
        <v>6394.2316189935655</v>
      </c>
      <c r="R525" s="273">
        <f t="shared" si="1082"/>
        <v>6520.7397957156281</v>
      </c>
      <c r="S525" s="273">
        <f t="shared" si="1082"/>
        <v>6649.9154973277655</v>
      </c>
      <c r="T525" s="273">
        <f t="shared" si="1082"/>
        <v>6781.8180291579829</v>
      </c>
      <c r="U525" s="273">
        <f t="shared" si="1082"/>
        <v>6916.5080683556698</v>
      </c>
      <c r="V525" s="273">
        <f t="shared" si="1082"/>
        <v>7054.047696505666</v>
      </c>
    </row>
    <row r="526" spans="10:22">
      <c r="J526" s="286" t="s">
        <v>414</v>
      </c>
      <c r="K526" s="274"/>
      <c r="L526" s="274">
        <f>L520-L522-L525</f>
        <v>68859.48</v>
      </c>
      <c r="M526" s="274">
        <f t="shared" ref="M526:V526" si="1083">M520-M522-M525</f>
        <v>70605.047184048017</v>
      </c>
      <c r="N526" s="274">
        <f t="shared" si="1083"/>
        <v>72394.54159301742</v>
      </c>
      <c r="O526" s="274">
        <f t="shared" si="1083"/>
        <v>74229.063980851017</v>
      </c>
      <c r="P526" s="274">
        <f t="shared" si="1083"/>
        <v>76109.742616521689</v>
      </c>
      <c r="Q526" s="274">
        <f t="shared" si="1083"/>
        <v>78037.733970810732</v>
      </c>
      <c r="R526" s="274">
        <f t="shared" si="1083"/>
        <v>80014.223420213297</v>
      </c>
      <c r="S526" s="274">
        <f t="shared" si="1083"/>
        <v>82040.425968398253</v>
      </c>
      <c r="T526" s="274">
        <f t="shared" si="1083"/>
        <v>84117.586985659756</v>
      </c>
      <c r="U526" s="274">
        <f t="shared" si="1083"/>
        <v>86246.982966809155</v>
      </c>
      <c r="V526" s="274">
        <f t="shared" si="1083"/>
        <v>88429.922307966626</v>
      </c>
    </row>
    <row r="527" spans="10:22">
      <c r="J527" s="286" t="s">
        <v>415</v>
      </c>
      <c r="K527" s="274"/>
      <c r="L527" s="274">
        <f>L526*$G$13</f>
        <v>27543.792000000001</v>
      </c>
      <c r="M527" s="274">
        <f t="shared" ref="M527:V527" si="1084">M526*$G$13</f>
        <v>28242.018873619207</v>
      </c>
      <c r="N527" s="274">
        <f t="shared" si="1084"/>
        <v>28957.816637206968</v>
      </c>
      <c r="O527" s="274">
        <f t="shared" si="1084"/>
        <v>29691.62559234041</v>
      </c>
      <c r="P527" s="274">
        <f t="shared" si="1084"/>
        <v>30443.897046608676</v>
      </c>
      <c r="Q527" s="274">
        <f t="shared" si="1084"/>
        <v>31215.093588324293</v>
      </c>
      <c r="R527" s="274">
        <f t="shared" si="1084"/>
        <v>32005.689368085321</v>
      </c>
      <c r="S527" s="274">
        <f t="shared" si="1084"/>
        <v>32816.1703873593</v>
      </c>
      <c r="T527" s="274">
        <f t="shared" si="1084"/>
        <v>33647.034794263905</v>
      </c>
      <c r="U527" s="274">
        <f t="shared" si="1084"/>
        <v>34498.793186723662</v>
      </c>
      <c r="V527" s="274">
        <f t="shared" si="1084"/>
        <v>35371.96892318665</v>
      </c>
    </row>
    <row r="528" spans="10:22" ht="15.5">
      <c r="J528" s="270" t="s">
        <v>358</v>
      </c>
      <c r="K528" s="272"/>
      <c r="L528" s="273">
        <f>L526-L527</f>
        <v>41315.687999999995</v>
      </c>
      <c r="M528" s="273">
        <f t="shared" ref="M528:V528" si="1085">M526-M527</f>
        <v>42363.02831042881</v>
      </c>
      <c r="N528" s="273">
        <f t="shared" si="1085"/>
        <v>43436.724955810452</v>
      </c>
      <c r="O528" s="273">
        <f t="shared" si="1085"/>
        <v>44537.438388510607</v>
      </c>
      <c r="P528" s="273">
        <f t="shared" si="1085"/>
        <v>45665.845569913014</v>
      </c>
      <c r="Q528" s="273">
        <f t="shared" si="1085"/>
        <v>46822.640382486439</v>
      </c>
      <c r="R528" s="273">
        <f t="shared" si="1085"/>
        <v>48008.534052127972</v>
      </c>
      <c r="S528" s="273">
        <f t="shared" si="1085"/>
        <v>49224.255581038953</v>
      </c>
      <c r="T528" s="273">
        <f t="shared" si="1085"/>
        <v>50470.552191395851</v>
      </c>
      <c r="U528" s="273">
        <f t="shared" si="1085"/>
        <v>51748.189780085493</v>
      </c>
      <c r="V528" s="273">
        <f t="shared" si="1085"/>
        <v>53057.953384779976</v>
      </c>
    </row>
    <row r="529" spans="8:23" ht="15.5">
      <c r="J529" s="270" t="s">
        <v>419</v>
      </c>
      <c r="K529" s="272"/>
      <c r="L529" s="273">
        <f>M520*$G$14</f>
        <v>15941.412810400001</v>
      </c>
      <c r="M529" s="273">
        <f t="shared" ref="M529:V529" si="1086">N520*$G$14</f>
        <v>16338.475144116324</v>
      </c>
      <c r="N529" s="273">
        <f t="shared" si="1086"/>
        <v>16745.427347615918</v>
      </c>
      <c r="O529" s="273">
        <f t="shared" si="1086"/>
        <v>17162.515753819396</v>
      </c>
      <c r="P529" s="273">
        <f t="shared" si="1086"/>
        <v>17589.992831209227</v>
      </c>
      <c r="Q529" s="273">
        <f t="shared" si="1086"/>
        <v>18028.117336651856</v>
      </c>
      <c r="R529" s="273">
        <f t="shared" si="1086"/>
        <v>18477.15447202625</v>
      </c>
      <c r="S529" s="273">
        <f t="shared" si="1086"/>
        <v>18937.376044753692</v>
      </c>
      <c r="T529" s="273">
        <f t="shared" si="1086"/>
        <v>19409.060632326004</v>
      </c>
      <c r="U529" s="273">
        <f t="shared" si="1086"/>
        <v>19892.493750931728</v>
      </c>
      <c r="V529" s="273">
        <f t="shared" si="1086"/>
        <v>0</v>
      </c>
    </row>
    <row r="530" spans="8:23" ht="16" thickBot="1">
      <c r="J530" s="270" t="s">
        <v>416</v>
      </c>
      <c r="K530" s="290">
        <f>L520*$G$14</f>
        <v>15554</v>
      </c>
      <c r="L530" s="273">
        <f>L529-K530</f>
        <v>387.41281040000104</v>
      </c>
      <c r="M530" s="273">
        <f>M529-L529</f>
        <v>397.06233371632334</v>
      </c>
      <c r="N530" s="273">
        <f t="shared" ref="N530:V530" si="1087">N529-M529</f>
        <v>406.95220349959345</v>
      </c>
      <c r="O530" s="273">
        <f t="shared" si="1087"/>
        <v>417.08840620347837</v>
      </c>
      <c r="P530" s="273">
        <f t="shared" si="1087"/>
        <v>427.47707738983081</v>
      </c>
      <c r="Q530" s="273">
        <f t="shared" si="1087"/>
        <v>438.12450544262902</v>
      </c>
      <c r="R530" s="273">
        <f t="shared" si="1087"/>
        <v>449.03713537439398</v>
      </c>
      <c r="S530" s="273">
        <f t="shared" si="1087"/>
        <v>460.22157272744153</v>
      </c>
      <c r="T530" s="273">
        <f t="shared" si="1087"/>
        <v>471.68458757231201</v>
      </c>
      <c r="U530" s="273">
        <f t="shared" si="1087"/>
        <v>483.4331186057243</v>
      </c>
      <c r="V530" s="273">
        <f t="shared" si="1087"/>
        <v>-19892.493750931728</v>
      </c>
    </row>
    <row r="531" spans="8:23" ht="15.5">
      <c r="J531" s="271" t="s">
        <v>417</v>
      </c>
      <c r="K531" s="275">
        <f>K528-K530</f>
        <v>-15554</v>
      </c>
      <c r="L531" s="275">
        <f t="shared" ref="L531:V531" si="1088">L528-L530</f>
        <v>40928.275189599997</v>
      </c>
      <c r="M531" s="275">
        <f t="shared" si="1088"/>
        <v>41965.965976712483</v>
      </c>
      <c r="N531" s="275">
        <f t="shared" si="1088"/>
        <v>43029.772752310862</v>
      </c>
      <c r="O531" s="275">
        <f t="shared" si="1088"/>
        <v>44120.349982307132</v>
      </c>
      <c r="P531" s="275">
        <f t="shared" si="1088"/>
        <v>45238.368492523179</v>
      </c>
      <c r="Q531" s="275">
        <f t="shared" si="1088"/>
        <v>46384.515877043814</v>
      </c>
      <c r="R531" s="275">
        <f t="shared" si="1088"/>
        <v>47559.496916753575</v>
      </c>
      <c r="S531" s="275">
        <f t="shared" si="1088"/>
        <v>48764.034008311515</v>
      </c>
      <c r="T531" s="275">
        <f t="shared" si="1088"/>
        <v>49998.867603823543</v>
      </c>
      <c r="U531" s="275">
        <f t="shared" si="1088"/>
        <v>51264.756661479769</v>
      </c>
      <c r="V531" s="275">
        <f t="shared" si="1088"/>
        <v>72950.4471357117</v>
      </c>
      <c r="W531" s="295" t="s">
        <v>360</v>
      </c>
    </row>
    <row r="532" spans="8:23" ht="16" thickBot="1">
      <c r="J532" s="271" t="s">
        <v>367</v>
      </c>
      <c r="K532" s="291">
        <f>K531/(1+$G$16)^(K515-$G$15)</f>
        <v>-10155.634427234865</v>
      </c>
      <c r="L532" s="291">
        <f t="shared" ref="L532:V532" si="1089">L531/(1+$G$16)^(L515-$G$15)</f>
        <v>24021.750315768899</v>
      </c>
      <c r="M532" s="291">
        <f t="shared" si="1089"/>
        <v>22140.869441264782</v>
      </c>
      <c r="N532" s="291">
        <f t="shared" si="1089"/>
        <v>20407.168032077108</v>
      </c>
      <c r="O532" s="291">
        <f t="shared" si="1089"/>
        <v>18809.137353829447</v>
      </c>
      <c r="P532" s="291">
        <f t="shared" si="1089"/>
        <v>17336.167884932427</v>
      </c>
      <c r="Q532" s="291">
        <f t="shared" si="1089"/>
        <v>15978.479121569319</v>
      </c>
      <c r="R532" s="291">
        <f t="shared" si="1089"/>
        <v>14727.054856702138</v>
      </c>
      <c r="S532" s="291">
        <f t="shared" si="1089"/>
        <v>13573.583506713132</v>
      </c>
      <c r="T532" s="291">
        <f t="shared" si="1089"/>
        <v>12510.403092464205</v>
      </c>
      <c r="U532" s="291">
        <f t="shared" si="1089"/>
        <v>11530.450512149668</v>
      </c>
      <c r="V532" s="291">
        <f t="shared" si="1089"/>
        <v>14749.305636936033</v>
      </c>
      <c r="W532" s="294">
        <f>SUM(K532:V532)</f>
        <v>175628.73532717227</v>
      </c>
    </row>
    <row r="538" spans="8:23">
      <c r="J538">
        <v>1112321</v>
      </c>
    </row>
    <row r="539" spans="8:23">
      <c r="H539" t="s">
        <v>420</v>
      </c>
    </row>
    <row r="540" spans="8:23" ht="15.5">
      <c r="J540" s="276" t="s">
        <v>407</v>
      </c>
      <c r="K540" s="276">
        <v>2013</v>
      </c>
      <c r="L540" s="276">
        <v>2014</v>
      </c>
      <c r="M540" s="276">
        <v>2015</v>
      </c>
      <c r="N540" s="276">
        <v>2016</v>
      </c>
      <c r="O540" s="276">
        <v>2017</v>
      </c>
      <c r="P540" s="276">
        <v>2018</v>
      </c>
      <c r="Q540" s="276">
        <v>2019</v>
      </c>
      <c r="R540" s="276">
        <v>2020</v>
      </c>
      <c r="S540" s="276">
        <v>2021</v>
      </c>
      <c r="T540" s="276">
        <v>2022</v>
      </c>
      <c r="U540" s="276">
        <v>2023</v>
      </c>
      <c r="V540" s="276">
        <v>2024</v>
      </c>
    </row>
    <row r="541" spans="8:23">
      <c r="J541" s="269" t="s">
        <v>33</v>
      </c>
      <c r="K541" s="277">
        <f>Données!$C$5</f>
        <v>560000</v>
      </c>
      <c r="L541" s="278">
        <f>K541*(1+$D$12)</f>
        <v>571200</v>
      </c>
      <c r="M541" s="278">
        <f t="shared" ref="M541:V541" si="1090">L541*(1+$D$12)</f>
        <v>582624</v>
      </c>
      <c r="N541" s="278">
        <f t="shared" si="1090"/>
        <v>594276.48</v>
      </c>
      <c r="O541" s="278">
        <f t="shared" si="1090"/>
        <v>606162.00959999999</v>
      </c>
      <c r="P541" s="278">
        <f t="shared" si="1090"/>
        <v>618285.24979200005</v>
      </c>
      <c r="Q541" s="278">
        <f t="shared" si="1090"/>
        <v>630650.95478784002</v>
      </c>
      <c r="R541" s="278">
        <f t="shared" si="1090"/>
        <v>643263.97388359683</v>
      </c>
      <c r="S541" s="278">
        <f t="shared" si="1090"/>
        <v>656129.25336126878</v>
      </c>
      <c r="T541" s="278">
        <f t="shared" si="1090"/>
        <v>669251.83842849417</v>
      </c>
      <c r="U541" s="278">
        <f t="shared" si="1090"/>
        <v>682636.87519706402</v>
      </c>
      <c r="V541" s="278">
        <f t="shared" si="1090"/>
        <v>696289.6127010053</v>
      </c>
    </row>
    <row r="542" spans="8:23">
      <c r="J542" s="269" t="s">
        <v>408</v>
      </c>
      <c r="K542" s="279"/>
      <c r="L542" s="278">
        <f>L541*$D$15</f>
        <v>285600</v>
      </c>
      <c r="M542" s="278">
        <f t="shared" ref="M542:V542" si="1091">M541*$D$15</f>
        <v>291312</v>
      </c>
      <c r="N542" s="278">
        <f t="shared" si="1091"/>
        <v>297138.24</v>
      </c>
      <c r="O542" s="278">
        <f t="shared" si="1091"/>
        <v>303081.0048</v>
      </c>
      <c r="P542" s="278">
        <f t="shared" si="1091"/>
        <v>309142.62489600002</v>
      </c>
      <c r="Q542" s="278">
        <f t="shared" si="1091"/>
        <v>315325.47739392001</v>
      </c>
      <c r="R542" s="278">
        <f t="shared" si="1091"/>
        <v>321631.98694179842</v>
      </c>
      <c r="S542" s="278">
        <f t="shared" si="1091"/>
        <v>328064.62668063439</v>
      </c>
      <c r="T542" s="278">
        <f t="shared" si="1091"/>
        <v>334625.91921424709</v>
      </c>
      <c r="U542" s="278">
        <f t="shared" si="1091"/>
        <v>341318.43759853201</v>
      </c>
      <c r="V542" s="278">
        <f t="shared" si="1091"/>
        <v>348144.80635050265</v>
      </c>
    </row>
    <row r="543" spans="8:23">
      <c r="J543" s="269" t="s">
        <v>409</v>
      </c>
      <c r="K543" s="280"/>
      <c r="L543" s="278">
        <f>L542*$D$18</f>
        <v>57120</v>
      </c>
      <c r="M543" s="278">
        <f t="shared" ref="M543:V543" si="1092">M542*$D$18</f>
        <v>58262.400000000001</v>
      </c>
      <c r="N543" s="278">
        <f t="shared" si="1092"/>
        <v>59427.648000000001</v>
      </c>
      <c r="O543" s="278">
        <f t="shared" si="1092"/>
        <v>60616.200960000002</v>
      </c>
      <c r="P543" s="278">
        <f t="shared" si="1092"/>
        <v>61828.52497920001</v>
      </c>
      <c r="Q543" s="278">
        <f t="shared" si="1092"/>
        <v>63065.095478784002</v>
      </c>
      <c r="R543" s="278">
        <f t="shared" si="1092"/>
        <v>64326.397388359685</v>
      </c>
      <c r="S543" s="278">
        <f t="shared" si="1092"/>
        <v>65612.925336126878</v>
      </c>
      <c r="T543" s="278">
        <f t="shared" si="1092"/>
        <v>66925.183842849423</v>
      </c>
      <c r="U543" s="278">
        <f t="shared" si="1092"/>
        <v>68263.687519706407</v>
      </c>
      <c r="V543" s="278">
        <f t="shared" si="1092"/>
        <v>69628.961270100539</v>
      </c>
    </row>
    <row r="544" spans="8:23">
      <c r="J544" s="269" t="s">
        <v>410</v>
      </c>
      <c r="K544" s="281"/>
      <c r="L544" s="288">
        <f>1</f>
        <v>1</v>
      </c>
      <c r="M544" s="288">
        <f>L544*(1+$G$12)</f>
        <v>1.0147600000000001</v>
      </c>
      <c r="N544" s="288">
        <f t="shared" ref="N544:V544" si="1093">M544*(1+$G$12)</f>
        <v>1.0297378576000003</v>
      </c>
      <c r="O544" s="288">
        <f t="shared" si="1093"/>
        <v>1.0449367883781764</v>
      </c>
      <c r="P544" s="288">
        <f t="shared" si="1093"/>
        <v>1.0603600553746384</v>
      </c>
      <c r="Q544" s="288">
        <f t="shared" si="1093"/>
        <v>1.0760109697919682</v>
      </c>
      <c r="R544" s="288">
        <f t="shared" si="1093"/>
        <v>1.0918928917060977</v>
      </c>
      <c r="S544" s="288">
        <f t="shared" si="1093"/>
        <v>1.1080092307876799</v>
      </c>
      <c r="T544" s="288">
        <f t="shared" si="1093"/>
        <v>1.1243634470341062</v>
      </c>
      <c r="U544" s="288">
        <f t="shared" si="1093"/>
        <v>1.1409590515123298</v>
      </c>
      <c r="V544" s="288">
        <f t="shared" si="1093"/>
        <v>1.157799607112652</v>
      </c>
    </row>
    <row r="545" spans="10:23" ht="15.5">
      <c r="J545" s="270" t="s">
        <v>411</v>
      </c>
      <c r="K545" s="282"/>
      <c r="L545" s="273">
        <f>L543*L544</f>
        <v>57120</v>
      </c>
      <c r="M545" s="273">
        <f t="shared" ref="M545:V545" si="1094">M543*M544</f>
        <v>59122.353024000011</v>
      </c>
      <c r="N545" s="273">
        <f t="shared" si="1094"/>
        <v>61194.898933726938</v>
      </c>
      <c r="O545" s="273">
        <f t="shared" si="1094"/>
        <v>63340.098354828537</v>
      </c>
      <c r="P545" s="273">
        <f t="shared" si="1094"/>
        <v>65560.498170676743</v>
      </c>
      <c r="Q545" s="273">
        <f t="shared" si="1094"/>
        <v>67858.734546149441</v>
      </c>
      <c r="R545" s="273">
        <f t="shared" si="1094"/>
        <v>70237.536057411635</v>
      </c>
      <c r="S545" s="273">
        <f t="shared" si="1094"/>
        <v>72699.726931411409</v>
      </c>
      <c r="T545" s="273">
        <f t="shared" si="1094"/>
        <v>75248.230398937449</v>
      </c>
      <c r="U545" s="273">
        <f t="shared" si="1094"/>
        <v>77886.072165218284</v>
      </c>
      <c r="V545" s="273">
        <f t="shared" si="1094"/>
        <v>80616.384002184466</v>
      </c>
    </row>
    <row r="546" spans="10:23">
      <c r="J546" s="283" t="s">
        <v>34</v>
      </c>
      <c r="K546" s="274"/>
      <c r="L546" s="289">
        <f>D21</f>
        <v>0.15</v>
      </c>
      <c r="M546" s="289">
        <f>L546*(1+$G$12)</f>
        <v>0.15221400000000002</v>
      </c>
      <c r="N546" s="289">
        <f t="shared" ref="N546:V546" si="1095">M546*(1+$G$12)</f>
        <v>0.15446067864000004</v>
      </c>
      <c r="O546" s="289">
        <f t="shared" si="1095"/>
        <v>0.15674051825672647</v>
      </c>
      <c r="P546" s="289">
        <f t="shared" si="1095"/>
        <v>0.15905400830619576</v>
      </c>
      <c r="Q546" s="289">
        <f t="shared" si="1095"/>
        <v>0.16140164546879524</v>
      </c>
      <c r="R546" s="289">
        <f t="shared" si="1095"/>
        <v>0.16378393375591466</v>
      </c>
      <c r="S546" s="289">
        <f t="shared" si="1095"/>
        <v>0.16620138461815198</v>
      </c>
      <c r="T546" s="289">
        <f t="shared" si="1095"/>
        <v>0.16865451705511592</v>
      </c>
      <c r="U546" s="289">
        <f t="shared" si="1095"/>
        <v>0.17114385772684945</v>
      </c>
      <c r="V546" s="289">
        <f t="shared" si="1095"/>
        <v>0.17366994106689776</v>
      </c>
    </row>
    <row r="547" spans="10:23" ht="15.5">
      <c r="J547" s="270" t="s">
        <v>412</v>
      </c>
      <c r="K547" s="282"/>
      <c r="L547" s="273">
        <f>L543*L546</f>
        <v>8568</v>
      </c>
      <c r="M547" s="273">
        <f t="shared" ref="M547:V547" si="1096">M543*M546</f>
        <v>8868.3529536000005</v>
      </c>
      <c r="N547" s="273">
        <f t="shared" si="1096"/>
        <v>9179.2348400590417</v>
      </c>
      <c r="O547" s="273">
        <f t="shared" si="1096"/>
        <v>9501.0147532242809</v>
      </c>
      <c r="P547" s="273">
        <f t="shared" si="1096"/>
        <v>9834.0747256015111</v>
      </c>
      <c r="Q547" s="273">
        <f t="shared" si="1096"/>
        <v>10178.810181922418</v>
      </c>
      <c r="R547" s="273">
        <f t="shared" si="1096"/>
        <v>10535.630408611743</v>
      </c>
      <c r="S547" s="273">
        <f t="shared" si="1096"/>
        <v>10904.959039711712</v>
      </c>
      <c r="T547" s="273">
        <f t="shared" si="1096"/>
        <v>11287.234559840615</v>
      </c>
      <c r="U547" s="273">
        <f t="shared" si="1096"/>
        <v>11682.910824782743</v>
      </c>
      <c r="V547" s="273">
        <f t="shared" si="1096"/>
        <v>12092.457600327667</v>
      </c>
    </row>
    <row r="548" spans="10:23">
      <c r="J548" s="285" t="s">
        <v>418</v>
      </c>
      <c r="K548" s="274"/>
      <c r="L548" s="274">
        <f>L545*0.03</f>
        <v>1713.6</v>
      </c>
      <c r="M548" s="274">
        <f t="shared" ref="M548:V548" si="1097">M545*0.03</f>
        <v>1773.6705907200003</v>
      </c>
      <c r="N548" s="274">
        <f t="shared" si="1097"/>
        <v>1835.846968011808</v>
      </c>
      <c r="O548" s="274">
        <f t="shared" si="1097"/>
        <v>1900.2029506448559</v>
      </c>
      <c r="P548" s="274">
        <f t="shared" si="1097"/>
        <v>1966.8149451203021</v>
      </c>
      <c r="Q548" s="274">
        <f t="shared" si="1097"/>
        <v>2035.7620363844831</v>
      </c>
      <c r="R548" s="274">
        <f t="shared" si="1097"/>
        <v>2107.1260817223488</v>
      </c>
      <c r="S548" s="274">
        <f t="shared" si="1097"/>
        <v>2180.9918079423423</v>
      </c>
      <c r="T548" s="274">
        <f t="shared" si="1097"/>
        <v>2257.4469119681235</v>
      </c>
      <c r="U548" s="274">
        <f t="shared" si="1097"/>
        <v>2336.5821649565482</v>
      </c>
      <c r="V548" s="274">
        <f t="shared" si="1097"/>
        <v>2418.4915200655337</v>
      </c>
    </row>
    <row r="549" spans="10:23">
      <c r="J549" s="285" t="s">
        <v>413</v>
      </c>
      <c r="K549" s="274"/>
      <c r="L549" s="284">
        <v>3000</v>
      </c>
      <c r="M549" s="274">
        <f>L549*(1+$G$12)</f>
        <v>3044.28</v>
      </c>
      <c r="N549" s="274">
        <f t="shared" ref="N549:V549" si="1098">M549*(1+$G$12)</f>
        <v>3089.2135728000007</v>
      </c>
      <c r="O549" s="274">
        <f t="shared" si="1098"/>
        <v>3134.8103651345291</v>
      </c>
      <c r="P549" s="274">
        <f t="shared" si="1098"/>
        <v>3181.0801661239152</v>
      </c>
      <c r="Q549" s="274">
        <f t="shared" si="1098"/>
        <v>3228.0329093759046</v>
      </c>
      <c r="R549" s="274">
        <f t="shared" si="1098"/>
        <v>3275.6786751182935</v>
      </c>
      <c r="S549" s="274">
        <f t="shared" si="1098"/>
        <v>3324.0276923630399</v>
      </c>
      <c r="T549" s="274">
        <f t="shared" si="1098"/>
        <v>3373.0903411023187</v>
      </c>
      <c r="U549" s="274">
        <f t="shared" si="1098"/>
        <v>3422.8771545369891</v>
      </c>
      <c r="V549" s="274">
        <f t="shared" si="1098"/>
        <v>3473.3988213379553</v>
      </c>
    </row>
    <row r="550" spans="10:23" ht="15.5">
      <c r="J550" s="270" t="s">
        <v>35</v>
      </c>
      <c r="K550" s="282"/>
      <c r="L550" s="273">
        <f>L548+L549</f>
        <v>4713.6000000000004</v>
      </c>
      <c r="M550" s="273">
        <f t="shared" ref="M550:V550" si="1099">M548+M549</f>
        <v>4817.95059072</v>
      </c>
      <c r="N550" s="273">
        <f t="shared" si="1099"/>
        <v>4925.060540811809</v>
      </c>
      <c r="O550" s="273">
        <f t="shared" si="1099"/>
        <v>5035.0133157793853</v>
      </c>
      <c r="P550" s="273">
        <f t="shared" si="1099"/>
        <v>5147.8951112442173</v>
      </c>
      <c r="Q550" s="273">
        <f t="shared" si="1099"/>
        <v>5263.7949457603881</v>
      </c>
      <c r="R550" s="273">
        <f t="shared" si="1099"/>
        <v>5382.8047568406419</v>
      </c>
      <c r="S550" s="273">
        <f t="shared" si="1099"/>
        <v>5505.0195003053823</v>
      </c>
      <c r="T550" s="273">
        <f t="shared" si="1099"/>
        <v>5630.5372530704426</v>
      </c>
      <c r="U550" s="273">
        <f t="shared" si="1099"/>
        <v>5759.4593194935369</v>
      </c>
      <c r="V550" s="273">
        <f t="shared" si="1099"/>
        <v>5891.8903414034885</v>
      </c>
    </row>
    <row r="551" spans="10:23">
      <c r="J551" s="286" t="s">
        <v>414</v>
      </c>
      <c r="K551" s="274"/>
      <c r="L551" s="274">
        <f>L545-L547-L550</f>
        <v>43838.400000000001</v>
      </c>
      <c r="M551" s="274">
        <f t="shared" ref="M551:V551" si="1100">M545-M547-M550</f>
        <v>45436.049479680012</v>
      </c>
      <c r="N551" s="274">
        <f t="shared" si="1100"/>
        <v>47090.60355285609</v>
      </c>
      <c r="O551" s="274">
        <f t="shared" si="1100"/>
        <v>48804.070285824877</v>
      </c>
      <c r="P551" s="274">
        <f t="shared" si="1100"/>
        <v>50578.528333831018</v>
      </c>
      <c r="Q551" s="274">
        <f t="shared" si="1100"/>
        <v>52416.129418466633</v>
      </c>
      <c r="R551" s="274">
        <f t="shared" si="1100"/>
        <v>54319.10089195925</v>
      </c>
      <c r="S551" s="274">
        <f t="shared" si="1100"/>
        <v>56289.748391394314</v>
      </c>
      <c r="T551" s="274">
        <f t="shared" si="1100"/>
        <v>58330.458586026391</v>
      </c>
      <c r="U551" s="274">
        <f t="shared" si="1100"/>
        <v>60443.702020942008</v>
      </c>
      <c r="V551" s="274">
        <f t="shared" si="1100"/>
        <v>62632.036060453305</v>
      </c>
    </row>
    <row r="552" spans="10:23">
      <c r="J552" s="286" t="s">
        <v>415</v>
      </c>
      <c r="K552" s="274"/>
      <c r="L552" s="274">
        <f>L551*$G$13</f>
        <v>17535.36</v>
      </c>
      <c r="M552" s="274">
        <f t="shared" ref="M552:Q552" si="1101">M551*$G$13</f>
        <v>18174.419791872006</v>
      </c>
      <c r="N552" s="274">
        <f t="shared" si="1101"/>
        <v>18836.241421142437</v>
      </c>
      <c r="O552" s="274">
        <f t="shared" si="1101"/>
        <v>19521.628114329953</v>
      </c>
      <c r="P552" s="274">
        <f t="shared" si="1101"/>
        <v>20231.411333532407</v>
      </c>
      <c r="Q552" s="274">
        <f t="shared" si="1101"/>
        <v>20966.451767386654</v>
      </c>
      <c r="R552" s="274">
        <f>R551*$G$13</f>
        <v>21727.640356783701</v>
      </c>
      <c r="S552" s="274">
        <f t="shared" ref="S552:V552" si="1102">S551*$G$13</f>
        <v>22515.899356557726</v>
      </c>
      <c r="T552" s="274">
        <f t="shared" si="1102"/>
        <v>23332.183434410559</v>
      </c>
      <c r="U552" s="274">
        <f t="shared" si="1102"/>
        <v>24177.480808376804</v>
      </c>
      <c r="V552" s="274">
        <f t="shared" si="1102"/>
        <v>25052.814424181324</v>
      </c>
    </row>
    <row r="553" spans="10:23" ht="15.5">
      <c r="J553" s="270" t="s">
        <v>358</v>
      </c>
      <c r="K553" s="272"/>
      <c r="L553" s="273">
        <f>L551-L552</f>
        <v>26303.040000000001</v>
      </c>
      <c r="M553" s="273">
        <f t="shared" ref="M553:V553" si="1103">M551-M552</f>
        <v>27261.629687808007</v>
      </c>
      <c r="N553" s="273">
        <f t="shared" si="1103"/>
        <v>28254.362131713653</v>
      </c>
      <c r="O553" s="273">
        <f t="shared" si="1103"/>
        <v>29282.442171494924</v>
      </c>
      <c r="P553" s="273">
        <f t="shared" si="1103"/>
        <v>30347.117000298611</v>
      </c>
      <c r="Q553" s="273">
        <f t="shared" si="1103"/>
        <v>31449.677651079979</v>
      </c>
      <c r="R553" s="273">
        <f t="shared" si="1103"/>
        <v>32591.460535175549</v>
      </c>
      <c r="S553" s="273">
        <f t="shared" si="1103"/>
        <v>33773.849034836589</v>
      </c>
      <c r="T553" s="273">
        <f t="shared" si="1103"/>
        <v>34998.275151615831</v>
      </c>
      <c r="U553" s="273">
        <f t="shared" si="1103"/>
        <v>36266.2212125652</v>
      </c>
      <c r="V553" s="273">
        <f t="shared" si="1103"/>
        <v>37579.221636271977</v>
      </c>
    </row>
    <row r="554" spans="10:23" ht="15.5">
      <c r="J554" s="270" t="s">
        <v>419</v>
      </c>
      <c r="K554" s="272"/>
      <c r="L554" s="273">
        <f>M545*$G$14</f>
        <v>9853.7255040000018</v>
      </c>
      <c r="M554" s="273">
        <f t="shared" ref="M554:V554" si="1104">N545*$G$14</f>
        <v>10199.149822287822</v>
      </c>
      <c r="N554" s="273">
        <f t="shared" si="1104"/>
        <v>10556.683059138089</v>
      </c>
      <c r="O554" s="273">
        <f t="shared" si="1104"/>
        <v>10926.749695112791</v>
      </c>
      <c r="P554" s="273">
        <f t="shared" si="1104"/>
        <v>11309.789091024906</v>
      </c>
      <c r="Q554" s="273">
        <f t="shared" si="1104"/>
        <v>11706.256009568606</v>
      </c>
      <c r="R554" s="273">
        <f t="shared" si="1104"/>
        <v>12116.621155235234</v>
      </c>
      <c r="S554" s="273">
        <f t="shared" si="1104"/>
        <v>12541.37173315624</v>
      </c>
      <c r="T554" s="273">
        <f t="shared" si="1104"/>
        <v>12981.012027536381</v>
      </c>
      <c r="U554" s="273">
        <f t="shared" si="1104"/>
        <v>13436.064000364076</v>
      </c>
      <c r="V554" s="273">
        <f t="shared" si="1104"/>
        <v>0</v>
      </c>
    </row>
    <row r="555" spans="10:23" ht="16" thickBot="1">
      <c r="J555" s="270" t="s">
        <v>416</v>
      </c>
      <c r="K555" s="290">
        <f>L545*$G$14</f>
        <v>9520</v>
      </c>
      <c r="L555" s="273">
        <f>L554-K555</f>
        <v>333.72550400000182</v>
      </c>
      <c r="M555" s="273">
        <f>M554-L554</f>
        <v>345.42431828781991</v>
      </c>
      <c r="N555" s="273">
        <f t="shared" ref="N555:V555" si="1105">N554-M554</f>
        <v>357.53323685026771</v>
      </c>
      <c r="O555" s="273">
        <f t="shared" si="1105"/>
        <v>370.06663597470106</v>
      </c>
      <c r="P555" s="273">
        <f t="shared" si="1105"/>
        <v>383.03939591211565</v>
      </c>
      <c r="Q555" s="273">
        <f t="shared" si="1105"/>
        <v>396.46691854369965</v>
      </c>
      <c r="R555" s="273">
        <f t="shared" si="1105"/>
        <v>410.36514566662845</v>
      </c>
      <c r="S555" s="273">
        <f t="shared" si="1105"/>
        <v>424.75057792100597</v>
      </c>
      <c r="T555" s="273">
        <f t="shared" si="1105"/>
        <v>439.6402943801404</v>
      </c>
      <c r="U555" s="273">
        <f t="shared" si="1105"/>
        <v>455.05197282769586</v>
      </c>
      <c r="V555" s="273">
        <f t="shared" si="1105"/>
        <v>-13436.064000364076</v>
      </c>
    </row>
    <row r="556" spans="10:23" ht="15.5">
      <c r="J556" s="271" t="s">
        <v>417</v>
      </c>
      <c r="K556" s="275">
        <f>K553-K555</f>
        <v>-9520</v>
      </c>
      <c r="L556" s="275">
        <f>L553-L555</f>
        <v>25969.314495999999</v>
      </c>
      <c r="M556" s="275">
        <f>M553-M555</f>
        <v>26916.205369520187</v>
      </c>
      <c r="N556" s="275">
        <f t="shared" ref="N556:V556" si="1106">N553-N555</f>
        <v>27896.828894863385</v>
      </c>
      <c r="O556" s="275">
        <f t="shared" si="1106"/>
        <v>28912.375535520223</v>
      </c>
      <c r="P556" s="275">
        <f t="shared" si="1106"/>
        <v>29964.077604386497</v>
      </c>
      <c r="Q556" s="275">
        <f t="shared" si="1106"/>
        <v>31053.210732536281</v>
      </c>
      <c r="R556" s="275">
        <f t="shared" si="1106"/>
        <v>32181.095389508919</v>
      </c>
      <c r="S556" s="275">
        <f t="shared" si="1106"/>
        <v>33349.098456915584</v>
      </c>
      <c r="T556" s="275">
        <f t="shared" si="1106"/>
        <v>34558.634857235695</v>
      </c>
      <c r="U556" s="275">
        <f t="shared" si="1106"/>
        <v>35811.169239737501</v>
      </c>
      <c r="V556" s="275">
        <f t="shared" si="1106"/>
        <v>51015.28563663605</v>
      </c>
      <c r="W556" s="295" t="s">
        <v>360</v>
      </c>
    </row>
    <row r="557" spans="10:23" ht="16" thickBot="1">
      <c r="J557" s="271" t="s">
        <v>367</v>
      </c>
      <c r="K557" s="291">
        <f>K556/(1+$G$16)^(K540-$G$15)</f>
        <v>-6215.8698564533825</v>
      </c>
      <c r="L557" s="291">
        <f>L556/(1+$G$16)^(L540-$G$15)</f>
        <v>15241.990672822356</v>
      </c>
      <c r="M557" s="291">
        <f t="shared" ref="M557:V557" si="1107">M556/(1+$G$16)^(M540-$G$15)</f>
        <v>14200.749942739714</v>
      </c>
      <c r="N557" s="291">
        <f t="shared" si="1107"/>
        <v>13230.264498410761</v>
      </c>
      <c r="O557" s="291">
        <f t="shared" si="1107"/>
        <v>12325.759947307221</v>
      </c>
      <c r="P557" s="291">
        <f t="shared" si="1107"/>
        <v>11482.781036912127</v>
      </c>
      <c r="Q557" s="291">
        <f t="shared" si="1107"/>
        <v>10697.170595955049</v>
      </c>
      <c r="R557" s="291">
        <f t="shared" si="1107"/>
        <v>9965.0498401952591</v>
      </c>
      <c r="S557" s="291">
        <f t="shared" si="1107"/>
        <v>9282.7999566522249</v>
      </c>
      <c r="T557" s="291">
        <f t="shared" si="1107"/>
        <v>8647.0448853973721</v>
      </c>
      <c r="U557" s="291">
        <f t="shared" si="1107"/>
        <v>8054.6352229401318</v>
      </c>
      <c r="V557" s="291">
        <f t="shared" si="1107"/>
        <v>10314.399288198376</v>
      </c>
      <c r="W557" s="294">
        <f>SUM(K557:V557)</f>
        <v>117226.7760310772</v>
      </c>
    </row>
    <row r="563" spans="10:22">
      <c r="J563">
        <v>1112322</v>
      </c>
    </row>
    <row r="565" spans="10:22" ht="15.5">
      <c r="J565" s="276" t="s">
        <v>407</v>
      </c>
      <c r="K565" s="276">
        <v>2013</v>
      </c>
      <c r="L565" s="276">
        <v>2014</v>
      </c>
      <c r="M565" s="276">
        <v>2015</v>
      </c>
      <c r="N565" s="276">
        <v>2016</v>
      </c>
      <c r="O565" s="276">
        <v>2017</v>
      </c>
      <c r="P565" s="276">
        <v>2018</v>
      </c>
      <c r="Q565" s="276">
        <v>2019</v>
      </c>
      <c r="R565" s="276">
        <v>2020</v>
      </c>
      <c r="S565" s="276">
        <v>2021</v>
      </c>
      <c r="T565" s="276">
        <v>2022</v>
      </c>
      <c r="U565" s="276">
        <v>2023</v>
      </c>
      <c r="V565" s="276">
        <v>2024</v>
      </c>
    </row>
    <row r="566" spans="10:22">
      <c r="J566" s="269" t="s">
        <v>33</v>
      </c>
      <c r="K566" s="277">
        <f>Données!$C$5</f>
        <v>560000</v>
      </c>
      <c r="L566" s="278">
        <f>K566*(1+$D$13)</f>
        <v>565600</v>
      </c>
      <c r="M566" s="278">
        <f t="shared" ref="M566:V566" si="1108">L566*(1+$D$13)</f>
        <v>571256</v>
      </c>
      <c r="N566" s="278">
        <f t="shared" si="1108"/>
        <v>576968.56000000006</v>
      </c>
      <c r="O566" s="278">
        <f t="shared" si="1108"/>
        <v>582738.24560000002</v>
      </c>
      <c r="P566" s="278">
        <f t="shared" si="1108"/>
        <v>588565.62805599999</v>
      </c>
      <c r="Q566" s="278">
        <f t="shared" si="1108"/>
        <v>594451.28433655994</v>
      </c>
      <c r="R566" s="278">
        <f t="shared" si="1108"/>
        <v>600395.79717992549</v>
      </c>
      <c r="S566" s="278">
        <f t="shared" si="1108"/>
        <v>606399.75515172479</v>
      </c>
      <c r="T566" s="278">
        <f t="shared" si="1108"/>
        <v>612463.752703242</v>
      </c>
      <c r="U566" s="278">
        <f t="shared" si="1108"/>
        <v>618588.39023027441</v>
      </c>
      <c r="V566" s="278">
        <f t="shared" si="1108"/>
        <v>624774.27413257712</v>
      </c>
    </row>
    <row r="567" spans="10:22">
      <c r="J567" s="269" t="s">
        <v>408</v>
      </c>
      <c r="K567" s="279"/>
      <c r="L567" s="278">
        <f>L566*$D$15</f>
        <v>282800</v>
      </c>
      <c r="M567" s="278">
        <f t="shared" ref="M567:V567" si="1109">M566*$D$15</f>
        <v>285628</v>
      </c>
      <c r="N567" s="278">
        <f t="shared" si="1109"/>
        <v>288484.28000000003</v>
      </c>
      <c r="O567" s="278">
        <f t="shared" si="1109"/>
        <v>291369.12280000001</v>
      </c>
      <c r="P567" s="278">
        <f t="shared" si="1109"/>
        <v>294282.81402799999</v>
      </c>
      <c r="Q567" s="278">
        <f t="shared" si="1109"/>
        <v>297225.64216827997</v>
      </c>
      <c r="R567" s="278">
        <f t="shared" si="1109"/>
        <v>300197.89858996274</v>
      </c>
      <c r="S567" s="278">
        <f t="shared" si="1109"/>
        <v>303199.8775758624</v>
      </c>
      <c r="T567" s="278">
        <f t="shared" si="1109"/>
        <v>306231.876351621</v>
      </c>
      <c r="U567" s="278">
        <f t="shared" si="1109"/>
        <v>309294.1951151372</v>
      </c>
      <c r="V567" s="278">
        <f t="shared" si="1109"/>
        <v>312387.13706628856</v>
      </c>
    </row>
    <row r="568" spans="10:22">
      <c r="J568" s="269" t="s">
        <v>409</v>
      </c>
      <c r="K568" s="280"/>
      <c r="L568" s="278">
        <f>L567*$D$18</f>
        <v>56560</v>
      </c>
      <c r="M568" s="278">
        <f t="shared" ref="M568:V568" si="1110">M567*$D$18</f>
        <v>57125.600000000006</v>
      </c>
      <c r="N568" s="278">
        <f t="shared" si="1110"/>
        <v>57696.856000000007</v>
      </c>
      <c r="O568" s="278">
        <f t="shared" si="1110"/>
        <v>58273.824560000008</v>
      </c>
      <c r="P568" s="278">
        <f t="shared" si="1110"/>
        <v>58856.562805599999</v>
      </c>
      <c r="Q568" s="278">
        <f t="shared" si="1110"/>
        <v>59445.128433655998</v>
      </c>
      <c r="R568" s="278">
        <f t="shared" si="1110"/>
        <v>60039.57971799255</v>
      </c>
      <c r="S568" s="278">
        <f t="shared" si="1110"/>
        <v>60639.975515172482</v>
      </c>
      <c r="T568" s="278">
        <f t="shared" si="1110"/>
        <v>61246.375270324206</v>
      </c>
      <c r="U568" s="278">
        <f t="shared" si="1110"/>
        <v>61858.839023027445</v>
      </c>
      <c r="V568" s="278">
        <f t="shared" si="1110"/>
        <v>62477.427413257712</v>
      </c>
    </row>
    <row r="569" spans="10:22">
      <c r="J569" s="269" t="s">
        <v>410</v>
      </c>
      <c r="K569" s="281"/>
      <c r="L569" s="288">
        <f>1</f>
        <v>1</v>
      </c>
      <c r="M569" s="288">
        <f>L569*(1+$G$12)</f>
        <v>1.0147600000000001</v>
      </c>
      <c r="N569" s="288">
        <f t="shared" ref="N569:V569" si="1111">M569*(1+$G$12)</f>
        <v>1.0297378576000003</v>
      </c>
      <c r="O569" s="288">
        <f t="shared" si="1111"/>
        <v>1.0449367883781764</v>
      </c>
      <c r="P569" s="288">
        <f t="shared" si="1111"/>
        <v>1.0603600553746384</v>
      </c>
      <c r="Q569" s="288">
        <f t="shared" si="1111"/>
        <v>1.0760109697919682</v>
      </c>
      <c r="R569" s="288">
        <f t="shared" si="1111"/>
        <v>1.0918928917060977</v>
      </c>
      <c r="S569" s="288">
        <f t="shared" si="1111"/>
        <v>1.1080092307876799</v>
      </c>
      <c r="T569" s="288">
        <f t="shared" si="1111"/>
        <v>1.1243634470341062</v>
      </c>
      <c r="U569" s="288">
        <f t="shared" si="1111"/>
        <v>1.1409590515123298</v>
      </c>
      <c r="V569" s="288">
        <f t="shared" si="1111"/>
        <v>1.157799607112652</v>
      </c>
    </row>
    <row r="570" spans="10:22" ht="15.5">
      <c r="J570" s="270" t="s">
        <v>411</v>
      </c>
      <c r="K570" s="282"/>
      <c r="L570" s="273">
        <f>L568*L569</f>
        <v>56560</v>
      </c>
      <c r="M570" s="273">
        <f t="shared" ref="M570:V570" si="1112">M568*M569</f>
        <v>57968.773856000014</v>
      </c>
      <c r="N570" s="273">
        <f t="shared" si="1112"/>
        <v>59412.636887695728</v>
      </c>
      <c r="O570" s="273">
        <f t="shared" si="1112"/>
        <v>60892.463082239708</v>
      </c>
      <c r="P570" s="273">
        <f t="shared" si="1112"/>
        <v>62409.148195706897</v>
      </c>
      <c r="Q570" s="273">
        <f t="shared" si="1112"/>
        <v>63963.610295306295</v>
      </c>
      <c r="R570" s="273">
        <f t="shared" si="1112"/>
        <v>65556.790315097664</v>
      </c>
      <c r="S570" s="273">
        <f t="shared" si="1112"/>
        <v>67189.652625550007</v>
      </c>
      <c r="T570" s="273">
        <f t="shared" si="1112"/>
        <v>68863.185617286159</v>
      </c>
      <c r="U570" s="273">
        <f t="shared" si="1112"/>
        <v>70578.402299367284</v>
      </c>
      <c r="V570" s="273">
        <f t="shared" si="1112"/>
        <v>72336.340912479005</v>
      </c>
    </row>
    <row r="571" spans="10:22">
      <c r="J571" s="283" t="s">
        <v>34</v>
      </c>
      <c r="K571" s="274"/>
      <c r="L571" s="289">
        <f>D21</f>
        <v>0.15</v>
      </c>
      <c r="M571" s="289">
        <f>L571*(1+$G$12)</f>
        <v>0.15221400000000002</v>
      </c>
      <c r="N571" s="289">
        <f t="shared" ref="N571:V571" si="1113">M571*(1+$G$12)</f>
        <v>0.15446067864000004</v>
      </c>
      <c r="O571" s="289">
        <f t="shared" si="1113"/>
        <v>0.15674051825672647</v>
      </c>
      <c r="P571" s="289">
        <f t="shared" si="1113"/>
        <v>0.15905400830619576</v>
      </c>
      <c r="Q571" s="289">
        <f t="shared" si="1113"/>
        <v>0.16140164546879524</v>
      </c>
      <c r="R571" s="289">
        <f t="shared" si="1113"/>
        <v>0.16378393375591466</v>
      </c>
      <c r="S571" s="289">
        <f t="shared" si="1113"/>
        <v>0.16620138461815198</v>
      </c>
      <c r="T571" s="289">
        <f t="shared" si="1113"/>
        <v>0.16865451705511592</v>
      </c>
      <c r="U571" s="289">
        <f t="shared" si="1113"/>
        <v>0.17114385772684945</v>
      </c>
      <c r="V571" s="289">
        <f t="shared" si="1113"/>
        <v>0.17366994106689776</v>
      </c>
    </row>
    <row r="572" spans="10:22" ht="15.5">
      <c r="J572" s="270" t="s">
        <v>412</v>
      </c>
      <c r="K572" s="282"/>
      <c r="L572" s="273">
        <f>L568*L571</f>
        <v>8484</v>
      </c>
      <c r="M572" s="273">
        <f t="shared" ref="M572:V572" si="1114">M568*M571</f>
        <v>8695.3160784000011</v>
      </c>
      <c r="N572" s="273">
        <f t="shared" si="1114"/>
        <v>8911.8955331543602</v>
      </c>
      <c r="O572" s="273">
        <f t="shared" si="1114"/>
        <v>9133.869462335957</v>
      </c>
      <c r="P572" s="273">
        <f t="shared" si="1114"/>
        <v>9361.3722293560349</v>
      </c>
      <c r="Q572" s="273">
        <f t="shared" si="1114"/>
        <v>9594.5415442959438</v>
      </c>
      <c r="R572" s="273">
        <f t="shared" si="1114"/>
        <v>9833.5185472646499</v>
      </c>
      <c r="S572" s="273">
        <f t="shared" si="1114"/>
        <v>10078.447893832501</v>
      </c>
      <c r="T572" s="273">
        <f t="shared" si="1114"/>
        <v>10329.477842592923</v>
      </c>
      <c r="U572" s="273">
        <f t="shared" si="1114"/>
        <v>10586.760344905091</v>
      </c>
      <c r="V572" s="273">
        <f t="shared" si="1114"/>
        <v>10850.451136871849</v>
      </c>
    </row>
    <row r="573" spans="10:22">
      <c r="J573" s="285" t="s">
        <v>418</v>
      </c>
      <c r="K573" s="274"/>
      <c r="L573" s="274">
        <f>L570*0.03</f>
        <v>1696.8</v>
      </c>
      <c r="M573" s="274">
        <f t="shared" ref="M573:V573" si="1115">M570*0.03</f>
        <v>1739.0632156800004</v>
      </c>
      <c r="N573" s="274">
        <f t="shared" si="1115"/>
        <v>1782.3791066308718</v>
      </c>
      <c r="O573" s="274">
        <f t="shared" si="1115"/>
        <v>1826.7738924671912</v>
      </c>
      <c r="P573" s="274">
        <f t="shared" si="1115"/>
        <v>1872.2744458712068</v>
      </c>
      <c r="Q573" s="274">
        <f t="shared" si="1115"/>
        <v>1918.9083088591888</v>
      </c>
      <c r="R573" s="274">
        <f t="shared" si="1115"/>
        <v>1966.7037094529298</v>
      </c>
      <c r="S573" s="274">
        <f t="shared" si="1115"/>
        <v>2015.6895787665001</v>
      </c>
      <c r="T573" s="274">
        <f t="shared" si="1115"/>
        <v>2065.8955685185847</v>
      </c>
      <c r="U573" s="274">
        <f t="shared" si="1115"/>
        <v>2117.3520689810184</v>
      </c>
      <c r="V573" s="274">
        <f t="shared" si="1115"/>
        <v>2170.09022737437</v>
      </c>
    </row>
    <row r="574" spans="10:22">
      <c r="J574" s="285" t="s">
        <v>413</v>
      </c>
      <c r="K574" s="274"/>
      <c r="L574" s="284">
        <v>3000</v>
      </c>
      <c r="M574" s="274">
        <f>L574*(1+$G$12)</f>
        <v>3044.28</v>
      </c>
      <c r="N574" s="274">
        <f t="shared" ref="N574:V574" si="1116">M574*(1+$G$12)</f>
        <v>3089.2135728000007</v>
      </c>
      <c r="O574" s="274">
        <f t="shared" si="1116"/>
        <v>3134.8103651345291</v>
      </c>
      <c r="P574" s="274">
        <f t="shared" si="1116"/>
        <v>3181.0801661239152</v>
      </c>
      <c r="Q574" s="274">
        <f t="shared" si="1116"/>
        <v>3228.0329093759046</v>
      </c>
      <c r="R574" s="274">
        <f t="shared" si="1116"/>
        <v>3275.6786751182935</v>
      </c>
      <c r="S574" s="274">
        <f t="shared" si="1116"/>
        <v>3324.0276923630399</v>
      </c>
      <c r="T574" s="274">
        <f t="shared" si="1116"/>
        <v>3373.0903411023187</v>
      </c>
      <c r="U574" s="274">
        <f t="shared" si="1116"/>
        <v>3422.8771545369891</v>
      </c>
      <c r="V574" s="274">
        <f t="shared" si="1116"/>
        <v>3473.3988213379553</v>
      </c>
    </row>
    <row r="575" spans="10:22" ht="15.5">
      <c r="J575" s="270" t="s">
        <v>35</v>
      </c>
      <c r="K575" s="282"/>
      <c r="L575" s="273">
        <f>L573+L574</f>
        <v>4696.8</v>
      </c>
      <c r="M575" s="273">
        <f t="shared" ref="M575:V575" si="1117">M573+M574</f>
        <v>4783.3432156800009</v>
      </c>
      <c r="N575" s="273">
        <f t="shared" si="1117"/>
        <v>4871.5926794308725</v>
      </c>
      <c r="O575" s="273">
        <f t="shared" si="1117"/>
        <v>4961.5842576017203</v>
      </c>
      <c r="P575" s="273">
        <f t="shared" si="1117"/>
        <v>5053.3546119951225</v>
      </c>
      <c r="Q575" s="273">
        <f t="shared" si="1117"/>
        <v>5146.9412182350934</v>
      </c>
      <c r="R575" s="273">
        <f t="shared" si="1117"/>
        <v>5242.3823845712232</v>
      </c>
      <c r="S575" s="273">
        <f t="shared" si="1117"/>
        <v>5339.7172711295398</v>
      </c>
      <c r="T575" s="273">
        <f t="shared" si="1117"/>
        <v>5438.9859096209038</v>
      </c>
      <c r="U575" s="273">
        <f t="shared" si="1117"/>
        <v>5540.2292235180075</v>
      </c>
      <c r="V575" s="273">
        <f t="shared" si="1117"/>
        <v>5643.4890487123248</v>
      </c>
    </row>
    <row r="576" spans="10:22">
      <c r="J576" s="286" t="s">
        <v>414</v>
      </c>
      <c r="K576" s="274"/>
      <c r="L576" s="274">
        <f>L570-L572-L575</f>
        <v>43379.199999999997</v>
      </c>
      <c r="M576" s="274">
        <f t="shared" ref="M576:V576" si="1118">M570-M572-M575</f>
        <v>44490.114561920011</v>
      </c>
      <c r="N576" s="274">
        <f t="shared" si="1118"/>
        <v>45629.148675110497</v>
      </c>
      <c r="O576" s="274">
        <f t="shared" si="1118"/>
        <v>46797.009362302037</v>
      </c>
      <c r="P576" s="274">
        <f t="shared" si="1118"/>
        <v>47994.421354355742</v>
      </c>
      <c r="Q576" s="274">
        <f t="shared" si="1118"/>
        <v>49222.127532775259</v>
      </c>
      <c r="R576" s="274">
        <f t="shared" si="1118"/>
        <v>50480.88938326179</v>
      </c>
      <c r="S576" s="274">
        <f t="shared" si="1118"/>
        <v>51771.48746058796</v>
      </c>
      <c r="T576" s="274">
        <f t="shared" si="1118"/>
        <v>53094.72186507233</v>
      </c>
      <c r="U576" s="274">
        <f t="shared" si="1118"/>
        <v>54451.412730944183</v>
      </c>
      <c r="V576" s="274">
        <f t="shared" si="1118"/>
        <v>55842.400726894826</v>
      </c>
    </row>
    <row r="577" spans="10:23">
      <c r="J577" s="286" t="s">
        <v>415</v>
      </c>
      <c r="K577" s="274"/>
      <c r="L577" s="274">
        <f>L576*$G$13</f>
        <v>17351.68</v>
      </c>
      <c r="M577" s="274">
        <f t="shared" ref="M577:Q577" si="1119">M576*$G$13</f>
        <v>17796.045824768004</v>
      </c>
      <c r="N577" s="274">
        <f t="shared" si="1119"/>
        <v>18251.6594700442</v>
      </c>
      <c r="O577" s="274">
        <f t="shared" si="1119"/>
        <v>18718.803744920817</v>
      </c>
      <c r="P577" s="274">
        <f t="shared" si="1119"/>
        <v>19197.768541742298</v>
      </c>
      <c r="Q577" s="274">
        <f t="shared" si="1119"/>
        <v>19688.851013110107</v>
      </c>
      <c r="R577" s="274">
        <f>R576*$G$13</f>
        <v>20192.355753304717</v>
      </c>
      <c r="S577" s="274">
        <f t="shared" ref="S577:V577" si="1120">S576*$G$13</f>
        <v>20708.594984235184</v>
      </c>
      <c r="T577" s="274">
        <f t="shared" si="1120"/>
        <v>21237.888746028933</v>
      </c>
      <c r="U577" s="274">
        <f t="shared" si="1120"/>
        <v>21780.565092377674</v>
      </c>
      <c r="V577" s="274">
        <f t="shared" si="1120"/>
        <v>22336.960290757932</v>
      </c>
    </row>
    <row r="578" spans="10:23" ht="15.5">
      <c r="J578" s="270" t="s">
        <v>358</v>
      </c>
      <c r="K578" s="272"/>
      <c r="L578" s="273">
        <f>L576-L577</f>
        <v>26027.519999999997</v>
      </c>
      <c r="M578" s="273">
        <f t="shared" ref="M578:V578" si="1121">M576-M577</f>
        <v>26694.068737152007</v>
      </c>
      <c r="N578" s="273">
        <f t="shared" si="1121"/>
        <v>27377.489205066297</v>
      </c>
      <c r="O578" s="273">
        <f t="shared" si="1121"/>
        <v>28078.20561738122</v>
      </c>
      <c r="P578" s="273">
        <f t="shared" si="1121"/>
        <v>28796.652812613444</v>
      </c>
      <c r="Q578" s="273">
        <f t="shared" si="1121"/>
        <v>29533.276519665153</v>
      </c>
      <c r="R578" s="273">
        <f t="shared" si="1121"/>
        <v>30288.533629957074</v>
      </c>
      <c r="S578" s="273">
        <f t="shared" si="1121"/>
        <v>31062.892476352776</v>
      </c>
      <c r="T578" s="273">
        <f t="shared" si="1121"/>
        <v>31856.833119043396</v>
      </c>
      <c r="U578" s="273">
        <f t="shared" si="1121"/>
        <v>32670.847638566509</v>
      </c>
      <c r="V578" s="273">
        <f t="shared" si="1121"/>
        <v>33505.440436136894</v>
      </c>
    </row>
    <row r="579" spans="10:23" ht="15.5">
      <c r="J579" s="270" t="s">
        <v>419</v>
      </c>
      <c r="K579" s="272"/>
      <c r="L579" s="273">
        <f>M570*$G$14</f>
        <v>9661.4623093333357</v>
      </c>
      <c r="M579" s="273">
        <f t="shared" ref="M579:V579" si="1122">N570*$G$14</f>
        <v>9902.1061479492873</v>
      </c>
      <c r="N579" s="273">
        <f t="shared" si="1122"/>
        <v>10148.74384703995</v>
      </c>
      <c r="O579" s="273">
        <f t="shared" si="1122"/>
        <v>10401.524699284482</v>
      </c>
      <c r="P579" s="273">
        <f t="shared" si="1122"/>
        <v>10660.601715884382</v>
      </c>
      <c r="Q579" s="273">
        <f t="shared" si="1122"/>
        <v>10926.131719182944</v>
      </c>
      <c r="R579" s="273">
        <f t="shared" si="1122"/>
        <v>11198.275437591667</v>
      </c>
      <c r="S579" s="273">
        <f t="shared" si="1122"/>
        <v>11477.197602881026</v>
      </c>
      <c r="T579" s="273">
        <f t="shared" si="1122"/>
        <v>11763.067049894547</v>
      </c>
      <c r="U579" s="273">
        <f t="shared" si="1122"/>
        <v>12056.0568187465</v>
      </c>
      <c r="V579" s="273">
        <f t="shared" si="1122"/>
        <v>0</v>
      </c>
    </row>
    <row r="580" spans="10:23" ht="16" thickBot="1">
      <c r="J580" s="270" t="s">
        <v>416</v>
      </c>
      <c r="K580" s="290">
        <f>L570*$G$14</f>
        <v>9426.6666666666661</v>
      </c>
      <c r="L580" s="273">
        <f>L579-K580</f>
        <v>234.79564266666966</v>
      </c>
      <c r="M580" s="273">
        <f>M579-L579</f>
        <v>240.64383861595161</v>
      </c>
      <c r="N580" s="273">
        <f t="shared" ref="N580:V580" si="1123">N579-M579</f>
        <v>246.63769909066286</v>
      </c>
      <c r="O580" s="273">
        <f t="shared" si="1123"/>
        <v>252.78085224453207</v>
      </c>
      <c r="P580" s="273">
        <f t="shared" si="1123"/>
        <v>259.07701659990016</v>
      </c>
      <c r="Q580" s="273">
        <f t="shared" si="1123"/>
        <v>265.5300032985615</v>
      </c>
      <c r="R580" s="273">
        <f t="shared" si="1123"/>
        <v>272.14371840872263</v>
      </c>
      <c r="S580" s="273">
        <f t="shared" si="1123"/>
        <v>278.92216528935933</v>
      </c>
      <c r="T580" s="273">
        <f t="shared" si="1123"/>
        <v>285.86944701352149</v>
      </c>
      <c r="U580" s="273">
        <f t="shared" si="1123"/>
        <v>292.98976885195225</v>
      </c>
      <c r="V580" s="273">
        <f t="shared" si="1123"/>
        <v>-12056.0568187465</v>
      </c>
    </row>
    <row r="581" spans="10:23" ht="15.5">
      <c r="J581" s="271" t="s">
        <v>417</v>
      </c>
      <c r="K581" s="275">
        <f>K578-K580</f>
        <v>-9426.6666666666661</v>
      </c>
      <c r="L581" s="275">
        <f>L578-L580</f>
        <v>25792.724357333325</v>
      </c>
      <c r="M581" s="275">
        <f>M578-M580</f>
        <v>26453.424898536054</v>
      </c>
      <c r="N581" s="275">
        <f t="shared" ref="N581:V581" si="1124">N578-N580</f>
        <v>27130.851505975632</v>
      </c>
      <c r="O581" s="275">
        <f t="shared" si="1124"/>
        <v>27825.42476513669</v>
      </c>
      <c r="P581" s="275">
        <f t="shared" si="1124"/>
        <v>28537.575796013545</v>
      </c>
      <c r="Q581" s="275">
        <f t="shared" si="1124"/>
        <v>29267.746516366591</v>
      </c>
      <c r="R581" s="275">
        <f t="shared" si="1124"/>
        <v>30016.389911548351</v>
      </c>
      <c r="S581" s="275">
        <f t="shared" si="1124"/>
        <v>30783.970311063415</v>
      </c>
      <c r="T581" s="275">
        <f t="shared" si="1124"/>
        <v>31570.963672029873</v>
      </c>
      <c r="U581" s="275">
        <f t="shared" si="1124"/>
        <v>32377.857869714557</v>
      </c>
      <c r="V581" s="275">
        <f t="shared" si="1124"/>
        <v>45561.49725488339</v>
      </c>
      <c r="W581" s="295" t="s">
        <v>360</v>
      </c>
    </row>
    <row r="582" spans="10:23" ht="16" thickBot="1">
      <c r="J582" s="271" t="s">
        <v>367</v>
      </c>
      <c r="K582" s="291">
        <f>K581/(1+$G$16)^(K565-$G$15)</f>
        <v>-6154.9299558999173</v>
      </c>
      <c r="L582" s="291">
        <f>L581/(1+$G$16)^(L565-$G$15)</f>
        <v>15138.345840499793</v>
      </c>
      <c r="M582" s="291">
        <f t="shared" ref="M582:V582" si="1125">M581/(1+$G$16)^(M565-$G$15)</f>
        <v>13956.591092834709</v>
      </c>
      <c r="N582" s="291">
        <f t="shared" si="1125"/>
        <v>12866.99441158548</v>
      </c>
      <c r="O582" s="291">
        <f t="shared" si="1125"/>
        <v>11862.377260062147</v>
      </c>
      <c r="P582" s="291">
        <f t="shared" si="1125"/>
        <v>10936.11952673409</v>
      </c>
      <c r="Q582" s="291">
        <f t="shared" si="1125"/>
        <v>10082.116150286127</v>
      </c>
      <c r="R582" s="291">
        <f t="shared" si="1125"/>
        <v>9294.7371079489512</v>
      </c>
      <c r="S582" s="291">
        <f t="shared" si="1125"/>
        <v>8568.7905068349646</v>
      </c>
      <c r="T582" s="291">
        <f t="shared" si="1125"/>
        <v>7899.4885381050826</v>
      </c>
      <c r="U582" s="291">
        <f t="shared" si="1125"/>
        <v>7282.4160723400009</v>
      </c>
      <c r="V582" s="291">
        <f t="shared" si="1125"/>
        <v>9211.7385797314782</v>
      </c>
      <c r="W582" s="294">
        <f>SUM(K582:V582)</f>
        <v>110944.7851310629</v>
      </c>
    </row>
    <row r="587" spans="10:23">
      <c r="J587">
        <v>1113111</v>
      </c>
    </row>
    <row r="589" spans="10:23" ht="15.5">
      <c r="J589" s="276" t="s">
        <v>407</v>
      </c>
      <c r="K589" s="276">
        <v>2013</v>
      </c>
      <c r="L589" s="276">
        <v>2014</v>
      </c>
      <c r="M589" s="276">
        <v>2015</v>
      </c>
      <c r="N589" s="276">
        <v>2016</v>
      </c>
      <c r="O589" s="276">
        <v>2017</v>
      </c>
      <c r="P589" s="276">
        <v>2018</v>
      </c>
      <c r="Q589" s="276">
        <v>2019</v>
      </c>
      <c r="R589" s="276">
        <v>2020</v>
      </c>
      <c r="S589" s="276">
        <v>2021</v>
      </c>
      <c r="T589" s="276">
        <v>2022</v>
      </c>
      <c r="U589" s="276">
        <v>2023</v>
      </c>
      <c r="V589" s="276">
        <v>2024</v>
      </c>
    </row>
    <row r="590" spans="10:23">
      <c r="J590" s="269" t="s">
        <v>33</v>
      </c>
      <c r="K590" s="277">
        <f>Données!$C$5</f>
        <v>560000</v>
      </c>
      <c r="L590" s="278">
        <f>K590*(1+$D$12)</f>
        <v>571200</v>
      </c>
      <c r="M590" s="278">
        <f t="shared" ref="M590:V590" si="1126">L590*(1+$D$12)</f>
        <v>582624</v>
      </c>
      <c r="N590" s="278">
        <f t="shared" si="1126"/>
        <v>594276.48</v>
      </c>
      <c r="O590" s="278">
        <f t="shared" si="1126"/>
        <v>606162.00959999999</v>
      </c>
      <c r="P590" s="278">
        <f t="shared" si="1126"/>
        <v>618285.24979200005</v>
      </c>
      <c r="Q590" s="278">
        <f t="shared" si="1126"/>
        <v>630650.95478784002</v>
      </c>
      <c r="R590" s="278">
        <f t="shared" si="1126"/>
        <v>643263.97388359683</v>
      </c>
      <c r="S590" s="278">
        <f t="shared" si="1126"/>
        <v>656129.25336126878</v>
      </c>
      <c r="T590" s="278">
        <f t="shared" si="1126"/>
        <v>669251.83842849417</v>
      </c>
      <c r="U590" s="278">
        <f t="shared" si="1126"/>
        <v>682636.87519706402</v>
      </c>
      <c r="V590" s="278">
        <f t="shared" si="1126"/>
        <v>696289.6127010053</v>
      </c>
    </row>
    <row r="591" spans="10:23">
      <c r="J591" s="269" t="s">
        <v>408</v>
      </c>
      <c r="K591" s="279"/>
      <c r="L591" s="278">
        <f>L590*$D$14</f>
        <v>571200</v>
      </c>
      <c r="M591" s="278">
        <f t="shared" ref="M591:V591" si="1127">M590*$D$14</f>
        <v>582624</v>
      </c>
      <c r="N591" s="278">
        <f t="shared" si="1127"/>
        <v>594276.48</v>
      </c>
      <c r="O591" s="278">
        <f t="shared" si="1127"/>
        <v>606162.00959999999</v>
      </c>
      <c r="P591" s="278">
        <f t="shared" si="1127"/>
        <v>618285.24979200005</v>
      </c>
      <c r="Q591" s="278">
        <f t="shared" si="1127"/>
        <v>630650.95478784002</v>
      </c>
      <c r="R591" s="278">
        <f t="shared" si="1127"/>
        <v>643263.97388359683</v>
      </c>
      <c r="S591" s="278">
        <f t="shared" si="1127"/>
        <v>656129.25336126878</v>
      </c>
      <c r="T591" s="278">
        <f t="shared" si="1127"/>
        <v>669251.83842849417</v>
      </c>
      <c r="U591" s="278">
        <f t="shared" si="1127"/>
        <v>682636.87519706402</v>
      </c>
      <c r="V591" s="278">
        <f t="shared" si="1127"/>
        <v>696289.6127010053</v>
      </c>
    </row>
    <row r="592" spans="10:23">
      <c r="J592" s="269" t="s">
        <v>409</v>
      </c>
      <c r="K592" s="280"/>
      <c r="L592" s="278">
        <f>L591*$D$16</f>
        <v>285600</v>
      </c>
      <c r="M592" s="278">
        <f t="shared" ref="M592:V592" si="1128">M591*$D$16</f>
        <v>291312</v>
      </c>
      <c r="N592" s="278">
        <f t="shared" si="1128"/>
        <v>297138.24</v>
      </c>
      <c r="O592" s="278">
        <f t="shared" si="1128"/>
        <v>303081.0048</v>
      </c>
      <c r="P592" s="278">
        <f t="shared" si="1128"/>
        <v>309142.62489600002</v>
      </c>
      <c r="Q592" s="278">
        <f t="shared" si="1128"/>
        <v>315325.47739392001</v>
      </c>
      <c r="R592" s="278">
        <f t="shared" si="1128"/>
        <v>321631.98694179842</v>
      </c>
      <c r="S592" s="278">
        <f t="shared" si="1128"/>
        <v>328064.62668063439</v>
      </c>
      <c r="T592" s="278">
        <f t="shared" si="1128"/>
        <v>334625.91921424709</v>
      </c>
      <c r="U592" s="278">
        <f t="shared" si="1128"/>
        <v>341318.43759853201</v>
      </c>
      <c r="V592" s="278">
        <f t="shared" si="1128"/>
        <v>348144.80635050265</v>
      </c>
    </row>
    <row r="593" spans="10:23">
      <c r="J593" s="269" t="s">
        <v>410</v>
      </c>
      <c r="K593" s="281"/>
      <c r="L593" s="288">
        <f>1</f>
        <v>1</v>
      </c>
      <c r="M593" s="288">
        <f>L593*(1+$G$12)</f>
        <v>1.0147600000000001</v>
      </c>
      <c r="N593" s="288">
        <f t="shared" ref="N593:V593" si="1129">M593*(1+$G$12)</f>
        <v>1.0297378576000003</v>
      </c>
      <c r="O593" s="288">
        <f t="shared" si="1129"/>
        <v>1.0449367883781764</v>
      </c>
      <c r="P593" s="288">
        <f t="shared" si="1129"/>
        <v>1.0603600553746384</v>
      </c>
      <c r="Q593" s="288">
        <f t="shared" si="1129"/>
        <v>1.0760109697919682</v>
      </c>
      <c r="R593" s="288">
        <f t="shared" si="1129"/>
        <v>1.0918928917060977</v>
      </c>
      <c r="S593" s="288">
        <f t="shared" si="1129"/>
        <v>1.1080092307876799</v>
      </c>
      <c r="T593" s="288">
        <f t="shared" si="1129"/>
        <v>1.1243634470341062</v>
      </c>
      <c r="U593" s="288">
        <f t="shared" si="1129"/>
        <v>1.1409590515123298</v>
      </c>
      <c r="V593" s="288">
        <f t="shared" si="1129"/>
        <v>1.157799607112652</v>
      </c>
    </row>
    <row r="594" spans="10:23" ht="15.5">
      <c r="J594" s="270" t="s">
        <v>411</v>
      </c>
      <c r="K594" s="282"/>
      <c r="L594" s="273">
        <f>L592*L593</f>
        <v>285600</v>
      </c>
      <c r="M594" s="273">
        <f t="shared" ref="M594:V594" si="1130">M592*M593</f>
        <v>295611.76512000005</v>
      </c>
      <c r="N594" s="273">
        <f t="shared" si="1130"/>
        <v>305974.49466863467</v>
      </c>
      <c r="O594" s="273">
        <f t="shared" si="1130"/>
        <v>316700.49177414266</v>
      </c>
      <c r="P594" s="273">
        <f t="shared" si="1130"/>
        <v>327802.49085338367</v>
      </c>
      <c r="Q594" s="273">
        <f t="shared" si="1130"/>
        <v>339293.6727307472</v>
      </c>
      <c r="R594" s="273">
        <f t="shared" si="1130"/>
        <v>351187.68028705812</v>
      </c>
      <c r="S594" s="273">
        <f t="shared" si="1130"/>
        <v>363498.63465705706</v>
      </c>
      <c r="T594" s="273">
        <f t="shared" si="1130"/>
        <v>376241.15199468721</v>
      </c>
      <c r="U594" s="273">
        <f t="shared" si="1130"/>
        <v>389430.36082609138</v>
      </c>
      <c r="V594" s="273">
        <f t="shared" si="1130"/>
        <v>403081.92001092224</v>
      </c>
    </row>
    <row r="595" spans="10:23">
      <c r="J595" s="283" t="s">
        <v>34</v>
      </c>
      <c r="K595" s="274"/>
      <c r="L595" s="289">
        <f>$D$22</f>
        <v>0.1</v>
      </c>
      <c r="M595" s="289">
        <f>L595*(1+$G$12)</f>
        <v>0.10147600000000001</v>
      </c>
      <c r="N595" s="289">
        <f t="shared" ref="N595:V595" si="1131">M595*(1+$G$12)</f>
        <v>0.10297378576000002</v>
      </c>
      <c r="O595" s="289">
        <f t="shared" si="1131"/>
        <v>0.10449367883781763</v>
      </c>
      <c r="P595" s="289">
        <f t="shared" si="1131"/>
        <v>0.10603600553746383</v>
      </c>
      <c r="Q595" s="289">
        <f t="shared" si="1131"/>
        <v>0.1076010969791968</v>
      </c>
      <c r="R595" s="289">
        <f t="shared" si="1131"/>
        <v>0.10918928917060976</v>
      </c>
      <c r="S595" s="289">
        <f t="shared" si="1131"/>
        <v>0.11080092307876797</v>
      </c>
      <c r="T595" s="289">
        <f t="shared" si="1131"/>
        <v>0.1124363447034106</v>
      </c>
      <c r="U595" s="289">
        <f t="shared" si="1131"/>
        <v>0.11409590515123295</v>
      </c>
      <c r="V595" s="289">
        <f t="shared" si="1131"/>
        <v>0.11577996071126516</v>
      </c>
    </row>
    <row r="596" spans="10:23" ht="15.5">
      <c r="J596" s="270" t="s">
        <v>412</v>
      </c>
      <c r="K596" s="282"/>
      <c r="L596" s="273">
        <f>L592*L595</f>
        <v>28560</v>
      </c>
      <c r="M596" s="273">
        <f t="shared" ref="M596:V596" si="1132">M592*M595</f>
        <v>29561.176512000002</v>
      </c>
      <c r="N596" s="273">
        <f t="shared" si="1132"/>
        <v>30597.449466863469</v>
      </c>
      <c r="O596" s="273">
        <f t="shared" si="1132"/>
        <v>31670.049177414261</v>
      </c>
      <c r="P596" s="273">
        <f t="shared" si="1132"/>
        <v>32780.249085338364</v>
      </c>
      <c r="Q596" s="273">
        <f t="shared" si="1132"/>
        <v>33929.367273074713</v>
      </c>
      <c r="R596" s="273">
        <f t="shared" si="1132"/>
        <v>35118.76802870581</v>
      </c>
      <c r="S596" s="273">
        <f t="shared" si="1132"/>
        <v>36349.863465705705</v>
      </c>
      <c r="T596" s="273">
        <f t="shared" si="1132"/>
        <v>37624.115199468717</v>
      </c>
      <c r="U596" s="273">
        <f t="shared" si="1132"/>
        <v>38943.036082609135</v>
      </c>
      <c r="V596" s="273">
        <f t="shared" si="1132"/>
        <v>40308.192001092211</v>
      </c>
    </row>
    <row r="597" spans="10:23">
      <c r="J597" s="285" t="s">
        <v>418</v>
      </c>
      <c r="K597" s="274"/>
      <c r="L597" s="274">
        <f>L594*0.03</f>
        <v>8568</v>
      </c>
      <c r="M597" s="274">
        <f t="shared" ref="M597:V597" si="1133">M594*0.03</f>
        <v>8868.3529536000005</v>
      </c>
      <c r="N597" s="274">
        <f t="shared" si="1133"/>
        <v>9179.2348400590399</v>
      </c>
      <c r="O597" s="274">
        <f t="shared" si="1133"/>
        <v>9501.014753224279</v>
      </c>
      <c r="P597" s="274">
        <f t="shared" si="1133"/>
        <v>9834.0747256015093</v>
      </c>
      <c r="Q597" s="274">
        <f t="shared" si="1133"/>
        <v>10178.810181922416</v>
      </c>
      <c r="R597" s="274">
        <f t="shared" si="1133"/>
        <v>10535.630408611743</v>
      </c>
      <c r="S597" s="274">
        <f t="shared" si="1133"/>
        <v>10904.959039711712</v>
      </c>
      <c r="T597" s="274">
        <f t="shared" si="1133"/>
        <v>11287.234559840615</v>
      </c>
      <c r="U597" s="274">
        <f t="shared" si="1133"/>
        <v>11682.910824782741</v>
      </c>
      <c r="V597" s="274">
        <f t="shared" si="1133"/>
        <v>12092.457600327667</v>
      </c>
    </row>
    <row r="598" spans="10:23">
      <c r="J598" s="285" t="s">
        <v>413</v>
      </c>
      <c r="K598" s="274"/>
      <c r="L598" s="284">
        <v>3000</v>
      </c>
      <c r="M598" s="274">
        <f>L598*(1+$G$12)</f>
        <v>3044.28</v>
      </c>
      <c r="N598" s="274">
        <f t="shared" ref="N598:V598" si="1134">M598*(1+$G$12)</f>
        <v>3089.2135728000007</v>
      </c>
      <c r="O598" s="274">
        <f t="shared" si="1134"/>
        <v>3134.8103651345291</v>
      </c>
      <c r="P598" s="274">
        <f t="shared" si="1134"/>
        <v>3181.0801661239152</v>
      </c>
      <c r="Q598" s="274">
        <f t="shared" si="1134"/>
        <v>3228.0329093759046</v>
      </c>
      <c r="R598" s="274">
        <f t="shared" si="1134"/>
        <v>3275.6786751182935</v>
      </c>
      <c r="S598" s="274">
        <f t="shared" si="1134"/>
        <v>3324.0276923630399</v>
      </c>
      <c r="T598" s="274">
        <f t="shared" si="1134"/>
        <v>3373.0903411023187</v>
      </c>
      <c r="U598" s="274">
        <f t="shared" si="1134"/>
        <v>3422.8771545369891</v>
      </c>
      <c r="V598" s="274">
        <f t="shared" si="1134"/>
        <v>3473.3988213379553</v>
      </c>
    </row>
    <row r="599" spans="10:23" ht="15.5">
      <c r="J599" s="270" t="s">
        <v>35</v>
      </c>
      <c r="K599" s="282"/>
      <c r="L599" s="273">
        <f>L597+L598</f>
        <v>11568</v>
      </c>
      <c r="M599" s="273">
        <f t="shared" ref="M599:V599" si="1135">M597+M598</f>
        <v>11912.632953600001</v>
      </c>
      <c r="N599" s="273">
        <f t="shared" si="1135"/>
        <v>12268.448412859041</v>
      </c>
      <c r="O599" s="273">
        <f t="shared" si="1135"/>
        <v>12635.825118358807</v>
      </c>
      <c r="P599" s="273">
        <f t="shared" si="1135"/>
        <v>13015.154891725424</v>
      </c>
      <c r="Q599" s="273">
        <f t="shared" si="1135"/>
        <v>13406.84309129832</v>
      </c>
      <c r="R599" s="273">
        <f t="shared" si="1135"/>
        <v>13811.309083730037</v>
      </c>
      <c r="S599" s="273">
        <f t="shared" si="1135"/>
        <v>14228.986732074751</v>
      </c>
      <c r="T599" s="273">
        <f t="shared" si="1135"/>
        <v>14660.324900942935</v>
      </c>
      <c r="U599" s="273">
        <f t="shared" si="1135"/>
        <v>15105.78797931973</v>
      </c>
      <c r="V599" s="273">
        <f t="shared" si="1135"/>
        <v>15565.856421665623</v>
      </c>
    </row>
    <row r="600" spans="10:23">
      <c r="J600" s="286" t="s">
        <v>414</v>
      </c>
      <c r="K600" s="274"/>
      <c r="L600" s="274">
        <f>L594-L596-L599</f>
        <v>245472</v>
      </c>
      <c r="M600" s="274">
        <f t="shared" ref="M600:V600" si="1136">M594-M596-M599</f>
        <v>254137.95565440008</v>
      </c>
      <c r="N600" s="274">
        <f t="shared" si="1136"/>
        <v>263108.59678891214</v>
      </c>
      <c r="O600" s="274">
        <f t="shared" si="1136"/>
        <v>272394.61747836956</v>
      </c>
      <c r="P600" s="274">
        <f t="shared" si="1136"/>
        <v>282007.0868763199</v>
      </c>
      <c r="Q600" s="274">
        <f t="shared" si="1136"/>
        <v>291957.46236637421</v>
      </c>
      <c r="R600" s="274">
        <f t="shared" si="1136"/>
        <v>302257.60317462229</v>
      </c>
      <c r="S600" s="274">
        <f t="shared" si="1136"/>
        <v>312919.78445927659</v>
      </c>
      <c r="T600" s="274">
        <f t="shared" si="1136"/>
        <v>323956.71189427556</v>
      </c>
      <c r="U600" s="274">
        <f t="shared" si="1136"/>
        <v>335381.53676416248</v>
      </c>
      <c r="V600" s="274">
        <f t="shared" si="1136"/>
        <v>347207.87158816442</v>
      </c>
    </row>
    <row r="601" spans="10:23">
      <c r="J601" s="286" t="s">
        <v>415</v>
      </c>
      <c r="K601" s="274"/>
      <c r="L601" s="274">
        <f>L600*$G$13</f>
        <v>98188.800000000003</v>
      </c>
      <c r="M601" s="274">
        <f t="shared" ref="M601:Q601" si="1137">M600*$G$13</f>
        <v>101655.18226176004</v>
      </c>
      <c r="N601" s="274">
        <f t="shared" si="1137"/>
        <v>105243.43871556486</v>
      </c>
      <c r="O601" s="274">
        <f t="shared" si="1137"/>
        <v>108957.84699134783</v>
      </c>
      <c r="P601" s="274">
        <f t="shared" si="1137"/>
        <v>112802.83475052797</v>
      </c>
      <c r="Q601" s="274">
        <f t="shared" si="1137"/>
        <v>116782.9849465497</v>
      </c>
      <c r="R601" s="274">
        <f>R600*$G$13</f>
        <v>120903.04126984892</v>
      </c>
      <c r="S601" s="274">
        <f t="shared" ref="S601:V601" si="1138">S600*$G$13</f>
        <v>125167.91378371064</v>
      </c>
      <c r="T601" s="274">
        <f t="shared" si="1138"/>
        <v>129582.68475771023</v>
      </c>
      <c r="U601" s="274">
        <f t="shared" si="1138"/>
        <v>134152.61470566501</v>
      </c>
      <c r="V601" s="274">
        <f t="shared" si="1138"/>
        <v>138883.14863526577</v>
      </c>
    </row>
    <row r="602" spans="10:23" ht="15.5">
      <c r="J602" s="270" t="s">
        <v>358</v>
      </c>
      <c r="K602" s="272"/>
      <c r="L602" s="273">
        <f>L600-L601</f>
        <v>147283.20000000001</v>
      </c>
      <c r="M602" s="273">
        <f t="shared" ref="M602:V602" si="1139">M600-M601</f>
        <v>152482.77339264005</v>
      </c>
      <c r="N602" s="273">
        <f t="shared" si="1139"/>
        <v>157865.15807334729</v>
      </c>
      <c r="O602" s="273">
        <f t="shared" si="1139"/>
        <v>163436.77048702171</v>
      </c>
      <c r="P602" s="273">
        <f t="shared" si="1139"/>
        <v>169204.25212579191</v>
      </c>
      <c r="Q602" s="273">
        <f t="shared" si="1139"/>
        <v>175174.47741982451</v>
      </c>
      <c r="R602" s="273">
        <f t="shared" si="1139"/>
        <v>181354.56190477335</v>
      </c>
      <c r="S602" s="273">
        <f t="shared" si="1139"/>
        <v>187751.87067556597</v>
      </c>
      <c r="T602" s="273">
        <f t="shared" si="1139"/>
        <v>194374.02713656533</v>
      </c>
      <c r="U602" s="273">
        <f t="shared" si="1139"/>
        <v>201228.92205849747</v>
      </c>
      <c r="V602" s="273">
        <f t="shared" si="1139"/>
        <v>208324.72295289865</v>
      </c>
    </row>
    <row r="603" spans="10:23" ht="15.5">
      <c r="J603" s="270" t="s">
        <v>419</v>
      </c>
      <c r="K603" s="272"/>
      <c r="L603" s="273">
        <f>M594*$G$14</f>
        <v>49268.627520000009</v>
      </c>
      <c r="M603" s="273">
        <f t="shared" ref="M603:V603" si="1140">N594*$G$14</f>
        <v>50995.749111439109</v>
      </c>
      <c r="N603" s="273">
        <f t="shared" si="1140"/>
        <v>52783.415295690444</v>
      </c>
      <c r="O603" s="273">
        <f t="shared" si="1140"/>
        <v>54633.748475563945</v>
      </c>
      <c r="P603" s="273">
        <f t="shared" si="1140"/>
        <v>56548.945455124529</v>
      </c>
      <c r="Q603" s="273">
        <f t="shared" si="1140"/>
        <v>58531.280047843014</v>
      </c>
      <c r="R603" s="273">
        <f t="shared" si="1140"/>
        <v>60583.105776176177</v>
      </c>
      <c r="S603" s="273">
        <f t="shared" si="1140"/>
        <v>62706.858665781197</v>
      </c>
      <c r="T603" s="273">
        <f t="shared" si="1140"/>
        <v>64905.060137681896</v>
      </c>
      <c r="U603" s="273">
        <f t="shared" si="1140"/>
        <v>67180.320001820364</v>
      </c>
      <c r="V603" s="273">
        <f t="shared" si="1140"/>
        <v>0</v>
      </c>
    </row>
    <row r="604" spans="10:23" ht="16" thickBot="1">
      <c r="J604" s="270" t="s">
        <v>416</v>
      </c>
      <c r="K604" s="290">
        <f>L594*$G$14</f>
        <v>47600</v>
      </c>
      <c r="L604" s="273">
        <f>L603-K604</f>
        <v>1668.6275200000091</v>
      </c>
      <c r="M604" s="273">
        <f>M603-L603</f>
        <v>1727.1215914390996</v>
      </c>
      <c r="N604" s="273">
        <f t="shared" ref="N604:V604" si="1141">N603-M603</f>
        <v>1787.6661842513349</v>
      </c>
      <c r="O604" s="273">
        <f t="shared" si="1141"/>
        <v>1850.3331798735016</v>
      </c>
      <c r="P604" s="273">
        <f t="shared" si="1141"/>
        <v>1915.1969795605837</v>
      </c>
      <c r="Q604" s="273">
        <f t="shared" si="1141"/>
        <v>1982.3345927184855</v>
      </c>
      <c r="R604" s="273">
        <f t="shared" si="1141"/>
        <v>2051.8257283331623</v>
      </c>
      <c r="S604" s="273">
        <f t="shared" si="1141"/>
        <v>2123.7528896050208</v>
      </c>
      <c r="T604" s="273">
        <f t="shared" si="1141"/>
        <v>2198.2014719006984</v>
      </c>
      <c r="U604" s="273">
        <f t="shared" si="1141"/>
        <v>2275.2598641384684</v>
      </c>
      <c r="V604" s="273">
        <f t="shared" si="1141"/>
        <v>-67180.320001820364</v>
      </c>
    </row>
    <row r="605" spans="10:23" ht="15.5">
      <c r="J605" s="271" t="s">
        <v>417</v>
      </c>
      <c r="K605" s="275">
        <f>K602-K604</f>
        <v>-47600</v>
      </c>
      <c r="L605" s="275">
        <f>L602-L604</f>
        <v>145614.57248</v>
      </c>
      <c r="M605" s="275">
        <f>M602-M604</f>
        <v>150755.65180120096</v>
      </c>
      <c r="N605" s="275">
        <f t="shared" ref="N605:V605" si="1142">N602-N604</f>
        <v>156077.49188909595</v>
      </c>
      <c r="O605" s="275">
        <f t="shared" si="1142"/>
        <v>161586.43730714821</v>
      </c>
      <c r="P605" s="275">
        <f t="shared" si="1142"/>
        <v>167289.05514623132</v>
      </c>
      <c r="Q605" s="275">
        <f t="shared" si="1142"/>
        <v>173192.14282710603</v>
      </c>
      <c r="R605" s="275">
        <f t="shared" si="1142"/>
        <v>179302.7361764402</v>
      </c>
      <c r="S605" s="275">
        <f t="shared" si="1142"/>
        <v>185628.11778596096</v>
      </c>
      <c r="T605" s="275">
        <f t="shared" si="1142"/>
        <v>192175.82566466462</v>
      </c>
      <c r="U605" s="275">
        <f t="shared" si="1142"/>
        <v>198953.662194359</v>
      </c>
      <c r="V605" s="275">
        <f t="shared" si="1142"/>
        <v>275505.04295471904</v>
      </c>
      <c r="W605" s="295" t="s">
        <v>360</v>
      </c>
    </row>
    <row r="606" spans="10:23" ht="16" thickBot="1">
      <c r="J606" s="271" t="s">
        <v>367</v>
      </c>
      <c r="K606" s="291">
        <f>K605/(1+$G$16)^(K589-$G$15)</f>
        <v>-31079.34928226691</v>
      </c>
      <c r="L606" s="291">
        <f>L605/(1+$G$16)^(L589-$G$15)</f>
        <v>85464.556868031053</v>
      </c>
      <c r="M606" s="291">
        <f t="shared" ref="M606:V606" si="1143">M605/(1+$G$16)^(M589-$G$15)</f>
        <v>79537.337611039184</v>
      </c>
      <c r="N606" s="291">
        <f t="shared" si="1143"/>
        <v>74020.832537045673</v>
      </c>
      <c r="O606" s="291">
        <f t="shared" si="1143"/>
        <v>68886.613434501385</v>
      </c>
      <c r="P606" s="291">
        <f t="shared" si="1143"/>
        <v>64108.217028342013</v>
      </c>
      <c r="Q606" s="291">
        <f t="shared" si="1143"/>
        <v>59661.009409227321</v>
      </c>
      <c r="R606" s="291">
        <f t="shared" si="1143"/>
        <v>55522.059794897301</v>
      </c>
      <c r="S606" s="291">
        <f t="shared" si="1143"/>
        <v>51670.022983173745</v>
      </c>
      <c r="T606" s="291">
        <f t="shared" si="1143"/>
        <v>48085.029899921712</v>
      </c>
      <c r="U606" s="291">
        <f t="shared" si="1143"/>
        <v>44748.585686094259</v>
      </c>
      <c r="V606" s="291">
        <f t="shared" si="1143"/>
        <v>55702.305367599562</v>
      </c>
      <c r="W606" s="294">
        <f>SUM(K606:V606)</f>
        <v>656327.22133760632</v>
      </c>
    </row>
    <row r="612" spans="10:22">
      <c r="J612">
        <v>1113112</v>
      </c>
    </row>
    <row r="614" spans="10:22" ht="15.5">
      <c r="J614" s="276" t="s">
        <v>407</v>
      </c>
      <c r="K614" s="276">
        <v>2013</v>
      </c>
      <c r="L614" s="276">
        <v>2014</v>
      </c>
      <c r="M614" s="276">
        <v>2015</v>
      </c>
      <c r="N614" s="276">
        <v>2016</v>
      </c>
      <c r="O614" s="276">
        <v>2017</v>
      </c>
      <c r="P614" s="276">
        <v>2018</v>
      </c>
      <c r="Q614" s="276">
        <v>2019</v>
      </c>
      <c r="R614" s="276">
        <v>2020</v>
      </c>
      <c r="S614" s="276">
        <v>2021</v>
      </c>
      <c r="T614" s="276">
        <v>2022</v>
      </c>
      <c r="U614" s="276">
        <v>2023</v>
      </c>
      <c r="V614" s="276">
        <v>2024</v>
      </c>
    </row>
    <row r="615" spans="10:22">
      <c r="J615" s="269" t="s">
        <v>33</v>
      </c>
      <c r="K615" s="277">
        <f>Données!$C$5</f>
        <v>560000</v>
      </c>
      <c r="L615" s="278">
        <f>K615*(1+$D$13)</f>
        <v>565600</v>
      </c>
      <c r="M615" s="278">
        <f t="shared" ref="M615:V615" si="1144">L615*(1+$D$13)</f>
        <v>571256</v>
      </c>
      <c r="N615" s="278">
        <f t="shared" si="1144"/>
        <v>576968.56000000006</v>
      </c>
      <c r="O615" s="278">
        <f t="shared" si="1144"/>
        <v>582738.24560000002</v>
      </c>
      <c r="P615" s="278">
        <f t="shared" si="1144"/>
        <v>588565.62805599999</v>
      </c>
      <c r="Q615" s="278">
        <f t="shared" si="1144"/>
        <v>594451.28433655994</v>
      </c>
      <c r="R615" s="278">
        <f t="shared" si="1144"/>
        <v>600395.79717992549</v>
      </c>
      <c r="S615" s="278">
        <f t="shared" si="1144"/>
        <v>606399.75515172479</v>
      </c>
      <c r="T615" s="278">
        <f t="shared" si="1144"/>
        <v>612463.752703242</v>
      </c>
      <c r="U615" s="278">
        <f t="shared" si="1144"/>
        <v>618588.39023027441</v>
      </c>
      <c r="V615" s="278">
        <f t="shared" si="1144"/>
        <v>624774.27413257712</v>
      </c>
    </row>
    <row r="616" spans="10:22">
      <c r="J616" s="269" t="s">
        <v>408</v>
      </c>
      <c r="K616" s="279"/>
      <c r="L616" s="278">
        <f>L615*$D$14</f>
        <v>565600</v>
      </c>
      <c r="M616" s="278">
        <f t="shared" ref="M616:V616" si="1145">M615*$D$14</f>
        <v>571256</v>
      </c>
      <c r="N616" s="278">
        <f t="shared" si="1145"/>
        <v>576968.56000000006</v>
      </c>
      <c r="O616" s="278">
        <f t="shared" si="1145"/>
        <v>582738.24560000002</v>
      </c>
      <c r="P616" s="278">
        <f t="shared" si="1145"/>
        <v>588565.62805599999</v>
      </c>
      <c r="Q616" s="278">
        <f t="shared" si="1145"/>
        <v>594451.28433655994</v>
      </c>
      <c r="R616" s="278">
        <f t="shared" si="1145"/>
        <v>600395.79717992549</v>
      </c>
      <c r="S616" s="278">
        <f t="shared" si="1145"/>
        <v>606399.75515172479</v>
      </c>
      <c r="T616" s="278">
        <f t="shared" si="1145"/>
        <v>612463.752703242</v>
      </c>
      <c r="U616" s="278">
        <f t="shared" si="1145"/>
        <v>618588.39023027441</v>
      </c>
      <c r="V616" s="278">
        <f t="shared" si="1145"/>
        <v>624774.27413257712</v>
      </c>
    </row>
    <row r="617" spans="10:22">
      <c r="J617" s="269" t="s">
        <v>409</v>
      </c>
      <c r="K617" s="280"/>
      <c r="L617" s="278">
        <f>L616*$D$16</f>
        <v>282800</v>
      </c>
      <c r="M617" s="278">
        <f t="shared" ref="M617:V617" si="1146">M616*$D$16</f>
        <v>285628</v>
      </c>
      <c r="N617" s="278">
        <f t="shared" si="1146"/>
        <v>288484.28000000003</v>
      </c>
      <c r="O617" s="278">
        <f t="shared" si="1146"/>
        <v>291369.12280000001</v>
      </c>
      <c r="P617" s="278">
        <f t="shared" si="1146"/>
        <v>294282.81402799999</v>
      </c>
      <c r="Q617" s="278">
        <f t="shared" si="1146"/>
        <v>297225.64216827997</v>
      </c>
      <c r="R617" s="278">
        <f t="shared" si="1146"/>
        <v>300197.89858996274</v>
      </c>
      <c r="S617" s="278">
        <f t="shared" si="1146"/>
        <v>303199.8775758624</v>
      </c>
      <c r="T617" s="278">
        <f t="shared" si="1146"/>
        <v>306231.876351621</v>
      </c>
      <c r="U617" s="278">
        <f t="shared" si="1146"/>
        <v>309294.1951151372</v>
      </c>
      <c r="V617" s="278">
        <f t="shared" si="1146"/>
        <v>312387.13706628856</v>
      </c>
    </row>
    <row r="618" spans="10:22">
      <c r="J618" s="269" t="s">
        <v>410</v>
      </c>
      <c r="K618" s="281"/>
      <c r="L618" s="288">
        <f>1</f>
        <v>1</v>
      </c>
      <c r="M618" s="288">
        <f>L618*(1+$G$12)</f>
        <v>1.0147600000000001</v>
      </c>
      <c r="N618" s="288">
        <f t="shared" ref="N618:V618" si="1147">M618*(1+$G$12)</f>
        <v>1.0297378576000003</v>
      </c>
      <c r="O618" s="288">
        <f t="shared" si="1147"/>
        <v>1.0449367883781764</v>
      </c>
      <c r="P618" s="288">
        <f t="shared" si="1147"/>
        <v>1.0603600553746384</v>
      </c>
      <c r="Q618" s="288">
        <f t="shared" si="1147"/>
        <v>1.0760109697919682</v>
      </c>
      <c r="R618" s="288">
        <f t="shared" si="1147"/>
        <v>1.0918928917060977</v>
      </c>
      <c r="S618" s="288">
        <f t="shared" si="1147"/>
        <v>1.1080092307876799</v>
      </c>
      <c r="T618" s="288">
        <f t="shared" si="1147"/>
        <v>1.1243634470341062</v>
      </c>
      <c r="U618" s="288">
        <f t="shared" si="1147"/>
        <v>1.1409590515123298</v>
      </c>
      <c r="V618" s="288">
        <f t="shared" si="1147"/>
        <v>1.157799607112652</v>
      </c>
    </row>
    <row r="619" spans="10:22" ht="15.5">
      <c r="J619" s="270" t="s">
        <v>411</v>
      </c>
      <c r="K619" s="282"/>
      <c r="L619" s="273">
        <f>L617*L618</f>
        <v>282800</v>
      </c>
      <c r="M619" s="273">
        <f t="shared" ref="M619:V619" si="1148">M617*M618</f>
        <v>289843.86928000004</v>
      </c>
      <c r="N619" s="273">
        <f t="shared" si="1148"/>
        <v>297063.18443847861</v>
      </c>
      <c r="O619" s="273">
        <f t="shared" si="1148"/>
        <v>304462.31541119848</v>
      </c>
      <c r="P619" s="273">
        <f t="shared" si="1148"/>
        <v>312045.74097853451</v>
      </c>
      <c r="Q619" s="273">
        <f t="shared" si="1148"/>
        <v>319818.05147653143</v>
      </c>
      <c r="R619" s="273">
        <f t="shared" si="1148"/>
        <v>327783.95157548832</v>
      </c>
      <c r="S619" s="273">
        <f t="shared" si="1148"/>
        <v>335948.26312775002</v>
      </c>
      <c r="T619" s="273">
        <f t="shared" si="1148"/>
        <v>344315.92808643077</v>
      </c>
      <c r="U619" s="273">
        <f t="shared" si="1148"/>
        <v>352892.01149683644</v>
      </c>
      <c r="V619" s="273">
        <f t="shared" si="1148"/>
        <v>361681.70456239505</v>
      </c>
    </row>
    <row r="620" spans="10:22">
      <c r="J620" s="283" t="s">
        <v>34</v>
      </c>
      <c r="K620" s="274"/>
      <c r="L620" s="289">
        <f>$D$22</f>
        <v>0.1</v>
      </c>
      <c r="M620" s="289">
        <f>L620*(1+$G$12)</f>
        <v>0.10147600000000001</v>
      </c>
      <c r="N620" s="289">
        <f t="shared" ref="N620:V620" si="1149">M620*(1+$G$12)</f>
        <v>0.10297378576000002</v>
      </c>
      <c r="O620" s="289">
        <f t="shared" si="1149"/>
        <v>0.10449367883781763</v>
      </c>
      <c r="P620" s="289">
        <f t="shared" si="1149"/>
        <v>0.10603600553746383</v>
      </c>
      <c r="Q620" s="289">
        <f t="shared" si="1149"/>
        <v>0.1076010969791968</v>
      </c>
      <c r="R620" s="289">
        <f t="shared" si="1149"/>
        <v>0.10918928917060976</v>
      </c>
      <c r="S620" s="289">
        <f t="shared" si="1149"/>
        <v>0.11080092307876797</v>
      </c>
      <c r="T620" s="289">
        <f t="shared" si="1149"/>
        <v>0.1124363447034106</v>
      </c>
      <c r="U620" s="289">
        <f t="shared" si="1149"/>
        <v>0.11409590515123295</v>
      </c>
      <c r="V620" s="289">
        <f t="shared" si="1149"/>
        <v>0.11577996071126516</v>
      </c>
    </row>
    <row r="621" spans="10:22" ht="15.5">
      <c r="J621" s="270" t="s">
        <v>412</v>
      </c>
      <c r="K621" s="282"/>
      <c r="L621" s="273">
        <f>L617*L620</f>
        <v>28280</v>
      </c>
      <c r="M621" s="273">
        <f t="shared" ref="M621:V621" si="1150">M617*M620</f>
        <v>28984.386928000004</v>
      </c>
      <c r="N621" s="273">
        <f t="shared" si="1150"/>
        <v>29706.31844384786</v>
      </c>
      <c r="O621" s="273">
        <f t="shared" si="1150"/>
        <v>30446.231541119847</v>
      </c>
      <c r="P621" s="273">
        <f t="shared" si="1150"/>
        <v>31204.574097853445</v>
      </c>
      <c r="Q621" s="273">
        <f t="shared" si="1150"/>
        <v>31981.80514765314</v>
      </c>
      <c r="R621" s="273">
        <f t="shared" si="1150"/>
        <v>32778.395157548824</v>
      </c>
      <c r="S621" s="273">
        <f t="shared" si="1150"/>
        <v>33594.826312774996</v>
      </c>
      <c r="T621" s="273">
        <f t="shared" si="1150"/>
        <v>34431.592808643072</v>
      </c>
      <c r="U621" s="273">
        <f t="shared" si="1150"/>
        <v>35289.201149683635</v>
      </c>
      <c r="V621" s="273">
        <f t="shared" si="1150"/>
        <v>36168.170456239495</v>
      </c>
    </row>
    <row r="622" spans="10:22">
      <c r="J622" s="285" t="s">
        <v>418</v>
      </c>
      <c r="K622" s="274"/>
      <c r="L622" s="274">
        <f>L619*0.03</f>
        <v>8484</v>
      </c>
      <c r="M622" s="274">
        <f t="shared" ref="M622:V622" si="1151">M619*0.03</f>
        <v>8695.3160784000011</v>
      </c>
      <c r="N622" s="274">
        <f t="shared" si="1151"/>
        <v>8911.8955331543584</v>
      </c>
      <c r="O622" s="274">
        <f t="shared" si="1151"/>
        <v>9133.8694623359534</v>
      </c>
      <c r="P622" s="274">
        <f t="shared" si="1151"/>
        <v>9361.3722293560349</v>
      </c>
      <c r="Q622" s="274">
        <f t="shared" si="1151"/>
        <v>9594.541544295942</v>
      </c>
      <c r="R622" s="274">
        <f t="shared" si="1151"/>
        <v>9833.5185472646499</v>
      </c>
      <c r="S622" s="274">
        <f t="shared" si="1151"/>
        <v>10078.447893832501</v>
      </c>
      <c r="T622" s="274">
        <f t="shared" si="1151"/>
        <v>10329.477842592923</v>
      </c>
      <c r="U622" s="274">
        <f t="shared" si="1151"/>
        <v>10586.760344905093</v>
      </c>
      <c r="V622" s="274">
        <f t="shared" si="1151"/>
        <v>10850.45113687185</v>
      </c>
    </row>
    <row r="623" spans="10:22">
      <c r="J623" s="285" t="s">
        <v>413</v>
      </c>
      <c r="K623" s="274"/>
      <c r="L623" s="284">
        <v>3000</v>
      </c>
      <c r="M623" s="274">
        <f>L623*(1+$G$12)</f>
        <v>3044.28</v>
      </c>
      <c r="N623" s="274">
        <f t="shared" ref="N623:V623" si="1152">M623*(1+$G$12)</f>
        <v>3089.2135728000007</v>
      </c>
      <c r="O623" s="274">
        <f t="shared" si="1152"/>
        <v>3134.8103651345291</v>
      </c>
      <c r="P623" s="274">
        <f t="shared" si="1152"/>
        <v>3181.0801661239152</v>
      </c>
      <c r="Q623" s="274">
        <f t="shared" si="1152"/>
        <v>3228.0329093759046</v>
      </c>
      <c r="R623" s="274">
        <f t="shared" si="1152"/>
        <v>3275.6786751182935</v>
      </c>
      <c r="S623" s="274">
        <f t="shared" si="1152"/>
        <v>3324.0276923630399</v>
      </c>
      <c r="T623" s="274">
        <f t="shared" si="1152"/>
        <v>3373.0903411023187</v>
      </c>
      <c r="U623" s="274">
        <f t="shared" si="1152"/>
        <v>3422.8771545369891</v>
      </c>
      <c r="V623" s="274">
        <f t="shared" si="1152"/>
        <v>3473.3988213379553</v>
      </c>
    </row>
    <row r="624" spans="10:22" ht="15.5">
      <c r="J624" s="270" t="s">
        <v>35</v>
      </c>
      <c r="K624" s="282"/>
      <c r="L624" s="273">
        <f>L622+L623</f>
        <v>11484</v>
      </c>
      <c r="M624" s="273">
        <f t="shared" ref="M624:V624" si="1153">M622+M623</f>
        <v>11739.596078400002</v>
      </c>
      <c r="N624" s="273">
        <f t="shared" si="1153"/>
        <v>12001.10910595436</v>
      </c>
      <c r="O624" s="273">
        <f t="shared" si="1153"/>
        <v>12268.679827470482</v>
      </c>
      <c r="P624" s="273">
        <f t="shared" si="1153"/>
        <v>12542.45239547995</v>
      </c>
      <c r="Q624" s="273">
        <f t="shared" si="1153"/>
        <v>12822.574453671847</v>
      </c>
      <c r="R624" s="273">
        <f t="shared" si="1153"/>
        <v>13109.197222382943</v>
      </c>
      <c r="S624" s="273">
        <f t="shared" si="1153"/>
        <v>13402.475586195542</v>
      </c>
      <c r="T624" s="273">
        <f t="shared" si="1153"/>
        <v>13702.568183695243</v>
      </c>
      <c r="U624" s="273">
        <f t="shared" si="1153"/>
        <v>14009.637499442082</v>
      </c>
      <c r="V624" s="273">
        <f t="shared" si="1153"/>
        <v>14323.849958209805</v>
      </c>
    </row>
    <row r="625" spans="10:23">
      <c r="J625" s="286" t="s">
        <v>414</v>
      </c>
      <c r="K625" s="274"/>
      <c r="L625" s="274">
        <f>L619-L621-L624</f>
        <v>243036</v>
      </c>
      <c r="M625" s="274">
        <f t="shared" ref="M625:V625" si="1154">M619-M621-M624</f>
        <v>249119.88627360004</v>
      </c>
      <c r="N625" s="274">
        <f t="shared" si="1154"/>
        <v>255355.75688867638</v>
      </c>
      <c r="O625" s="274">
        <f t="shared" si="1154"/>
        <v>261747.40404260813</v>
      </c>
      <c r="P625" s="274">
        <f t="shared" si="1154"/>
        <v>268298.71448520111</v>
      </c>
      <c r="Q625" s="274">
        <f t="shared" si="1154"/>
        <v>275013.6718752064</v>
      </c>
      <c r="R625" s="274">
        <f t="shared" si="1154"/>
        <v>281896.35919555655</v>
      </c>
      <c r="S625" s="274">
        <f t="shared" si="1154"/>
        <v>288950.96122877946</v>
      </c>
      <c r="T625" s="274">
        <f t="shared" si="1154"/>
        <v>296181.76709409244</v>
      </c>
      <c r="U625" s="274">
        <f t="shared" si="1154"/>
        <v>303593.17284771072</v>
      </c>
      <c r="V625" s="274">
        <f t="shared" si="1154"/>
        <v>311189.68414794578</v>
      </c>
    </row>
    <row r="626" spans="10:23">
      <c r="J626" s="286" t="s">
        <v>415</v>
      </c>
      <c r="K626" s="274"/>
      <c r="L626" s="274">
        <f>L625*$G$13</f>
        <v>97214.400000000009</v>
      </c>
      <c r="M626" s="274">
        <f t="shared" ref="M626:Q626" si="1155">M625*$G$13</f>
        <v>99647.954509440024</v>
      </c>
      <c r="N626" s="274">
        <f t="shared" si="1155"/>
        <v>102142.30275547056</v>
      </c>
      <c r="O626" s="274">
        <f t="shared" si="1155"/>
        <v>104698.96161704326</v>
      </c>
      <c r="P626" s="274">
        <f t="shared" si="1155"/>
        <v>107319.48579408045</v>
      </c>
      <c r="Q626" s="274">
        <f t="shared" si="1155"/>
        <v>110005.46875008257</v>
      </c>
      <c r="R626" s="274">
        <f>R625*$G$13</f>
        <v>112758.54367822263</v>
      </c>
      <c r="S626" s="274">
        <f t="shared" ref="S626:V626" si="1156">S625*$G$13</f>
        <v>115580.3844915118</v>
      </c>
      <c r="T626" s="274">
        <f t="shared" si="1156"/>
        <v>118472.70683763699</v>
      </c>
      <c r="U626" s="274">
        <f t="shared" si="1156"/>
        <v>121437.2691390843</v>
      </c>
      <c r="V626" s="274">
        <f t="shared" si="1156"/>
        <v>124475.87365917832</v>
      </c>
    </row>
    <row r="627" spans="10:23" ht="15.5">
      <c r="J627" s="270" t="s">
        <v>358</v>
      </c>
      <c r="K627" s="272"/>
      <c r="L627" s="273">
        <f>L625-L626</f>
        <v>145821.59999999998</v>
      </c>
      <c r="M627" s="273">
        <f t="shared" ref="M627:V627" si="1157">M625-M626</f>
        <v>149471.93176416002</v>
      </c>
      <c r="N627" s="273">
        <f t="shared" si="1157"/>
        <v>153213.45413320581</v>
      </c>
      <c r="O627" s="273">
        <f t="shared" si="1157"/>
        <v>157048.44242556486</v>
      </c>
      <c r="P627" s="273">
        <f t="shared" si="1157"/>
        <v>160979.22869112066</v>
      </c>
      <c r="Q627" s="273">
        <f t="shared" si="1157"/>
        <v>165008.20312512384</v>
      </c>
      <c r="R627" s="273">
        <f t="shared" si="1157"/>
        <v>169137.81551733392</v>
      </c>
      <c r="S627" s="273">
        <f t="shared" si="1157"/>
        <v>173370.57673726766</v>
      </c>
      <c r="T627" s="273">
        <f t="shared" si="1157"/>
        <v>177709.06025645544</v>
      </c>
      <c r="U627" s="273">
        <f t="shared" si="1157"/>
        <v>182155.90370862643</v>
      </c>
      <c r="V627" s="273">
        <f t="shared" si="1157"/>
        <v>186713.81048876746</v>
      </c>
    </row>
    <row r="628" spans="10:23" ht="15.5">
      <c r="J628" s="270" t="s">
        <v>419</v>
      </c>
      <c r="K628" s="272"/>
      <c r="L628" s="273">
        <f>M619*$G$14</f>
        <v>48307.311546666671</v>
      </c>
      <c r="M628" s="273">
        <f t="shared" ref="M628:V628" si="1158">N619*$G$14</f>
        <v>49510.530739746435</v>
      </c>
      <c r="N628" s="273">
        <f t="shared" si="1158"/>
        <v>50743.719235199744</v>
      </c>
      <c r="O628" s="273">
        <f t="shared" si="1158"/>
        <v>52007.623496422413</v>
      </c>
      <c r="P628" s="273">
        <f t="shared" si="1158"/>
        <v>53303.008579421905</v>
      </c>
      <c r="Q628" s="273">
        <f t="shared" si="1158"/>
        <v>54630.65859591472</v>
      </c>
      <c r="R628" s="273">
        <f t="shared" si="1158"/>
        <v>55991.377187958336</v>
      </c>
      <c r="S628" s="273">
        <f t="shared" si="1158"/>
        <v>57385.988014405128</v>
      </c>
      <c r="T628" s="273">
        <f t="shared" si="1158"/>
        <v>58815.335249472737</v>
      </c>
      <c r="U628" s="273">
        <f t="shared" si="1158"/>
        <v>60280.284093732509</v>
      </c>
      <c r="V628" s="273">
        <f t="shared" si="1158"/>
        <v>0</v>
      </c>
    </row>
    <row r="629" spans="10:23" ht="16" thickBot="1">
      <c r="J629" s="270" t="s">
        <v>416</v>
      </c>
      <c r="K629" s="290">
        <f>L619*$G$14</f>
        <v>47133.333333333328</v>
      </c>
      <c r="L629" s="273">
        <f>L628-K629</f>
        <v>1173.9782133333429</v>
      </c>
      <c r="M629" s="273">
        <f>M628-L628</f>
        <v>1203.2191930797635</v>
      </c>
      <c r="N629" s="273">
        <f t="shared" ref="N629:V629" si="1159">N628-M628</f>
        <v>1233.1884954533089</v>
      </c>
      <c r="O629" s="273">
        <f t="shared" si="1159"/>
        <v>1263.9042612226694</v>
      </c>
      <c r="P629" s="273">
        <f t="shared" si="1159"/>
        <v>1295.3850829994917</v>
      </c>
      <c r="Q629" s="273">
        <f t="shared" si="1159"/>
        <v>1327.6500164928148</v>
      </c>
      <c r="R629" s="273">
        <f t="shared" si="1159"/>
        <v>1360.7185920436168</v>
      </c>
      <c r="S629" s="273">
        <f t="shared" si="1159"/>
        <v>1394.6108264467912</v>
      </c>
      <c r="T629" s="273">
        <f t="shared" si="1159"/>
        <v>1429.3472350676093</v>
      </c>
      <c r="U629" s="273">
        <f t="shared" si="1159"/>
        <v>1464.9488442597722</v>
      </c>
      <c r="V629" s="273">
        <f t="shared" si="1159"/>
        <v>-60280.284093732509</v>
      </c>
    </row>
    <row r="630" spans="10:23" ht="15.5">
      <c r="J630" s="271" t="s">
        <v>417</v>
      </c>
      <c r="K630" s="275">
        <f>K627-K629</f>
        <v>-47133.333333333328</v>
      </c>
      <c r="L630" s="275">
        <f>L627-L629</f>
        <v>144647.62178666663</v>
      </c>
      <c r="M630" s="275">
        <f>M627-M629</f>
        <v>148268.71257108025</v>
      </c>
      <c r="N630" s="275">
        <f t="shared" ref="N630:V630" si="1160">N627-N629</f>
        <v>151980.26563775251</v>
      </c>
      <c r="O630" s="275">
        <f t="shared" si="1160"/>
        <v>155784.5381643422</v>
      </c>
      <c r="P630" s="275">
        <f t="shared" si="1160"/>
        <v>159683.84360812115</v>
      </c>
      <c r="Q630" s="275">
        <f t="shared" si="1160"/>
        <v>163680.55310863102</v>
      </c>
      <c r="R630" s="275">
        <f t="shared" si="1160"/>
        <v>167777.0969252903</v>
      </c>
      <c r="S630" s="275">
        <f t="shared" si="1160"/>
        <v>171975.96591082087</v>
      </c>
      <c r="T630" s="275">
        <f t="shared" si="1160"/>
        <v>176279.71302138784</v>
      </c>
      <c r="U630" s="275">
        <f t="shared" si="1160"/>
        <v>180690.95486436665</v>
      </c>
      <c r="V630" s="275">
        <f t="shared" si="1160"/>
        <v>246994.09458249997</v>
      </c>
      <c r="W630" s="295" t="s">
        <v>360</v>
      </c>
    </row>
    <row r="631" spans="10:23" ht="16" thickBot="1">
      <c r="J631" s="271" t="s">
        <v>367</v>
      </c>
      <c r="K631" s="291">
        <f>K630/(1+$G$16)^(K614-$G$15)</f>
        <v>-30774.649779499585</v>
      </c>
      <c r="L631" s="291">
        <f>L630/(1+$G$16)^(L614-$G$15)</f>
        <v>84897.031165681983</v>
      </c>
      <c r="M631" s="291">
        <f t="shared" ref="M631:V631" si="1161">M630/(1+$G$16)^(M614-$G$15)</f>
        <v>78225.250649118243</v>
      </c>
      <c r="N631" s="291">
        <f t="shared" si="1161"/>
        <v>72077.694583287535</v>
      </c>
      <c r="O631" s="291">
        <f t="shared" si="1161"/>
        <v>66413.180700312616</v>
      </c>
      <c r="P631" s="291">
        <f t="shared" si="1161"/>
        <v>61193.761259520601</v>
      </c>
      <c r="Q631" s="291">
        <f t="shared" si="1161"/>
        <v>56384.469062606971</v>
      </c>
      <c r="R631" s="291">
        <f t="shared" si="1161"/>
        <v>51953.083407124563</v>
      </c>
      <c r="S631" s="291">
        <f t="shared" si="1161"/>
        <v>47869.91441356772</v>
      </c>
      <c r="T631" s="291">
        <f t="shared" si="1161"/>
        <v>44107.604284078341</v>
      </c>
      <c r="U631" s="291">
        <f t="shared" si="1161"/>
        <v>40640.944163929831</v>
      </c>
      <c r="V631" s="291">
        <f t="shared" si="1161"/>
        <v>49937.889821818673</v>
      </c>
      <c r="W631" s="294">
        <f>SUM(K631:V631)</f>
        <v>622926.17373154743</v>
      </c>
    </row>
    <row r="636" spans="10:23">
      <c r="J636">
        <v>1113121</v>
      </c>
    </row>
    <row r="638" spans="10:23" ht="15.5">
      <c r="J638" s="276" t="s">
        <v>407</v>
      </c>
      <c r="K638" s="276">
        <v>2013</v>
      </c>
      <c r="L638" s="276">
        <v>2014</v>
      </c>
      <c r="M638" s="276">
        <v>2015</v>
      </c>
      <c r="N638" s="276">
        <v>2016</v>
      </c>
      <c r="O638" s="276">
        <v>2017</v>
      </c>
      <c r="P638" s="276">
        <v>2018</v>
      </c>
      <c r="Q638" s="276">
        <v>2019</v>
      </c>
      <c r="R638" s="276">
        <v>2020</v>
      </c>
      <c r="S638" s="276">
        <v>2021</v>
      </c>
      <c r="T638" s="276">
        <v>2022</v>
      </c>
      <c r="U638" s="276">
        <v>2023</v>
      </c>
      <c r="V638" s="276">
        <v>2024</v>
      </c>
    </row>
    <row r="639" spans="10:23">
      <c r="J639" s="269" t="s">
        <v>33</v>
      </c>
      <c r="K639" s="277">
        <f>Données!$C$5</f>
        <v>560000</v>
      </c>
      <c r="L639" s="278">
        <f>K639*(1+$D$12)</f>
        <v>571200</v>
      </c>
      <c r="M639" s="278">
        <f t="shared" ref="M639:V639" si="1162">L639*(1+$D$12)</f>
        <v>582624</v>
      </c>
      <c r="N639" s="278">
        <f t="shared" si="1162"/>
        <v>594276.48</v>
      </c>
      <c r="O639" s="278">
        <f t="shared" si="1162"/>
        <v>606162.00959999999</v>
      </c>
      <c r="P639" s="278">
        <f t="shared" si="1162"/>
        <v>618285.24979200005</v>
      </c>
      <c r="Q639" s="278">
        <f t="shared" si="1162"/>
        <v>630650.95478784002</v>
      </c>
      <c r="R639" s="278">
        <f t="shared" si="1162"/>
        <v>643263.97388359683</v>
      </c>
      <c r="S639" s="278">
        <f t="shared" si="1162"/>
        <v>656129.25336126878</v>
      </c>
      <c r="T639" s="278">
        <f t="shared" si="1162"/>
        <v>669251.83842849417</v>
      </c>
      <c r="U639" s="278">
        <f t="shared" si="1162"/>
        <v>682636.87519706402</v>
      </c>
      <c r="V639" s="278">
        <f t="shared" si="1162"/>
        <v>696289.6127010053</v>
      </c>
    </row>
    <row r="640" spans="10:23">
      <c r="J640" s="269" t="s">
        <v>408</v>
      </c>
      <c r="K640" s="279"/>
      <c r="L640" s="278">
        <f>L639*$D$15</f>
        <v>285600</v>
      </c>
      <c r="M640" s="278">
        <f t="shared" ref="M640:V640" si="1163">M639*$D$15</f>
        <v>291312</v>
      </c>
      <c r="N640" s="278">
        <f t="shared" si="1163"/>
        <v>297138.24</v>
      </c>
      <c r="O640" s="278">
        <f t="shared" si="1163"/>
        <v>303081.0048</v>
      </c>
      <c r="P640" s="278">
        <f t="shared" si="1163"/>
        <v>309142.62489600002</v>
      </c>
      <c r="Q640" s="278">
        <f t="shared" si="1163"/>
        <v>315325.47739392001</v>
      </c>
      <c r="R640" s="278">
        <f t="shared" si="1163"/>
        <v>321631.98694179842</v>
      </c>
      <c r="S640" s="278">
        <f t="shared" si="1163"/>
        <v>328064.62668063439</v>
      </c>
      <c r="T640" s="278">
        <f t="shared" si="1163"/>
        <v>334625.91921424709</v>
      </c>
      <c r="U640" s="278">
        <f t="shared" si="1163"/>
        <v>341318.43759853201</v>
      </c>
      <c r="V640" s="278">
        <f t="shared" si="1163"/>
        <v>348144.80635050265</v>
      </c>
    </row>
    <row r="641" spans="10:23">
      <c r="J641" s="269" t="s">
        <v>409</v>
      </c>
      <c r="K641" s="280"/>
      <c r="L641" s="278">
        <f>L640*$D$16</f>
        <v>142800</v>
      </c>
      <c r="M641" s="278">
        <f t="shared" ref="M641:V641" si="1164">M640*$D$16</f>
        <v>145656</v>
      </c>
      <c r="N641" s="278">
        <f t="shared" si="1164"/>
        <v>148569.12</v>
      </c>
      <c r="O641" s="278">
        <f t="shared" si="1164"/>
        <v>151540.5024</v>
      </c>
      <c r="P641" s="278">
        <f t="shared" si="1164"/>
        <v>154571.31244800001</v>
      </c>
      <c r="Q641" s="278">
        <f t="shared" si="1164"/>
        <v>157662.73869696</v>
      </c>
      <c r="R641" s="278">
        <f t="shared" si="1164"/>
        <v>160815.99347089921</v>
      </c>
      <c r="S641" s="278">
        <f t="shared" si="1164"/>
        <v>164032.3133403172</v>
      </c>
      <c r="T641" s="278">
        <f t="shared" si="1164"/>
        <v>167312.95960712354</v>
      </c>
      <c r="U641" s="278">
        <f t="shared" si="1164"/>
        <v>170659.218799266</v>
      </c>
      <c r="V641" s="278">
        <f t="shared" si="1164"/>
        <v>174072.40317525133</v>
      </c>
    </row>
    <row r="642" spans="10:23">
      <c r="J642" s="269" t="s">
        <v>410</v>
      </c>
      <c r="K642" s="281"/>
      <c r="L642" s="288">
        <f>1</f>
        <v>1</v>
      </c>
      <c r="M642" s="288">
        <f>L642*(1+$G$12)</f>
        <v>1.0147600000000001</v>
      </c>
      <c r="N642" s="288">
        <f t="shared" ref="N642:V642" si="1165">M642*(1+$G$12)</f>
        <v>1.0297378576000003</v>
      </c>
      <c r="O642" s="288">
        <f t="shared" si="1165"/>
        <v>1.0449367883781764</v>
      </c>
      <c r="P642" s="288">
        <f t="shared" si="1165"/>
        <v>1.0603600553746384</v>
      </c>
      <c r="Q642" s="288">
        <f t="shared" si="1165"/>
        <v>1.0760109697919682</v>
      </c>
      <c r="R642" s="288">
        <f t="shared" si="1165"/>
        <v>1.0918928917060977</v>
      </c>
      <c r="S642" s="288">
        <f t="shared" si="1165"/>
        <v>1.1080092307876799</v>
      </c>
      <c r="T642" s="288">
        <f t="shared" si="1165"/>
        <v>1.1243634470341062</v>
      </c>
      <c r="U642" s="288">
        <f t="shared" si="1165"/>
        <v>1.1409590515123298</v>
      </c>
      <c r="V642" s="288">
        <f t="shared" si="1165"/>
        <v>1.157799607112652</v>
      </c>
    </row>
    <row r="643" spans="10:23" ht="15.5">
      <c r="J643" s="270" t="s">
        <v>411</v>
      </c>
      <c r="K643" s="282"/>
      <c r="L643" s="273">
        <f>L641*L642</f>
        <v>142800</v>
      </c>
      <c r="M643" s="273">
        <f t="shared" ref="M643:V643" si="1166">M641*M642</f>
        <v>147805.88256000003</v>
      </c>
      <c r="N643" s="273">
        <f t="shared" si="1166"/>
        <v>152987.24733431733</v>
      </c>
      <c r="O643" s="273">
        <f t="shared" si="1166"/>
        <v>158350.24588707133</v>
      </c>
      <c r="P643" s="273">
        <f t="shared" si="1166"/>
        <v>163901.24542669184</v>
      </c>
      <c r="Q643" s="273">
        <f t="shared" si="1166"/>
        <v>169646.8363653736</v>
      </c>
      <c r="R643" s="273">
        <f t="shared" si="1166"/>
        <v>175593.84014352906</v>
      </c>
      <c r="S643" s="273">
        <f t="shared" si="1166"/>
        <v>181749.31732852853</v>
      </c>
      <c r="T643" s="273">
        <f t="shared" si="1166"/>
        <v>188120.57599734361</v>
      </c>
      <c r="U643" s="273">
        <f t="shared" si="1166"/>
        <v>194715.18041304569</v>
      </c>
      <c r="V643" s="273">
        <f t="shared" si="1166"/>
        <v>201540.96000546112</v>
      </c>
    </row>
    <row r="644" spans="10:23">
      <c r="J644" s="283" t="s">
        <v>34</v>
      </c>
      <c r="K644" s="274"/>
      <c r="L644" s="289">
        <f>$D$22</f>
        <v>0.1</v>
      </c>
      <c r="M644" s="289">
        <f>L644*(1+$G$12)</f>
        <v>0.10147600000000001</v>
      </c>
      <c r="N644" s="289">
        <f t="shared" ref="N644:V644" si="1167">M644*(1+$G$12)</f>
        <v>0.10297378576000002</v>
      </c>
      <c r="O644" s="289">
        <f t="shared" si="1167"/>
        <v>0.10449367883781763</v>
      </c>
      <c r="P644" s="289">
        <f t="shared" si="1167"/>
        <v>0.10603600553746383</v>
      </c>
      <c r="Q644" s="289">
        <f t="shared" si="1167"/>
        <v>0.1076010969791968</v>
      </c>
      <c r="R644" s="289">
        <f t="shared" si="1167"/>
        <v>0.10918928917060976</v>
      </c>
      <c r="S644" s="289">
        <f t="shared" si="1167"/>
        <v>0.11080092307876797</v>
      </c>
      <c r="T644" s="289">
        <f t="shared" si="1167"/>
        <v>0.1124363447034106</v>
      </c>
      <c r="U644" s="289">
        <f t="shared" si="1167"/>
        <v>0.11409590515123295</v>
      </c>
      <c r="V644" s="289">
        <f t="shared" si="1167"/>
        <v>0.11577996071126516</v>
      </c>
    </row>
    <row r="645" spans="10:23" ht="15.5">
      <c r="J645" s="270" t="s">
        <v>412</v>
      </c>
      <c r="K645" s="282"/>
      <c r="L645" s="273">
        <f>L641*L644</f>
        <v>14280</v>
      </c>
      <c r="M645" s="273">
        <f t="shared" ref="M645:V645" si="1168">M641*M644</f>
        <v>14780.588256000001</v>
      </c>
      <c r="N645" s="273">
        <f t="shared" si="1168"/>
        <v>15298.724733431734</v>
      </c>
      <c r="O645" s="273">
        <f t="shared" si="1168"/>
        <v>15835.024588707131</v>
      </c>
      <c r="P645" s="273">
        <f t="shared" si="1168"/>
        <v>16390.124542669182</v>
      </c>
      <c r="Q645" s="273">
        <f t="shared" si="1168"/>
        <v>16964.683636537357</v>
      </c>
      <c r="R645" s="273">
        <f t="shared" si="1168"/>
        <v>17559.384014352905</v>
      </c>
      <c r="S645" s="273">
        <f t="shared" si="1168"/>
        <v>18174.931732852852</v>
      </c>
      <c r="T645" s="273">
        <f t="shared" si="1168"/>
        <v>18812.057599734359</v>
      </c>
      <c r="U645" s="273">
        <f t="shared" si="1168"/>
        <v>19471.518041304567</v>
      </c>
      <c r="V645" s="273">
        <f t="shared" si="1168"/>
        <v>20154.096000546106</v>
      </c>
    </row>
    <row r="646" spans="10:23">
      <c r="J646" s="285" t="s">
        <v>418</v>
      </c>
      <c r="K646" s="274"/>
      <c r="L646" s="274">
        <f>L643*0.03</f>
        <v>4284</v>
      </c>
      <c r="M646" s="274">
        <f t="shared" ref="M646:V646" si="1169">M643*0.03</f>
        <v>4434.1764768000003</v>
      </c>
      <c r="N646" s="274">
        <f t="shared" si="1169"/>
        <v>4589.61742002952</v>
      </c>
      <c r="O646" s="274">
        <f t="shared" si="1169"/>
        <v>4750.5073766121395</v>
      </c>
      <c r="P646" s="274">
        <f t="shared" si="1169"/>
        <v>4917.0373628007546</v>
      </c>
      <c r="Q646" s="274">
        <f t="shared" si="1169"/>
        <v>5089.4050909612079</v>
      </c>
      <c r="R646" s="274">
        <f t="shared" si="1169"/>
        <v>5267.8152043058717</v>
      </c>
      <c r="S646" s="274">
        <f t="shared" si="1169"/>
        <v>5452.4795198558559</v>
      </c>
      <c r="T646" s="274">
        <f t="shared" si="1169"/>
        <v>5643.6172799203077</v>
      </c>
      <c r="U646" s="274">
        <f t="shared" si="1169"/>
        <v>5841.4554123913704</v>
      </c>
      <c r="V646" s="274">
        <f t="shared" si="1169"/>
        <v>6046.2288001638335</v>
      </c>
    </row>
    <row r="647" spans="10:23">
      <c r="J647" s="285" t="s">
        <v>413</v>
      </c>
      <c r="K647" s="274"/>
      <c r="L647" s="284">
        <v>3000</v>
      </c>
      <c r="M647" s="274">
        <f>L647*(1+$G$12)</f>
        <v>3044.28</v>
      </c>
      <c r="N647" s="274">
        <f t="shared" ref="N647:V647" si="1170">M647*(1+$G$12)</f>
        <v>3089.2135728000007</v>
      </c>
      <c r="O647" s="274">
        <f t="shared" si="1170"/>
        <v>3134.8103651345291</v>
      </c>
      <c r="P647" s="274">
        <f t="shared" si="1170"/>
        <v>3181.0801661239152</v>
      </c>
      <c r="Q647" s="274">
        <f t="shared" si="1170"/>
        <v>3228.0329093759046</v>
      </c>
      <c r="R647" s="274">
        <f t="shared" si="1170"/>
        <v>3275.6786751182935</v>
      </c>
      <c r="S647" s="274">
        <f t="shared" si="1170"/>
        <v>3324.0276923630399</v>
      </c>
      <c r="T647" s="274">
        <f t="shared" si="1170"/>
        <v>3373.0903411023187</v>
      </c>
      <c r="U647" s="274">
        <f t="shared" si="1170"/>
        <v>3422.8771545369891</v>
      </c>
      <c r="V647" s="274">
        <f t="shared" si="1170"/>
        <v>3473.3988213379553</v>
      </c>
    </row>
    <row r="648" spans="10:23" ht="15.5">
      <c r="J648" s="270" t="s">
        <v>35</v>
      </c>
      <c r="K648" s="282"/>
      <c r="L648" s="273">
        <f>L646+L647</f>
        <v>7284</v>
      </c>
      <c r="M648" s="273">
        <f t="shared" ref="M648:V648" si="1171">M646+M647</f>
        <v>7478.4564768</v>
      </c>
      <c r="N648" s="273">
        <f t="shared" si="1171"/>
        <v>7678.8309928295203</v>
      </c>
      <c r="O648" s="273">
        <f t="shared" si="1171"/>
        <v>7885.3177417466686</v>
      </c>
      <c r="P648" s="273">
        <f t="shared" si="1171"/>
        <v>8098.1175289246694</v>
      </c>
      <c r="Q648" s="273">
        <f t="shared" si="1171"/>
        <v>8317.4380003371116</v>
      </c>
      <c r="R648" s="273">
        <f t="shared" si="1171"/>
        <v>8543.4938794241643</v>
      </c>
      <c r="S648" s="273">
        <f t="shared" si="1171"/>
        <v>8776.5072122188958</v>
      </c>
      <c r="T648" s="273">
        <f t="shared" si="1171"/>
        <v>9016.707621022626</v>
      </c>
      <c r="U648" s="273">
        <f t="shared" si="1171"/>
        <v>9264.3325669283586</v>
      </c>
      <c r="V648" s="273">
        <f t="shared" si="1171"/>
        <v>9519.6276215017897</v>
      </c>
    </row>
    <row r="649" spans="10:23">
      <c r="J649" s="286" t="s">
        <v>414</v>
      </c>
      <c r="K649" s="274"/>
      <c r="L649" s="274">
        <f>L643-L645-L648</f>
        <v>121236</v>
      </c>
      <c r="M649" s="274">
        <f t="shared" ref="M649:V649" si="1172">M643-M645-M648</f>
        <v>125546.83782720004</v>
      </c>
      <c r="N649" s="274">
        <f t="shared" si="1172"/>
        <v>130009.69160805608</v>
      </c>
      <c r="O649" s="274">
        <f t="shared" si="1172"/>
        <v>134629.90355661753</v>
      </c>
      <c r="P649" s="274">
        <f t="shared" si="1172"/>
        <v>139413.00335509799</v>
      </c>
      <c r="Q649" s="274">
        <f t="shared" si="1172"/>
        <v>144364.71472849915</v>
      </c>
      <c r="R649" s="274">
        <f t="shared" si="1172"/>
        <v>149490.96224975199</v>
      </c>
      <c r="S649" s="274">
        <f t="shared" si="1172"/>
        <v>154797.87838345679</v>
      </c>
      <c r="T649" s="274">
        <f t="shared" si="1172"/>
        <v>160291.81077658662</v>
      </c>
      <c r="U649" s="274">
        <f t="shared" si="1172"/>
        <v>165979.32980481276</v>
      </c>
      <c r="V649" s="274">
        <f t="shared" si="1172"/>
        <v>171867.23638341323</v>
      </c>
    </row>
    <row r="650" spans="10:23">
      <c r="J650" s="286" t="s">
        <v>415</v>
      </c>
      <c r="K650" s="274"/>
      <c r="L650" s="274">
        <f>L649*$G$13</f>
        <v>48494.400000000001</v>
      </c>
      <c r="M650" s="274">
        <f t="shared" ref="M650:Q650" si="1173">M649*$G$13</f>
        <v>50218.735130880021</v>
      </c>
      <c r="N650" s="274">
        <f t="shared" si="1173"/>
        <v>52003.876643222437</v>
      </c>
      <c r="O650" s="274">
        <f t="shared" si="1173"/>
        <v>53851.961422647015</v>
      </c>
      <c r="P650" s="274">
        <f t="shared" si="1173"/>
        <v>55765.201342039196</v>
      </c>
      <c r="Q650" s="274">
        <f t="shared" si="1173"/>
        <v>57745.885891399666</v>
      </c>
      <c r="R650" s="274">
        <f>R649*$G$13</f>
        <v>59796.384899900797</v>
      </c>
      <c r="S650" s="274">
        <f t="shared" ref="S650:V650" si="1174">S649*$G$13</f>
        <v>61919.151353382716</v>
      </c>
      <c r="T650" s="274">
        <f t="shared" si="1174"/>
        <v>64116.72431063465</v>
      </c>
      <c r="U650" s="274">
        <f t="shared" si="1174"/>
        <v>66391.731921925108</v>
      </c>
      <c r="V650" s="274">
        <f t="shared" si="1174"/>
        <v>68746.894553365288</v>
      </c>
    </row>
    <row r="651" spans="10:23" ht="15.5">
      <c r="J651" s="270" t="s">
        <v>358</v>
      </c>
      <c r="K651" s="272"/>
      <c r="L651" s="273">
        <f>L649-L650</f>
        <v>72741.600000000006</v>
      </c>
      <c r="M651" s="273">
        <f t="shared" ref="M651:V651" si="1175">M649-M650</f>
        <v>75328.102696320013</v>
      </c>
      <c r="N651" s="273">
        <f t="shared" si="1175"/>
        <v>78005.81496483364</v>
      </c>
      <c r="O651" s="273">
        <f t="shared" si="1175"/>
        <v>80777.942133970515</v>
      </c>
      <c r="P651" s="273">
        <f t="shared" si="1175"/>
        <v>83647.802013058797</v>
      </c>
      <c r="Q651" s="273">
        <f t="shared" si="1175"/>
        <v>86618.828837099485</v>
      </c>
      <c r="R651" s="273">
        <f t="shared" si="1175"/>
        <v>89694.577349851199</v>
      </c>
      <c r="S651" s="273">
        <f t="shared" si="1175"/>
        <v>92878.727030074078</v>
      </c>
      <c r="T651" s="273">
        <f t="shared" si="1175"/>
        <v>96175.086465951958</v>
      </c>
      <c r="U651" s="273">
        <f t="shared" si="1175"/>
        <v>99587.597882887654</v>
      </c>
      <c r="V651" s="273">
        <f t="shared" si="1175"/>
        <v>103120.34183004794</v>
      </c>
    </row>
    <row r="652" spans="10:23" ht="15.5">
      <c r="J652" s="270" t="s">
        <v>419</v>
      </c>
      <c r="K652" s="272"/>
      <c r="L652" s="273">
        <f>M643*$G$14</f>
        <v>24634.313760000005</v>
      </c>
      <c r="M652" s="273">
        <f t="shared" ref="M652:V652" si="1176">N643*$G$14</f>
        <v>25497.874555719554</v>
      </c>
      <c r="N652" s="273">
        <f t="shared" si="1176"/>
        <v>26391.707647845222</v>
      </c>
      <c r="O652" s="273">
        <f t="shared" si="1176"/>
        <v>27316.874237781973</v>
      </c>
      <c r="P652" s="273">
        <f t="shared" si="1176"/>
        <v>28274.472727562264</v>
      </c>
      <c r="Q652" s="273">
        <f t="shared" si="1176"/>
        <v>29265.640023921507</v>
      </c>
      <c r="R652" s="273">
        <f t="shared" si="1176"/>
        <v>30291.552888088088</v>
      </c>
      <c r="S652" s="273">
        <f t="shared" si="1176"/>
        <v>31353.429332890599</v>
      </c>
      <c r="T652" s="273">
        <f t="shared" si="1176"/>
        <v>32452.530068840948</v>
      </c>
      <c r="U652" s="273">
        <f t="shared" si="1176"/>
        <v>33590.160000910182</v>
      </c>
      <c r="V652" s="273">
        <f t="shared" si="1176"/>
        <v>0</v>
      </c>
    </row>
    <row r="653" spans="10:23" ht="16" thickBot="1">
      <c r="J653" s="270" t="s">
        <v>416</v>
      </c>
      <c r="K653" s="290">
        <f>L643*$G$14</f>
        <v>23800</v>
      </c>
      <c r="L653" s="273">
        <f>L652-K653</f>
        <v>834.31376000000455</v>
      </c>
      <c r="M653" s="273">
        <f>M652-L652</f>
        <v>863.56079571954979</v>
      </c>
      <c r="N653" s="273">
        <f t="shared" ref="N653:V653" si="1177">N652-M652</f>
        <v>893.83309212566746</v>
      </c>
      <c r="O653" s="273">
        <f t="shared" si="1177"/>
        <v>925.16658993675082</v>
      </c>
      <c r="P653" s="273">
        <f t="shared" si="1177"/>
        <v>957.59848978029186</v>
      </c>
      <c r="Q653" s="273">
        <f t="shared" si="1177"/>
        <v>991.16729635924275</v>
      </c>
      <c r="R653" s="273">
        <f t="shared" si="1177"/>
        <v>1025.9128641665811</v>
      </c>
      <c r="S653" s="273">
        <f t="shared" si="1177"/>
        <v>1061.8764448025104</v>
      </c>
      <c r="T653" s="273">
        <f t="shared" si="1177"/>
        <v>1099.1007359503492</v>
      </c>
      <c r="U653" s="273">
        <f t="shared" si="1177"/>
        <v>1137.6299320692342</v>
      </c>
      <c r="V653" s="273">
        <f t="shared" si="1177"/>
        <v>-33590.160000910182</v>
      </c>
    </row>
    <row r="654" spans="10:23" ht="15.5">
      <c r="J654" s="271" t="s">
        <v>417</v>
      </c>
      <c r="K654" s="275">
        <f>K651-K653</f>
        <v>-23800</v>
      </c>
      <c r="L654" s="275">
        <f>L651-L653</f>
        <v>71907.286240000001</v>
      </c>
      <c r="M654" s="275">
        <f>M651-M653</f>
        <v>74464.541900600467</v>
      </c>
      <c r="N654" s="275">
        <f t="shared" ref="N654:V654" si="1178">N651-N653</f>
        <v>77111.981872707969</v>
      </c>
      <c r="O654" s="275">
        <f t="shared" si="1178"/>
        <v>79852.775544033764</v>
      </c>
      <c r="P654" s="275">
        <f t="shared" si="1178"/>
        <v>82690.203523278498</v>
      </c>
      <c r="Q654" s="275">
        <f t="shared" si="1178"/>
        <v>85627.661540740242</v>
      </c>
      <c r="R654" s="275">
        <f t="shared" si="1178"/>
        <v>88668.664485684625</v>
      </c>
      <c r="S654" s="275">
        <f t="shared" si="1178"/>
        <v>91816.850585271575</v>
      </c>
      <c r="T654" s="275">
        <f t="shared" si="1178"/>
        <v>95075.985730001616</v>
      </c>
      <c r="U654" s="275">
        <f t="shared" si="1178"/>
        <v>98449.96795081842</v>
      </c>
      <c r="V654" s="275">
        <f t="shared" si="1178"/>
        <v>136710.50183095812</v>
      </c>
      <c r="W654" s="295" t="s">
        <v>360</v>
      </c>
    </row>
    <row r="655" spans="10:23" ht="16" thickBot="1">
      <c r="J655" s="271" t="s">
        <v>367</v>
      </c>
      <c r="K655" s="291">
        <f>K654/(1+$G$16)^(K638-$G$15)</f>
        <v>-15539.674641133455</v>
      </c>
      <c r="L655" s="291">
        <f>L654/(1+$G$16)^(L638-$G$15)</f>
        <v>42204.047640412828</v>
      </c>
      <c r="M655" s="291">
        <f t="shared" ref="M655:V655" si="1179">M654/(1+$G$16)^(M638-$G$15)</f>
        <v>39286.828310819263</v>
      </c>
      <c r="N655" s="291">
        <f t="shared" si="1179"/>
        <v>36570.891982652298</v>
      </c>
      <c r="O655" s="291">
        <f t="shared" si="1179"/>
        <v>34042.382344984828</v>
      </c>
      <c r="P655" s="291">
        <f t="shared" si="1179"/>
        <v>31688.394132863468</v>
      </c>
      <c r="Q655" s="291">
        <f t="shared" si="1179"/>
        <v>29496.908101495537</v>
      </c>
      <c r="R655" s="291">
        <f t="shared" si="1179"/>
        <v>27456.730424143654</v>
      </c>
      <c r="S655" s="291">
        <f t="shared" si="1179"/>
        <v>25557.436214775938</v>
      </c>
      <c r="T655" s="291">
        <f t="shared" si="1179"/>
        <v>23789.31689654378</v>
      </c>
      <c r="U655" s="291">
        <f t="shared" si="1179"/>
        <v>22143.33115585817</v>
      </c>
      <c r="V655" s="291">
        <f t="shared" si="1179"/>
        <v>27640.47452008853</v>
      </c>
      <c r="W655" s="294">
        <f>SUM(K655:V655)</f>
        <v>324337.06708350487</v>
      </c>
    </row>
    <row r="661" spans="10:22">
      <c r="J661">
        <v>1113122</v>
      </c>
    </row>
    <row r="663" spans="10:22" ht="15.5">
      <c r="J663" s="276" t="s">
        <v>407</v>
      </c>
      <c r="K663" s="276">
        <v>2013</v>
      </c>
      <c r="L663" s="276">
        <v>2014</v>
      </c>
      <c r="M663" s="276">
        <v>2015</v>
      </c>
      <c r="N663" s="276">
        <v>2016</v>
      </c>
      <c r="O663" s="276">
        <v>2017</v>
      </c>
      <c r="P663" s="276">
        <v>2018</v>
      </c>
      <c r="Q663" s="276">
        <v>2019</v>
      </c>
      <c r="R663" s="276">
        <v>2020</v>
      </c>
      <c r="S663" s="276">
        <v>2021</v>
      </c>
      <c r="T663" s="276">
        <v>2022</v>
      </c>
      <c r="U663" s="276">
        <v>2023</v>
      </c>
      <c r="V663" s="276">
        <v>2024</v>
      </c>
    </row>
    <row r="664" spans="10:22">
      <c r="J664" s="269" t="s">
        <v>33</v>
      </c>
      <c r="K664" s="277">
        <f>Données!$C$5</f>
        <v>560000</v>
      </c>
      <c r="L664" s="278">
        <f>K664*(1+$D$13)</f>
        <v>565600</v>
      </c>
      <c r="M664" s="278">
        <f t="shared" ref="M664:V664" si="1180">L664*(1+$D$13)</f>
        <v>571256</v>
      </c>
      <c r="N664" s="278">
        <f t="shared" si="1180"/>
        <v>576968.56000000006</v>
      </c>
      <c r="O664" s="278">
        <f t="shared" si="1180"/>
        <v>582738.24560000002</v>
      </c>
      <c r="P664" s="278">
        <f t="shared" si="1180"/>
        <v>588565.62805599999</v>
      </c>
      <c r="Q664" s="278">
        <f t="shared" si="1180"/>
        <v>594451.28433655994</v>
      </c>
      <c r="R664" s="278">
        <f t="shared" si="1180"/>
        <v>600395.79717992549</v>
      </c>
      <c r="S664" s="278">
        <f t="shared" si="1180"/>
        <v>606399.75515172479</v>
      </c>
      <c r="T664" s="278">
        <f t="shared" si="1180"/>
        <v>612463.752703242</v>
      </c>
      <c r="U664" s="278">
        <f t="shared" si="1180"/>
        <v>618588.39023027441</v>
      </c>
      <c r="V664" s="278">
        <f t="shared" si="1180"/>
        <v>624774.27413257712</v>
      </c>
    </row>
    <row r="665" spans="10:22">
      <c r="J665" s="269" t="s">
        <v>408</v>
      </c>
      <c r="K665" s="279"/>
      <c r="L665" s="278">
        <f>L664*$D$15</f>
        <v>282800</v>
      </c>
      <c r="M665" s="278">
        <f t="shared" ref="M665:V665" si="1181">M664*$D$15</f>
        <v>285628</v>
      </c>
      <c r="N665" s="278">
        <f t="shared" si="1181"/>
        <v>288484.28000000003</v>
      </c>
      <c r="O665" s="278">
        <f t="shared" si="1181"/>
        <v>291369.12280000001</v>
      </c>
      <c r="P665" s="278">
        <f t="shared" si="1181"/>
        <v>294282.81402799999</v>
      </c>
      <c r="Q665" s="278">
        <f t="shared" si="1181"/>
        <v>297225.64216827997</v>
      </c>
      <c r="R665" s="278">
        <f t="shared" si="1181"/>
        <v>300197.89858996274</v>
      </c>
      <c r="S665" s="278">
        <f t="shared" si="1181"/>
        <v>303199.8775758624</v>
      </c>
      <c r="T665" s="278">
        <f t="shared" si="1181"/>
        <v>306231.876351621</v>
      </c>
      <c r="U665" s="278">
        <f t="shared" si="1181"/>
        <v>309294.1951151372</v>
      </c>
      <c r="V665" s="278">
        <f t="shared" si="1181"/>
        <v>312387.13706628856</v>
      </c>
    </row>
    <row r="666" spans="10:22">
      <c r="J666" s="269" t="s">
        <v>409</v>
      </c>
      <c r="K666" s="280"/>
      <c r="L666" s="278">
        <f>L665*$D$16</f>
        <v>141400</v>
      </c>
      <c r="M666" s="278">
        <f t="shared" ref="M666:V666" si="1182">M665*$D$16</f>
        <v>142814</v>
      </c>
      <c r="N666" s="278">
        <f t="shared" si="1182"/>
        <v>144242.14000000001</v>
      </c>
      <c r="O666" s="278">
        <f t="shared" si="1182"/>
        <v>145684.56140000001</v>
      </c>
      <c r="P666" s="278">
        <f t="shared" si="1182"/>
        <v>147141.407014</v>
      </c>
      <c r="Q666" s="278">
        <f t="shared" si="1182"/>
        <v>148612.82108413999</v>
      </c>
      <c r="R666" s="278">
        <f t="shared" si="1182"/>
        <v>150098.94929498137</v>
      </c>
      <c r="S666" s="278">
        <f t="shared" si="1182"/>
        <v>151599.9387879312</v>
      </c>
      <c r="T666" s="278">
        <f t="shared" si="1182"/>
        <v>153115.9381758105</v>
      </c>
      <c r="U666" s="278">
        <f t="shared" si="1182"/>
        <v>154647.0975575686</v>
      </c>
      <c r="V666" s="278">
        <f t="shared" si="1182"/>
        <v>156193.56853314428</v>
      </c>
    </row>
    <row r="667" spans="10:22">
      <c r="J667" s="269" t="s">
        <v>410</v>
      </c>
      <c r="K667" s="281"/>
      <c r="L667" s="288">
        <f>1</f>
        <v>1</v>
      </c>
      <c r="M667" s="288">
        <f>L667*(1+$G$12)</f>
        <v>1.0147600000000001</v>
      </c>
      <c r="N667" s="288">
        <f t="shared" ref="N667:V667" si="1183">M667*(1+$G$12)</f>
        <v>1.0297378576000003</v>
      </c>
      <c r="O667" s="288">
        <f t="shared" si="1183"/>
        <v>1.0449367883781764</v>
      </c>
      <c r="P667" s="288">
        <f t="shared" si="1183"/>
        <v>1.0603600553746384</v>
      </c>
      <c r="Q667" s="288">
        <f t="shared" si="1183"/>
        <v>1.0760109697919682</v>
      </c>
      <c r="R667" s="288">
        <f t="shared" si="1183"/>
        <v>1.0918928917060977</v>
      </c>
      <c r="S667" s="288">
        <f t="shared" si="1183"/>
        <v>1.1080092307876799</v>
      </c>
      <c r="T667" s="288">
        <f t="shared" si="1183"/>
        <v>1.1243634470341062</v>
      </c>
      <c r="U667" s="288">
        <f t="shared" si="1183"/>
        <v>1.1409590515123298</v>
      </c>
      <c r="V667" s="288">
        <f t="shared" si="1183"/>
        <v>1.157799607112652</v>
      </c>
    </row>
    <row r="668" spans="10:22" ht="15.5">
      <c r="J668" s="270" t="s">
        <v>411</v>
      </c>
      <c r="K668" s="282"/>
      <c r="L668" s="273">
        <f>L666*L667</f>
        <v>141400</v>
      </c>
      <c r="M668" s="273">
        <f t="shared" ref="M668:V668" si="1184">M666*M667</f>
        <v>144921.93464000002</v>
      </c>
      <c r="N668" s="273">
        <f t="shared" si="1184"/>
        <v>148531.5922192393</v>
      </c>
      <c r="O668" s="273">
        <f t="shared" si="1184"/>
        <v>152231.15770559924</v>
      </c>
      <c r="P668" s="273">
        <f t="shared" si="1184"/>
        <v>156022.87048926725</v>
      </c>
      <c r="Q668" s="273">
        <f t="shared" si="1184"/>
        <v>159909.02573826571</v>
      </c>
      <c r="R668" s="273">
        <f t="shared" si="1184"/>
        <v>163891.97578774416</v>
      </c>
      <c r="S668" s="273">
        <f t="shared" si="1184"/>
        <v>167974.13156387501</v>
      </c>
      <c r="T668" s="273">
        <f t="shared" si="1184"/>
        <v>172157.96404321538</v>
      </c>
      <c r="U668" s="273">
        <f t="shared" si="1184"/>
        <v>176446.00574841822</v>
      </c>
      <c r="V668" s="273">
        <f t="shared" si="1184"/>
        <v>180840.85228119753</v>
      </c>
    </row>
    <row r="669" spans="10:22">
      <c r="J669" s="283" t="s">
        <v>34</v>
      </c>
      <c r="K669" s="274"/>
      <c r="L669" s="289">
        <f>$D$22</f>
        <v>0.1</v>
      </c>
      <c r="M669" s="289">
        <f>L669*(1+$G$12)</f>
        <v>0.10147600000000001</v>
      </c>
      <c r="N669" s="289">
        <f t="shared" ref="N669:V669" si="1185">M669*(1+$G$12)</f>
        <v>0.10297378576000002</v>
      </c>
      <c r="O669" s="289">
        <f t="shared" si="1185"/>
        <v>0.10449367883781763</v>
      </c>
      <c r="P669" s="289">
        <f t="shared" si="1185"/>
        <v>0.10603600553746383</v>
      </c>
      <c r="Q669" s="289">
        <f t="shared" si="1185"/>
        <v>0.1076010969791968</v>
      </c>
      <c r="R669" s="289">
        <f t="shared" si="1185"/>
        <v>0.10918928917060976</v>
      </c>
      <c r="S669" s="289">
        <f t="shared" si="1185"/>
        <v>0.11080092307876797</v>
      </c>
      <c r="T669" s="289">
        <f t="shared" si="1185"/>
        <v>0.1124363447034106</v>
      </c>
      <c r="U669" s="289">
        <f t="shared" si="1185"/>
        <v>0.11409590515123295</v>
      </c>
      <c r="V669" s="289">
        <f t="shared" si="1185"/>
        <v>0.11577996071126516</v>
      </c>
    </row>
    <row r="670" spans="10:22" ht="15.5">
      <c r="J670" s="270" t="s">
        <v>412</v>
      </c>
      <c r="K670" s="282"/>
      <c r="L670" s="273">
        <f>L666*L669</f>
        <v>14140</v>
      </c>
      <c r="M670" s="273">
        <f t="shared" ref="M670:V670" si="1186">M666*M669</f>
        <v>14492.193464000002</v>
      </c>
      <c r="N670" s="273">
        <f t="shared" si="1186"/>
        <v>14853.15922192393</v>
      </c>
      <c r="O670" s="273">
        <f t="shared" si="1186"/>
        <v>15223.115770559923</v>
      </c>
      <c r="P670" s="273">
        <f t="shared" si="1186"/>
        <v>15602.287048926722</v>
      </c>
      <c r="Q670" s="273">
        <f t="shared" si="1186"/>
        <v>15990.90257382657</v>
      </c>
      <c r="R670" s="273">
        <f t="shared" si="1186"/>
        <v>16389.197578774412</v>
      </c>
      <c r="S670" s="273">
        <f t="shared" si="1186"/>
        <v>16797.413156387498</v>
      </c>
      <c r="T670" s="273">
        <f t="shared" si="1186"/>
        <v>17215.796404321536</v>
      </c>
      <c r="U670" s="273">
        <f t="shared" si="1186"/>
        <v>17644.600574841817</v>
      </c>
      <c r="V670" s="273">
        <f t="shared" si="1186"/>
        <v>18084.085228119748</v>
      </c>
    </row>
    <row r="671" spans="10:22">
      <c r="J671" s="285" t="s">
        <v>418</v>
      </c>
      <c r="K671" s="274"/>
      <c r="L671" s="274">
        <f>L668*0.03</f>
        <v>4242</v>
      </c>
      <c r="M671" s="274">
        <f t="shared" ref="M671:V671" si="1187">M668*0.03</f>
        <v>4347.6580392000005</v>
      </c>
      <c r="N671" s="274">
        <f t="shared" si="1187"/>
        <v>4455.9477665771792</v>
      </c>
      <c r="O671" s="274">
        <f t="shared" si="1187"/>
        <v>4566.9347311679767</v>
      </c>
      <c r="P671" s="274">
        <f t="shared" si="1187"/>
        <v>4680.6861146780175</v>
      </c>
      <c r="Q671" s="274">
        <f t="shared" si="1187"/>
        <v>4797.270772147971</v>
      </c>
      <c r="R671" s="274">
        <f t="shared" si="1187"/>
        <v>4916.7592736323249</v>
      </c>
      <c r="S671" s="274">
        <f t="shared" si="1187"/>
        <v>5039.2239469162505</v>
      </c>
      <c r="T671" s="274">
        <f t="shared" si="1187"/>
        <v>5164.7389212964617</v>
      </c>
      <c r="U671" s="274">
        <f t="shared" si="1187"/>
        <v>5293.3801724525465</v>
      </c>
      <c r="V671" s="274">
        <f t="shared" si="1187"/>
        <v>5425.2255684359252</v>
      </c>
    </row>
    <row r="672" spans="10:22">
      <c r="J672" s="285" t="s">
        <v>413</v>
      </c>
      <c r="K672" s="274"/>
      <c r="L672" s="284">
        <v>3000</v>
      </c>
      <c r="M672" s="274">
        <f>L672*(1+$G$12)</f>
        <v>3044.28</v>
      </c>
      <c r="N672" s="274">
        <f t="shared" ref="N672:V672" si="1188">M672*(1+$G$12)</f>
        <v>3089.2135728000007</v>
      </c>
      <c r="O672" s="274">
        <f t="shared" si="1188"/>
        <v>3134.8103651345291</v>
      </c>
      <c r="P672" s="274">
        <f t="shared" si="1188"/>
        <v>3181.0801661239152</v>
      </c>
      <c r="Q672" s="274">
        <f t="shared" si="1188"/>
        <v>3228.0329093759046</v>
      </c>
      <c r="R672" s="274">
        <f t="shared" si="1188"/>
        <v>3275.6786751182935</v>
      </c>
      <c r="S672" s="274">
        <f t="shared" si="1188"/>
        <v>3324.0276923630399</v>
      </c>
      <c r="T672" s="274">
        <f t="shared" si="1188"/>
        <v>3373.0903411023187</v>
      </c>
      <c r="U672" s="274">
        <f t="shared" si="1188"/>
        <v>3422.8771545369891</v>
      </c>
      <c r="V672" s="274">
        <f t="shared" si="1188"/>
        <v>3473.3988213379553</v>
      </c>
    </row>
    <row r="673" spans="10:23" ht="15.5">
      <c r="J673" s="270" t="s">
        <v>35</v>
      </c>
      <c r="K673" s="282"/>
      <c r="L673" s="273">
        <f>L671+L672</f>
        <v>7242</v>
      </c>
      <c r="M673" s="273">
        <f t="shared" ref="M673:V673" si="1189">M671+M672</f>
        <v>7391.9380392000003</v>
      </c>
      <c r="N673" s="273">
        <f t="shared" si="1189"/>
        <v>7545.1613393771804</v>
      </c>
      <c r="O673" s="273">
        <f t="shared" si="1189"/>
        <v>7701.7450963025058</v>
      </c>
      <c r="P673" s="273">
        <f t="shared" si="1189"/>
        <v>7861.7662808019322</v>
      </c>
      <c r="Q673" s="273">
        <f t="shared" si="1189"/>
        <v>8025.3036815238756</v>
      </c>
      <c r="R673" s="273">
        <f t="shared" si="1189"/>
        <v>8192.4379487506194</v>
      </c>
      <c r="S673" s="273">
        <f t="shared" si="1189"/>
        <v>8363.2516392792895</v>
      </c>
      <c r="T673" s="273">
        <f t="shared" si="1189"/>
        <v>8537.82926239878</v>
      </c>
      <c r="U673" s="273">
        <f t="shared" si="1189"/>
        <v>8716.2573269895365</v>
      </c>
      <c r="V673" s="273">
        <f t="shared" si="1189"/>
        <v>8898.6243897738805</v>
      </c>
    </row>
    <row r="674" spans="10:23">
      <c r="J674" s="286" t="s">
        <v>414</v>
      </c>
      <c r="K674" s="274"/>
      <c r="L674" s="274">
        <f>L668-L670-L673</f>
        <v>120018</v>
      </c>
      <c r="M674" s="274">
        <f t="shared" ref="M674:V674" si="1190">M668-M670-M673</f>
        <v>123037.80313680002</v>
      </c>
      <c r="N674" s="274">
        <f t="shared" si="1190"/>
        <v>126133.27165793818</v>
      </c>
      <c r="O674" s="274">
        <f t="shared" si="1190"/>
        <v>129306.2968387368</v>
      </c>
      <c r="P674" s="274">
        <f t="shared" si="1190"/>
        <v>132558.81715953859</v>
      </c>
      <c r="Q674" s="274">
        <f t="shared" si="1190"/>
        <v>135892.81948291525</v>
      </c>
      <c r="R674" s="274">
        <f t="shared" si="1190"/>
        <v>139310.34026021912</v>
      </c>
      <c r="S674" s="274">
        <f t="shared" si="1190"/>
        <v>142813.46676820819</v>
      </c>
      <c r="T674" s="274">
        <f t="shared" si="1190"/>
        <v>146404.33837649506</v>
      </c>
      <c r="U674" s="274">
        <f t="shared" si="1190"/>
        <v>150085.14784658689</v>
      </c>
      <c r="V674" s="274">
        <f t="shared" si="1190"/>
        <v>153858.14266330391</v>
      </c>
    </row>
    <row r="675" spans="10:23">
      <c r="J675" s="286" t="s">
        <v>415</v>
      </c>
      <c r="K675" s="274"/>
      <c r="L675" s="274">
        <f>L674*$G$13</f>
        <v>48007.200000000004</v>
      </c>
      <c r="M675" s="274">
        <f t="shared" ref="M675:Q675" si="1191">M674*$G$13</f>
        <v>49215.121254720012</v>
      </c>
      <c r="N675" s="274">
        <f t="shared" si="1191"/>
        <v>50453.308663175274</v>
      </c>
      <c r="O675" s="274">
        <f t="shared" si="1191"/>
        <v>51722.518735494727</v>
      </c>
      <c r="P675" s="274">
        <f t="shared" si="1191"/>
        <v>53023.526863815438</v>
      </c>
      <c r="Q675" s="274">
        <f t="shared" si="1191"/>
        <v>54357.127793166102</v>
      </c>
      <c r="R675" s="274">
        <f>R674*$G$13</f>
        <v>55724.136104087651</v>
      </c>
      <c r="S675" s="274">
        <f t="shared" ref="S675:V675" si="1192">S674*$G$13</f>
        <v>57125.38670728328</v>
      </c>
      <c r="T675" s="274">
        <f t="shared" si="1192"/>
        <v>58561.735350598028</v>
      </c>
      <c r="U675" s="274">
        <f t="shared" si="1192"/>
        <v>60034.059138634759</v>
      </c>
      <c r="V675" s="274">
        <f t="shared" si="1192"/>
        <v>61543.257065321566</v>
      </c>
    </row>
    <row r="676" spans="10:23" ht="15.5">
      <c r="J676" s="270" t="s">
        <v>358</v>
      </c>
      <c r="K676" s="272"/>
      <c r="L676" s="273">
        <f>L674-L675</f>
        <v>72010.799999999988</v>
      </c>
      <c r="M676" s="273">
        <f t="shared" ref="M676:V676" si="1193">M674-M675</f>
        <v>73822.681882080011</v>
      </c>
      <c r="N676" s="273">
        <f t="shared" si="1193"/>
        <v>75679.9629947629</v>
      </c>
      <c r="O676" s="273">
        <f t="shared" si="1193"/>
        <v>77583.778103242075</v>
      </c>
      <c r="P676" s="273">
        <f t="shared" si="1193"/>
        <v>79535.290295723156</v>
      </c>
      <c r="Q676" s="273">
        <f t="shared" si="1193"/>
        <v>81535.691689749146</v>
      </c>
      <c r="R676" s="273">
        <f t="shared" si="1193"/>
        <v>83586.204156131469</v>
      </c>
      <c r="S676" s="273">
        <f t="shared" si="1193"/>
        <v>85688.080060924913</v>
      </c>
      <c r="T676" s="273">
        <f t="shared" si="1193"/>
        <v>87842.603025897028</v>
      </c>
      <c r="U676" s="273">
        <f t="shared" si="1193"/>
        <v>90051.08870795212</v>
      </c>
      <c r="V676" s="273">
        <f t="shared" si="1193"/>
        <v>92314.885597982342</v>
      </c>
    </row>
    <row r="677" spans="10:23" ht="15.5">
      <c r="J677" s="270" t="s">
        <v>419</v>
      </c>
      <c r="K677" s="272"/>
      <c r="L677" s="273">
        <f>M668*$G$14</f>
        <v>24153.655773333336</v>
      </c>
      <c r="M677" s="273">
        <f t="shared" ref="M677:V677" si="1194">N668*$G$14</f>
        <v>24755.265369873217</v>
      </c>
      <c r="N677" s="273">
        <f t="shared" si="1194"/>
        <v>25371.859617599872</v>
      </c>
      <c r="O677" s="273">
        <f t="shared" si="1194"/>
        <v>26003.811748211207</v>
      </c>
      <c r="P677" s="273">
        <f t="shared" si="1194"/>
        <v>26651.504289710952</v>
      </c>
      <c r="Q677" s="273">
        <f t="shared" si="1194"/>
        <v>27315.32929795736</v>
      </c>
      <c r="R677" s="273">
        <f t="shared" si="1194"/>
        <v>27995.688593979168</v>
      </c>
      <c r="S677" s="273">
        <f t="shared" si="1194"/>
        <v>28692.994007202564</v>
      </c>
      <c r="T677" s="273">
        <f t="shared" si="1194"/>
        <v>29407.667624736368</v>
      </c>
      <c r="U677" s="273">
        <f t="shared" si="1194"/>
        <v>30140.142046866255</v>
      </c>
      <c r="V677" s="273">
        <f t="shared" si="1194"/>
        <v>0</v>
      </c>
    </row>
    <row r="678" spans="10:23" ht="16" thickBot="1">
      <c r="J678" s="270" t="s">
        <v>416</v>
      </c>
      <c r="K678" s="290">
        <f>L668*$G$14</f>
        <v>23566.666666666664</v>
      </c>
      <c r="L678" s="273">
        <f>L677-K678</f>
        <v>586.98910666667143</v>
      </c>
      <c r="M678" s="273">
        <f>M677-L677</f>
        <v>601.60959653988175</v>
      </c>
      <c r="N678" s="273">
        <f t="shared" ref="N678:V678" si="1195">N677-M677</f>
        <v>616.59424772665443</v>
      </c>
      <c r="O678" s="273">
        <f t="shared" si="1195"/>
        <v>631.95213061133472</v>
      </c>
      <c r="P678" s="273">
        <f t="shared" si="1195"/>
        <v>647.69254149974586</v>
      </c>
      <c r="Q678" s="273">
        <f t="shared" si="1195"/>
        <v>663.82500824640738</v>
      </c>
      <c r="R678" s="273">
        <f t="shared" si="1195"/>
        <v>680.3592960218084</v>
      </c>
      <c r="S678" s="273">
        <f t="shared" si="1195"/>
        <v>697.30541322339559</v>
      </c>
      <c r="T678" s="273">
        <f t="shared" si="1195"/>
        <v>714.67361753380465</v>
      </c>
      <c r="U678" s="273">
        <f t="shared" si="1195"/>
        <v>732.47442212988608</v>
      </c>
      <c r="V678" s="273">
        <f t="shared" si="1195"/>
        <v>-30140.142046866255</v>
      </c>
    </row>
    <row r="679" spans="10:23" ht="15.5">
      <c r="J679" s="271" t="s">
        <v>417</v>
      </c>
      <c r="K679" s="275">
        <f>K676-K678</f>
        <v>-23566.666666666664</v>
      </c>
      <c r="L679" s="275">
        <f>L676-L678</f>
        <v>71423.810893333313</v>
      </c>
      <c r="M679" s="275">
        <f>M676-M678</f>
        <v>73221.072285540125</v>
      </c>
      <c r="N679" s="275">
        <f t="shared" ref="N679:V679" si="1196">N676-N678</f>
        <v>75063.368747036249</v>
      </c>
      <c r="O679" s="275">
        <f t="shared" si="1196"/>
        <v>76951.825972630744</v>
      </c>
      <c r="P679" s="275">
        <f t="shared" si="1196"/>
        <v>78887.597754223418</v>
      </c>
      <c r="Q679" s="275">
        <f t="shared" si="1196"/>
        <v>80871.866681502739</v>
      </c>
      <c r="R679" s="275">
        <f t="shared" si="1196"/>
        <v>82905.844860109661</v>
      </c>
      <c r="S679" s="275">
        <f t="shared" si="1196"/>
        <v>84990.774647701517</v>
      </c>
      <c r="T679" s="275">
        <f t="shared" si="1196"/>
        <v>87127.929408363227</v>
      </c>
      <c r="U679" s="275">
        <f t="shared" si="1196"/>
        <v>89318.61428582223</v>
      </c>
      <c r="V679" s="275">
        <f t="shared" si="1196"/>
        <v>122455.0276448486</v>
      </c>
      <c r="W679" s="295" t="s">
        <v>360</v>
      </c>
    </row>
    <row r="680" spans="10:23" ht="16" thickBot="1">
      <c r="J680" s="271" t="s">
        <v>367</v>
      </c>
      <c r="K680" s="291">
        <f>K679/(1+$G$16)^(K663-$G$15)</f>
        <v>-15387.324889749792</v>
      </c>
      <c r="L680" s="291">
        <f>L679/(1+$G$16)^(L663-$G$15)</f>
        <v>41920.284789238292</v>
      </c>
      <c r="M680" s="291">
        <f t="shared" ref="M680:V680" si="1197">M679/(1+$G$16)^(M663-$G$15)</f>
        <v>38630.7848298588</v>
      </c>
      <c r="N680" s="291">
        <f t="shared" si="1197"/>
        <v>35599.323005773229</v>
      </c>
      <c r="O680" s="291">
        <f t="shared" si="1197"/>
        <v>32805.665977890436</v>
      </c>
      <c r="P680" s="291">
        <f t="shared" si="1197"/>
        <v>30231.166248452762</v>
      </c>
      <c r="Q680" s="291">
        <f t="shared" si="1197"/>
        <v>27858.637928185362</v>
      </c>
      <c r="R680" s="291">
        <f t="shared" si="1197"/>
        <v>25672.242230257278</v>
      </c>
      <c r="S680" s="291">
        <f t="shared" si="1197"/>
        <v>23657.381929972922</v>
      </c>
      <c r="T680" s="291">
        <f t="shared" si="1197"/>
        <v>21800.604088622094</v>
      </c>
      <c r="U680" s="291">
        <f t="shared" si="1197"/>
        <v>20089.510394775953</v>
      </c>
      <c r="V680" s="291">
        <f t="shared" si="1197"/>
        <v>24758.266747198093</v>
      </c>
      <c r="W680" s="294">
        <f>SUM(K680:V680)</f>
        <v>307636.54328047542</v>
      </c>
    </row>
    <row r="686" spans="10:23">
      <c r="J686">
        <v>1113211</v>
      </c>
    </row>
    <row r="688" spans="10:23" ht="15.5">
      <c r="J688" s="276" t="s">
        <v>407</v>
      </c>
      <c r="K688" s="276">
        <v>2013</v>
      </c>
      <c r="L688" s="276">
        <v>2014</v>
      </c>
      <c r="M688" s="276">
        <v>2015</v>
      </c>
      <c r="N688" s="276">
        <v>2016</v>
      </c>
      <c r="O688" s="276">
        <v>2017</v>
      </c>
      <c r="P688" s="276">
        <v>2018</v>
      </c>
      <c r="Q688" s="276">
        <v>2019</v>
      </c>
      <c r="R688" s="276">
        <v>2020</v>
      </c>
      <c r="S688" s="276">
        <v>2021</v>
      </c>
      <c r="T688" s="276">
        <v>2022</v>
      </c>
      <c r="U688" s="276">
        <v>2023</v>
      </c>
      <c r="V688" s="276">
        <v>2024</v>
      </c>
    </row>
    <row r="689" spans="10:23">
      <c r="J689" s="269" t="s">
        <v>33</v>
      </c>
      <c r="K689" s="277">
        <f>Données!$C$5</f>
        <v>560000</v>
      </c>
      <c r="L689" s="278">
        <f>K689*(1+$D$12)</f>
        <v>571200</v>
      </c>
      <c r="M689" s="278">
        <f t="shared" ref="M689:V689" si="1198">L689*(1+$D$12)</f>
        <v>582624</v>
      </c>
      <c r="N689" s="278">
        <f t="shared" si="1198"/>
        <v>594276.48</v>
      </c>
      <c r="O689" s="278">
        <f t="shared" si="1198"/>
        <v>606162.00959999999</v>
      </c>
      <c r="P689" s="278">
        <f t="shared" si="1198"/>
        <v>618285.24979200005</v>
      </c>
      <c r="Q689" s="278">
        <f t="shared" si="1198"/>
        <v>630650.95478784002</v>
      </c>
      <c r="R689" s="278">
        <f t="shared" si="1198"/>
        <v>643263.97388359683</v>
      </c>
      <c r="S689" s="278">
        <f t="shared" si="1198"/>
        <v>656129.25336126878</v>
      </c>
      <c r="T689" s="278">
        <f t="shared" si="1198"/>
        <v>669251.83842849417</v>
      </c>
      <c r="U689" s="278">
        <f t="shared" si="1198"/>
        <v>682636.87519706402</v>
      </c>
      <c r="V689" s="278">
        <f t="shared" si="1198"/>
        <v>696289.6127010053</v>
      </c>
    </row>
    <row r="690" spans="10:23">
      <c r="J690" s="269" t="s">
        <v>408</v>
      </c>
      <c r="K690" s="279"/>
      <c r="L690" s="278">
        <f>L689*$D$14</f>
        <v>571200</v>
      </c>
      <c r="M690" s="278">
        <f t="shared" ref="M690:V690" si="1199">M689*$D$14</f>
        <v>582624</v>
      </c>
      <c r="N690" s="278">
        <f t="shared" si="1199"/>
        <v>594276.48</v>
      </c>
      <c r="O690" s="278">
        <f t="shared" si="1199"/>
        <v>606162.00959999999</v>
      </c>
      <c r="P690" s="278">
        <f t="shared" si="1199"/>
        <v>618285.24979200005</v>
      </c>
      <c r="Q690" s="278">
        <f t="shared" si="1199"/>
        <v>630650.95478784002</v>
      </c>
      <c r="R690" s="278">
        <f t="shared" si="1199"/>
        <v>643263.97388359683</v>
      </c>
      <c r="S690" s="278">
        <f t="shared" si="1199"/>
        <v>656129.25336126878</v>
      </c>
      <c r="T690" s="278">
        <f t="shared" si="1199"/>
        <v>669251.83842849417</v>
      </c>
      <c r="U690" s="278">
        <f t="shared" si="1199"/>
        <v>682636.87519706402</v>
      </c>
      <c r="V690" s="278">
        <f t="shared" si="1199"/>
        <v>696289.6127010053</v>
      </c>
    </row>
    <row r="691" spans="10:23">
      <c r="J691" s="269" t="s">
        <v>409</v>
      </c>
      <c r="K691" s="280"/>
      <c r="L691" s="278">
        <f>L690*$D$17</f>
        <v>188496</v>
      </c>
      <c r="M691" s="278">
        <f t="shared" ref="M691:V691" si="1200">M690*$D$17</f>
        <v>192265.92</v>
      </c>
      <c r="N691" s="278">
        <f t="shared" si="1200"/>
        <v>196111.2384</v>
      </c>
      <c r="O691" s="278">
        <f t="shared" si="1200"/>
        <v>200033.46316800002</v>
      </c>
      <c r="P691" s="278">
        <f t="shared" si="1200"/>
        <v>204034.13243136002</v>
      </c>
      <c r="Q691" s="278">
        <f t="shared" si="1200"/>
        <v>208114.81507998722</v>
      </c>
      <c r="R691" s="278">
        <f t="shared" si="1200"/>
        <v>212277.11138158696</v>
      </c>
      <c r="S691" s="278">
        <f t="shared" si="1200"/>
        <v>216522.65360921872</v>
      </c>
      <c r="T691" s="278">
        <f t="shared" si="1200"/>
        <v>220853.10668140309</v>
      </c>
      <c r="U691" s="278">
        <f t="shared" si="1200"/>
        <v>225270.16881503112</v>
      </c>
      <c r="V691" s="278">
        <f t="shared" si="1200"/>
        <v>229775.57219133177</v>
      </c>
    </row>
    <row r="692" spans="10:23">
      <c r="J692" s="269" t="s">
        <v>410</v>
      </c>
      <c r="K692" s="281"/>
      <c r="L692" s="288">
        <f>1</f>
        <v>1</v>
      </c>
      <c r="M692" s="288">
        <f>L692*(1+$G$12)</f>
        <v>1.0147600000000001</v>
      </c>
      <c r="N692" s="288">
        <f t="shared" ref="N692:V692" si="1201">M692*(1+$G$12)</f>
        <v>1.0297378576000003</v>
      </c>
      <c r="O692" s="288">
        <f t="shared" si="1201"/>
        <v>1.0449367883781764</v>
      </c>
      <c r="P692" s="288">
        <f t="shared" si="1201"/>
        <v>1.0603600553746384</v>
      </c>
      <c r="Q692" s="288">
        <f t="shared" si="1201"/>
        <v>1.0760109697919682</v>
      </c>
      <c r="R692" s="288">
        <f t="shared" si="1201"/>
        <v>1.0918928917060977</v>
      </c>
      <c r="S692" s="288">
        <f t="shared" si="1201"/>
        <v>1.1080092307876799</v>
      </c>
      <c r="T692" s="288">
        <f t="shared" si="1201"/>
        <v>1.1243634470341062</v>
      </c>
      <c r="U692" s="288">
        <f t="shared" si="1201"/>
        <v>1.1409590515123298</v>
      </c>
      <c r="V692" s="288">
        <f t="shared" si="1201"/>
        <v>1.157799607112652</v>
      </c>
    </row>
    <row r="693" spans="10:23" ht="15.5">
      <c r="J693" s="270" t="s">
        <v>411</v>
      </c>
      <c r="K693" s="282"/>
      <c r="L693" s="273">
        <f>L691*L692</f>
        <v>188496</v>
      </c>
      <c r="M693" s="273">
        <f t="shared" ref="M693:V693" si="1202">M691*M692</f>
        <v>195103.76497920003</v>
      </c>
      <c r="N693" s="273">
        <f t="shared" si="1202"/>
        <v>201943.16648129889</v>
      </c>
      <c r="O693" s="273">
        <f t="shared" si="1202"/>
        <v>209022.32457093417</v>
      </c>
      <c r="P693" s="273">
        <f t="shared" si="1202"/>
        <v>216349.64396323322</v>
      </c>
      <c r="Q693" s="273">
        <f t="shared" si="1202"/>
        <v>223933.82400229317</v>
      </c>
      <c r="R693" s="273">
        <f t="shared" si="1202"/>
        <v>231783.86898945837</v>
      </c>
      <c r="S693" s="273">
        <f t="shared" si="1202"/>
        <v>239909.0988736577</v>
      </c>
      <c r="T693" s="273">
        <f t="shared" si="1202"/>
        <v>248319.16031649357</v>
      </c>
      <c r="U693" s="273">
        <f t="shared" si="1202"/>
        <v>257024.03814522031</v>
      </c>
      <c r="V693" s="273">
        <f t="shared" si="1202"/>
        <v>266034.06720720872</v>
      </c>
    </row>
    <row r="694" spans="10:23">
      <c r="J694" s="283" t="s">
        <v>34</v>
      </c>
      <c r="K694" s="274"/>
      <c r="L694" s="289">
        <f>$D$22</f>
        <v>0.1</v>
      </c>
      <c r="M694" s="289">
        <f>L694*(1+$G$12)</f>
        <v>0.10147600000000001</v>
      </c>
      <c r="N694" s="289">
        <f t="shared" ref="N694:V694" si="1203">M694*(1+$G$12)</f>
        <v>0.10297378576000002</v>
      </c>
      <c r="O694" s="289">
        <f t="shared" si="1203"/>
        <v>0.10449367883781763</v>
      </c>
      <c r="P694" s="289">
        <f t="shared" si="1203"/>
        <v>0.10603600553746383</v>
      </c>
      <c r="Q694" s="289">
        <f t="shared" si="1203"/>
        <v>0.1076010969791968</v>
      </c>
      <c r="R694" s="289">
        <f t="shared" si="1203"/>
        <v>0.10918928917060976</v>
      </c>
      <c r="S694" s="289">
        <f t="shared" si="1203"/>
        <v>0.11080092307876797</v>
      </c>
      <c r="T694" s="289">
        <f t="shared" si="1203"/>
        <v>0.1124363447034106</v>
      </c>
      <c r="U694" s="289">
        <f t="shared" si="1203"/>
        <v>0.11409590515123295</v>
      </c>
      <c r="V694" s="289">
        <f t="shared" si="1203"/>
        <v>0.11577996071126516</v>
      </c>
    </row>
    <row r="695" spans="10:23" ht="15.5">
      <c r="J695" s="270" t="s">
        <v>412</v>
      </c>
      <c r="K695" s="282"/>
      <c r="L695" s="273">
        <f>L691*L694</f>
        <v>18849.600000000002</v>
      </c>
      <c r="M695" s="273">
        <f t="shared" ref="M695:V695" si="1204">M691*M694</f>
        <v>19510.376497920002</v>
      </c>
      <c r="N695" s="273">
        <f t="shared" si="1204"/>
        <v>20194.31664812989</v>
      </c>
      <c r="O695" s="273">
        <f t="shared" si="1204"/>
        <v>20902.232457093414</v>
      </c>
      <c r="P695" s="273">
        <f t="shared" si="1204"/>
        <v>21634.964396323317</v>
      </c>
      <c r="Q695" s="273">
        <f t="shared" si="1204"/>
        <v>22393.382400229315</v>
      </c>
      <c r="R695" s="273">
        <f t="shared" si="1204"/>
        <v>23178.386898945835</v>
      </c>
      <c r="S695" s="273">
        <f t="shared" si="1204"/>
        <v>23990.909887365764</v>
      </c>
      <c r="T695" s="273">
        <f t="shared" si="1204"/>
        <v>24831.916031649354</v>
      </c>
      <c r="U695" s="273">
        <f t="shared" si="1204"/>
        <v>25702.403814522026</v>
      </c>
      <c r="V695" s="273">
        <f t="shared" si="1204"/>
        <v>26603.406720720865</v>
      </c>
    </row>
    <row r="696" spans="10:23">
      <c r="J696" s="285" t="s">
        <v>418</v>
      </c>
      <c r="K696" s="274"/>
      <c r="L696" s="274">
        <f>L693*0.03</f>
        <v>5654.88</v>
      </c>
      <c r="M696" s="274">
        <f t="shared" ref="M696:V696" si="1205">M693*0.03</f>
        <v>5853.1129493760009</v>
      </c>
      <c r="N696" s="274">
        <f t="shared" si="1205"/>
        <v>6058.2949944389666</v>
      </c>
      <c r="O696" s="274">
        <f t="shared" si="1205"/>
        <v>6270.6697371280252</v>
      </c>
      <c r="P696" s="274">
        <f t="shared" si="1205"/>
        <v>6490.4893188969963</v>
      </c>
      <c r="Q696" s="274">
        <f t="shared" si="1205"/>
        <v>6718.0147200687952</v>
      </c>
      <c r="R696" s="274">
        <f t="shared" si="1205"/>
        <v>6953.5160696837511</v>
      </c>
      <c r="S696" s="274">
        <f t="shared" si="1205"/>
        <v>7197.2729662097308</v>
      </c>
      <c r="T696" s="274">
        <f t="shared" si="1205"/>
        <v>7449.5748094948067</v>
      </c>
      <c r="U696" s="274">
        <f t="shared" si="1205"/>
        <v>7710.7211443566093</v>
      </c>
      <c r="V696" s="274">
        <f t="shared" si="1205"/>
        <v>7981.0220162162614</v>
      </c>
    </row>
    <row r="697" spans="10:23">
      <c r="J697" s="285" t="s">
        <v>413</v>
      </c>
      <c r="K697" s="274"/>
      <c r="L697" s="284">
        <v>3000</v>
      </c>
      <c r="M697" s="274">
        <f>L697*(1+$G$12)</f>
        <v>3044.28</v>
      </c>
      <c r="N697" s="274">
        <f t="shared" ref="N697:V697" si="1206">M697*(1+$G$12)</f>
        <v>3089.2135728000007</v>
      </c>
      <c r="O697" s="274">
        <f t="shared" si="1206"/>
        <v>3134.8103651345291</v>
      </c>
      <c r="P697" s="274">
        <f t="shared" si="1206"/>
        <v>3181.0801661239152</v>
      </c>
      <c r="Q697" s="274">
        <f t="shared" si="1206"/>
        <v>3228.0329093759046</v>
      </c>
      <c r="R697" s="274">
        <f t="shared" si="1206"/>
        <v>3275.6786751182935</v>
      </c>
      <c r="S697" s="274">
        <f t="shared" si="1206"/>
        <v>3324.0276923630399</v>
      </c>
      <c r="T697" s="274">
        <f t="shared" si="1206"/>
        <v>3373.0903411023187</v>
      </c>
      <c r="U697" s="274">
        <f t="shared" si="1206"/>
        <v>3422.8771545369891</v>
      </c>
      <c r="V697" s="274">
        <f t="shared" si="1206"/>
        <v>3473.3988213379553</v>
      </c>
    </row>
    <row r="698" spans="10:23" ht="15.5">
      <c r="J698" s="270" t="s">
        <v>35</v>
      </c>
      <c r="K698" s="282"/>
      <c r="L698" s="273">
        <f>L696+L697</f>
        <v>8654.880000000001</v>
      </c>
      <c r="M698" s="273">
        <f t="shared" ref="M698:V698" si="1207">M696+M697</f>
        <v>8897.3929493760006</v>
      </c>
      <c r="N698" s="273">
        <f t="shared" si="1207"/>
        <v>9147.5085672389669</v>
      </c>
      <c r="O698" s="273">
        <f t="shared" si="1207"/>
        <v>9405.4801022625543</v>
      </c>
      <c r="P698" s="273">
        <f t="shared" si="1207"/>
        <v>9671.5694850209111</v>
      </c>
      <c r="Q698" s="273">
        <f t="shared" si="1207"/>
        <v>9946.0476294446999</v>
      </c>
      <c r="R698" s="273">
        <f t="shared" si="1207"/>
        <v>10229.194744802044</v>
      </c>
      <c r="S698" s="273">
        <f t="shared" si="1207"/>
        <v>10521.300658572771</v>
      </c>
      <c r="T698" s="273">
        <f t="shared" si="1207"/>
        <v>10822.665150597126</v>
      </c>
      <c r="U698" s="273">
        <f t="shared" si="1207"/>
        <v>11133.598298893598</v>
      </c>
      <c r="V698" s="273">
        <f t="shared" si="1207"/>
        <v>11454.420837554217</v>
      </c>
    </row>
    <row r="699" spans="10:23">
      <c r="J699" s="286" t="s">
        <v>414</v>
      </c>
      <c r="K699" s="274"/>
      <c r="L699" s="274">
        <f>L693-L695-L698</f>
        <v>160991.51999999999</v>
      </c>
      <c r="M699" s="274">
        <f t="shared" ref="M699:V699" si="1208">M693-M695-M698</f>
        <v>166695.99553190405</v>
      </c>
      <c r="N699" s="274">
        <f t="shared" si="1208"/>
        <v>172601.34126593004</v>
      </c>
      <c r="O699" s="274">
        <f t="shared" si="1208"/>
        <v>178714.6120115782</v>
      </c>
      <c r="P699" s="274">
        <f t="shared" si="1208"/>
        <v>185043.110081889</v>
      </c>
      <c r="Q699" s="274">
        <f t="shared" si="1208"/>
        <v>191594.39397261915</v>
      </c>
      <c r="R699" s="274">
        <f t="shared" si="1208"/>
        <v>198376.28734571047</v>
      </c>
      <c r="S699" s="274">
        <f t="shared" si="1208"/>
        <v>205396.88832771918</v>
      </c>
      <c r="T699" s="274">
        <f t="shared" si="1208"/>
        <v>212664.57913424706</v>
      </c>
      <c r="U699" s="274">
        <f t="shared" si="1208"/>
        <v>220188.03603180469</v>
      </c>
      <c r="V699" s="274">
        <f t="shared" si="1208"/>
        <v>227976.23964893364</v>
      </c>
    </row>
    <row r="700" spans="10:23">
      <c r="J700" s="286" t="s">
        <v>415</v>
      </c>
      <c r="K700" s="274"/>
      <c r="L700" s="274">
        <f>L699*$G$13</f>
        <v>64396.608</v>
      </c>
      <c r="M700" s="274">
        <f t="shared" ref="M700:Q700" si="1209">M699*$G$13</f>
        <v>66678.398212761618</v>
      </c>
      <c r="N700" s="274">
        <f t="shared" si="1209"/>
        <v>69040.536506372024</v>
      </c>
      <c r="O700" s="274">
        <f t="shared" si="1209"/>
        <v>71485.844804631284</v>
      </c>
      <c r="P700" s="274">
        <f t="shared" si="1209"/>
        <v>74017.244032755596</v>
      </c>
      <c r="Q700" s="274">
        <f t="shared" si="1209"/>
        <v>76637.757589047658</v>
      </c>
      <c r="R700" s="274">
        <f>R699*$G$13</f>
        <v>79350.514938284192</v>
      </c>
      <c r="S700" s="274">
        <f t="shared" ref="S700:V700" si="1210">S699*$G$13</f>
        <v>82158.755331087683</v>
      </c>
      <c r="T700" s="274">
        <f t="shared" si="1210"/>
        <v>85065.831653698828</v>
      </c>
      <c r="U700" s="274">
        <f t="shared" si="1210"/>
        <v>88075.214412721878</v>
      </c>
      <c r="V700" s="274">
        <f t="shared" si="1210"/>
        <v>91190.495859573464</v>
      </c>
    </row>
    <row r="701" spans="10:23" ht="15.5">
      <c r="J701" s="270" t="s">
        <v>358</v>
      </c>
      <c r="K701" s="272"/>
      <c r="L701" s="273">
        <f>L699-L700</f>
        <v>96594.911999999982</v>
      </c>
      <c r="M701" s="273">
        <f t="shared" ref="M701:V701" si="1211">M699-M700</f>
        <v>100017.59731914243</v>
      </c>
      <c r="N701" s="273">
        <f t="shared" si="1211"/>
        <v>103560.80475955801</v>
      </c>
      <c r="O701" s="273">
        <f t="shared" si="1211"/>
        <v>107228.76720694691</v>
      </c>
      <c r="P701" s="273">
        <f t="shared" si="1211"/>
        <v>111025.8660491334</v>
      </c>
      <c r="Q701" s="273">
        <f t="shared" si="1211"/>
        <v>114956.63638357149</v>
      </c>
      <c r="R701" s="273">
        <f t="shared" si="1211"/>
        <v>119025.77240742628</v>
      </c>
      <c r="S701" s="273">
        <f t="shared" si="1211"/>
        <v>123238.1329966315</v>
      </c>
      <c r="T701" s="273">
        <f t="shared" si="1211"/>
        <v>127598.74748054823</v>
      </c>
      <c r="U701" s="273">
        <f t="shared" si="1211"/>
        <v>132112.82161908282</v>
      </c>
      <c r="V701" s="273">
        <f t="shared" si="1211"/>
        <v>136785.74378936016</v>
      </c>
    </row>
    <row r="702" spans="10:23" ht="15.5">
      <c r="J702" s="270" t="s">
        <v>419</v>
      </c>
      <c r="K702" s="272"/>
      <c r="L702" s="273">
        <f>M693*$G$14</f>
        <v>32517.294163200004</v>
      </c>
      <c r="M702" s="273">
        <f t="shared" ref="M702:V702" si="1212">N693*$G$14</f>
        <v>33657.194413549812</v>
      </c>
      <c r="N702" s="273">
        <f t="shared" si="1212"/>
        <v>34837.05409515569</v>
      </c>
      <c r="O702" s="273">
        <f t="shared" si="1212"/>
        <v>36058.273993872201</v>
      </c>
      <c r="P702" s="273">
        <f t="shared" si="1212"/>
        <v>37322.304000382195</v>
      </c>
      <c r="Q702" s="273">
        <f t="shared" si="1212"/>
        <v>38630.644831576392</v>
      </c>
      <c r="R702" s="273">
        <f t="shared" si="1212"/>
        <v>39984.849812276283</v>
      </c>
      <c r="S702" s="273">
        <f t="shared" si="1212"/>
        <v>41386.526719415589</v>
      </c>
      <c r="T702" s="273">
        <f t="shared" si="1212"/>
        <v>42837.339690870052</v>
      </c>
      <c r="U702" s="273">
        <f t="shared" si="1212"/>
        <v>44339.011201201451</v>
      </c>
      <c r="V702" s="273">
        <f t="shared" si="1212"/>
        <v>0</v>
      </c>
    </row>
    <row r="703" spans="10:23" ht="16" thickBot="1">
      <c r="J703" s="270" t="s">
        <v>416</v>
      </c>
      <c r="K703" s="290">
        <f>L693*$G$14</f>
        <v>31416</v>
      </c>
      <c r="L703" s="273">
        <f>L702-K703</f>
        <v>1101.2941632000038</v>
      </c>
      <c r="M703" s="273">
        <f>M702-L702</f>
        <v>1139.9002503498086</v>
      </c>
      <c r="N703" s="273">
        <f t="shared" ref="N703:V703" si="1213">N702-M702</f>
        <v>1179.859681605878</v>
      </c>
      <c r="O703" s="273">
        <f t="shared" si="1213"/>
        <v>1221.2198987165102</v>
      </c>
      <c r="P703" s="273">
        <f t="shared" si="1213"/>
        <v>1264.0300065099946</v>
      </c>
      <c r="Q703" s="273">
        <f t="shared" si="1213"/>
        <v>1308.3408311941967</v>
      </c>
      <c r="R703" s="273">
        <f t="shared" si="1213"/>
        <v>1354.2049806998912</v>
      </c>
      <c r="S703" s="273">
        <f t="shared" si="1213"/>
        <v>1401.6769071393064</v>
      </c>
      <c r="T703" s="273">
        <f t="shared" si="1213"/>
        <v>1450.812971454463</v>
      </c>
      <c r="U703" s="273">
        <f t="shared" si="1213"/>
        <v>1501.6715103313982</v>
      </c>
      <c r="V703" s="273">
        <f t="shared" si="1213"/>
        <v>-44339.011201201451</v>
      </c>
    </row>
    <row r="704" spans="10:23" ht="15.5">
      <c r="J704" s="271" t="s">
        <v>417</v>
      </c>
      <c r="K704" s="275">
        <f>K701-K703</f>
        <v>-31416</v>
      </c>
      <c r="L704" s="275">
        <f>L701-L703</f>
        <v>95493.617836799982</v>
      </c>
      <c r="M704" s="275">
        <f>M701-M703</f>
        <v>98877.697068792622</v>
      </c>
      <c r="N704" s="275">
        <f t="shared" ref="N704:V704" si="1214">N701-N703</f>
        <v>102380.94507795214</v>
      </c>
      <c r="O704" s="275">
        <f t="shared" si="1214"/>
        <v>106007.54730823039</v>
      </c>
      <c r="P704" s="275">
        <f t="shared" si="1214"/>
        <v>109761.83604262341</v>
      </c>
      <c r="Q704" s="275">
        <f t="shared" si="1214"/>
        <v>113648.2955523773</v>
      </c>
      <c r="R704" s="275">
        <f t="shared" si="1214"/>
        <v>117671.5674267264</v>
      </c>
      <c r="S704" s="275">
        <f t="shared" si="1214"/>
        <v>121836.45608949219</v>
      </c>
      <c r="T704" s="275">
        <f t="shared" si="1214"/>
        <v>126147.93450909377</v>
      </c>
      <c r="U704" s="275">
        <f t="shared" si="1214"/>
        <v>130611.15010875143</v>
      </c>
      <c r="V704" s="275">
        <f t="shared" si="1214"/>
        <v>181124.7549905616</v>
      </c>
      <c r="W704" s="295" t="s">
        <v>360</v>
      </c>
    </row>
    <row r="705" spans="10:23" ht="16" thickBot="1">
      <c r="J705" s="271" t="s">
        <v>367</v>
      </c>
      <c r="K705" s="291">
        <f>K704/(1+$G$16)^(K688-$G$15)</f>
        <v>-20512.370526296163</v>
      </c>
      <c r="L705" s="291">
        <f>L704/(1+$G$16)^(L688-$G$15)</f>
        <v>56047.41059325065</v>
      </c>
      <c r="M705" s="291">
        <f t="shared" ref="M705:V705" si="1215">M704/(1+$G$16)^(M688-$G$15)</f>
        <v>52166.991286889635</v>
      </c>
      <c r="N705" s="291">
        <f t="shared" si="1215"/>
        <v>48554.872960058186</v>
      </c>
      <c r="O705" s="291">
        <f t="shared" si="1215"/>
        <v>45192.536293630124</v>
      </c>
      <c r="P705" s="291">
        <f t="shared" si="1215"/>
        <v>42062.73745941661</v>
      </c>
      <c r="Q705" s="291">
        <f t="shared" si="1215"/>
        <v>39149.42051996971</v>
      </c>
      <c r="R705" s="291">
        <f t="shared" si="1215"/>
        <v>36437.635822784818</v>
      </c>
      <c r="S705" s="291">
        <f t="shared" si="1215"/>
        <v>33913.46398066324</v>
      </c>
      <c r="T705" s="291">
        <f t="shared" si="1215"/>
        <v>31563.945057624718</v>
      </c>
      <c r="U705" s="291">
        <f t="shared" si="1215"/>
        <v>29377.012605533724</v>
      </c>
      <c r="V705" s="291">
        <f t="shared" si="1215"/>
        <v>36620.260391292053</v>
      </c>
      <c r="W705" s="294">
        <f>SUM(K705:V705)</f>
        <v>430573.91644481727</v>
      </c>
    </row>
    <row r="710" spans="10:23">
      <c r="J710">
        <v>1113212</v>
      </c>
    </row>
    <row r="712" spans="10:23" ht="15.5">
      <c r="J712" s="276" t="s">
        <v>407</v>
      </c>
      <c r="K712" s="276">
        <v>2013</v>
      </c>
      <c r="L712" s="276">
        <v>2014</v>
      </c>
      <c r="M712" s="276">
        <v>2015</v>
      </c>
      <c r="N712" s="276">
        <v>2016</v>
      </c>
      <c r="O712" s="276">
        <v>2017</v>
      </c>
      <c r="P712" s="276">
        <v>2018</v>
      </c>
      <c r="Q712" s="276">
        <v>2019</v>
      </c>
      <c r="R712" s="276">
        <v>2020</v>
      </c>
      <c r="S712" s="276">
        <v>2021</v>
      </c>
      <c r="T712" s="276">
        <v>2022</v>
      </c>
      <c r="U712" s="276">
        <v>2023</v>
      </c>
      <c r="V712" s="276">
        <v>2024</v>
      </c>
    </row>
    <row r="713" spans="10:23">
      <c r="J713" s="269" t="s">
        <v>33</v>
      </c>
      <c r="K713" s="277">
        <f>Données!$C$5</f>
        <v>560000</v>
      </c>
      <c r="L713" s="278">
        <f>K713*(1+$D$13)</f>
        <v>565600</v>
      </c>
      <c r="M713" s="278">
        <f t="shared" ref="M713:V713" si="1216">L713*(1+$D$13)</f>
        <v>571256</v>
      </c>
      <c r="N713" s="278">
        <f t="shared" si="1216"/>
        <v>576968.56000000006</v>
      </c>
      <c r="O713" s="278">
        <f t="shared" si="1216"/>
        <v>582738.24560000002</v>
      </c>
      <c r="P713" s="278">
        <f t="shared" si="1216"/>
        <v>588565.62805599999</v>
      </c>
      <c r="Q713" s="278">
        <f t="shared" si="1216"/>
        <v>594451.28433655994</v>
      </c>
      <c r="R713" s="278">
        <f t="shared" si="1216"/>
        <v>600395.79717992549</v>
      </c>
      <c r="S713" s="278">
        <f t="shared" si="1216"/>
        <v>606399.75515172479</v>
      </c>
      <c r="T713" s="278">
        <f t="shared" si="1216"/>
        <v>612463.752703242</v>
      </c>
      <c r="U713" s="278">
        <f t="shared" si="1216"/>
        <v>618588.39023027441</v>
      </c>
      <c r="V713" s="278">
        <f t="shared" si="1216"/>
        <v>624774.27413257712</v>
      </c>
    </row>
    <row r="714" spans="10:23">
      <c r="J714" s="269" t="s">
        <v>408</v>
      </c>
      <c r="K714" s="279"/>
      <c r="L714" s="278">
        <f>L713*$D$14</f>
        <v>565600</v>
      </c>
      <c r="M714" s="278">
        <f t="shared" ref="M714:V714" si="1217">M713*$D$14</f>
        <v>571256</v>
      </c>
      <c r="N714" s="278">
        <f t="shared" si="1217"/>
        <v>576968.56000000006</v>
      </c>
      <c r="O714" s="278">
        <f t="shared" si="1217"/>
        <v>582738.24560000002</v>
      </c>
      <c r="P714" s="278">
        <f t="shared" si="1217"/>
        <v>588565.62805599999</v>
      </c>
      <c r="Q714" s="278">
        <f t="shared" si="1217"/>
        <v>594451.28433655994</v>
      </c>
      <c r="R714" s="278">
        <f t="shared" si="1217"/>
        <v>600395.79717992549</v>
      </c>
      <c r="S714" s="278">
        <f t="shared" si="1217"/>
        <v>606399.75515172479</v>
      </c>
      <c r="T714" s="278">
        <f t="shared" si="1217"/>
        <v>612463.752703242</v>
      </c>
      <c r="U714" s="278">
        <f t="shared" si="1217"/>
        <v>618588.39023027441</v>
      </c>
      <c r="V714" s="278">
        <f t="shared" si="1217"/>
        <v>624774.27413257712</v>
      </c>
    </row>
    <row r="715" spans="10:23">
      <c r="J715" s="269" t="s">
        <v>409</v>
      </c>
      <c r="K715" s="280"/>
      <c r="L715" s="278">
        <f>L714*$D$17</f>
        <v>186648</v>
      </c>
      <c r="M715" s="278">
        <f t="shared" ref="M715:V715" si="1218">M714*$D$17</f>
        <v>188514.48</v>
      </c>
      <c r="N715" s="278">
        <f t="shared" si="1218"/>
        <v>190399.62480000002</v>
      </c>
      <c r="O715" s="278">
        <f t="shared" si="1218"/>
        <v>192303.62104800003</v>
      </c>
      <c r="P715" s="278">
        <f t="shared" si="1218"/>
        <v>194226.65725848</v>
      </c>
      <c r="Q715" s="278">
        <f t="shared" si="1218"/>
        <v>196168.92383106478</v>
      </c>
      <c r="R715" s="278">
        <f t="shared" si="1218"/>
        <v>198130.61306937542</v>
      </c>
      <c r="S715" s="278">
        <f t="shared" si="1218"/>
        <v>200111.91920006918</v>
      </c>
      <c r="T715" s="278">
        <f t="shared" si="1218"/>
        <v>202113.03839206987</v>
      </c>
      <c r="U715" s="278">
        <f t="shared" si="1218"/>
        <v>204134.16877599058</v>
      </c>
      <c r="V715" s="278">
        <f t="shared" si="1218"/>
        <v>206175.51046375046</v>
      </c>
    </row>
    <row r="716" spans="10:23">
      <c r="J716" s="269" t="s">
        <v>410</v>
      </c>
      <c r="K716" s="281"/>
      <c r="L716" s="288">
        <f>1</f>
        <v>1</v>
      </c>
      <c r="M716" s="288">
        <f>L716*(1+$G$12)</f>
        <v>1.0147600000000001</v>
      </c>
      <c r="N716" s="288">
        <f t="shared" ref="N716:V716" si="1219">M716*(1+$G$12)</f>
        <v>1.0297378576000003</v>
      </c>
      <c r="O716" s="288">
        <f t="shared" si="1219"/>
        <v>1.0449367883781764</v>
      </c>
      <c r="P716" s="288">
        <f t="shared" si="1219"/>
        <v>1.0603600553746384</v>
      </c>
      <c r="Q716" s="288">
        <f t="shared" si="1219"/>
        <v>1.0760109697919682</v>
      </c>
      <c r="R716" s="288">
        <f t="shared" si="1219"/>
        <v>1.0918928917060977</v>
      </c>
      <c r="S716" s="288">
        <f t="shared" si="1219"/>
        <v>1.1080092307876799</v>
      </c>
      <c r="T716" s="288">
        <f t="shared" si="1219"/>
        <v>1.1243634470341062</v>
      </c>
      <c r="U716" s="288">
        <f t="shared" si="1219"/>
        <v>1.1409590515123298</v>
      </c>
      <c r="V716" s="288">
        <f t="shared" si="1219"/>
        <v>1.157799607112652</v>
      </c>
    </row>
    <row r="717" spans="10:23" ht="15.5">
      <c r="J717" s="270" t="s">
        <v>411</v>
      </c>
      <c r="K717" s="282"/>
      <c r="L717" s="273">
        <f>L715*L716</f>
        <v>186648</v>
      </c>
      <c r="M717" s="273">
        <f t="shared" ref="M717:V717" si="1220">M715*M716</f>
        <v>191296.95372480003</v>
      </c>
      <c r="N717" s="273">
        <f t="shared" si="1220"/>
        <v>196061.70172939589</v>
      </c>
      <c r="O717" s="273">
        <f t="shared" si="1220"/>
        <v>200945.12817139103</v>
      </c>
      <c r="P717" s="273">
        <f t="shared" si="1220"/>
        <v>205950.18904583275</v>
      </c>
      <c r="Q717" s="273">
        <f t="shared" si="1220"/>
        <v>211079.91397451074</v>
      </c>
      <c r="R717" s="273">
        <f t="shared" si="1220"/>
        <v>216337.4080398223</v>
      </c>
      <c r="S717" s="273">
        <f t="shared" si="1220"/>
        <v>221725.85366431501</v>
      </c>
      <c r="T717" s="273">
        <f t="shared" si="1220"/>
        <v>227248.51253704433</v>
      </c>
      <c r="U717" s="273">
        <f t="shared" si="1220"/>
        <v>232908.72758791206</v>
      </c>
      <c r="V717" s="273">
        <f t="shared" si="1220"/>
        <v>238709.92501118075</v>
      </c>
    </row>
    <row r="718" spans="10:23">
      <c r="J718" s="283" t="s">
        <v>34</v>
      </c>
      <c r="K718" s="274"/>
      <c r="L718" s="289">
        <f>$D$22</f>
        <v>0.1</v>
      </c>
      <c r="M718" s="289">
        <f>L718*(1+$G$12)</f>
        <v>0.10147600000000001</v>
      </c>
      <c r="N718" s="289">
        <f t="shared" ref="N718:V718" si="1221">M718*(1+$G$12)</f>
        <v>0.10297378576000002</v>
      </c>
      <c r="O718" s="289">
        <f t="shared" si="1221"/>
        <v>0.10449367883781763</v>
      </c>
      <c r="P718" s="289">
        <f t="shared" si="1221"/>
        <v>0.10603600553746383</v>
      </c>
      <c r="Q718" s="289">
        <f t="shared" si="1221"/>
        <v>0.1076010969791968</v>
      </c>
      <c r="R718" s="289">
        <f t="shared" si="1221"/>
        <v>0.10918928917060976</v>
      </c>
      <c r="S718" s="289">
        <f t="shared" si="1221"/>
        <v>0.11080092307876797</v>
      </c>
      <c r="T718" s="289">
        <f t="shared" si="1221"/>
        <v>0.1124363447034106</v>
      </c>
      <c r="U718" s="289">
        <f t="shared" si="1221"/>
        <v>0.11409590515123295</v>
      </c>
      <c r="V718" s="289">
        <f t="shared" si="1221"/>
        <v>0.11577996071126516</v>
      </c>
    </row>
    <row r="719" spans="10:23" ht="15.5">
      <c r="J719" s="270" t="s">
        <v>412</v>
      </c>
      <c r="K719" s="282"/>
      <c r="L719" s="273">
        <f>L715*L718</f>
        <v>18664.8</v>
      </c>
      <c r="M719" s="273">
        <f t="shared" ref="M719:V719" si="1222">M715*M718</f>
        <v>19129.695372480004</v>
      </c>
      <c r="N719" s="273">
        <f t="shared" si="1222"/>
        <v>19606.17017293959</v>
      </c>
      <c r="O719" s="273">
        <f t="shared" si="1222"/>
        <v>20094.512817139101</v>
      </c>
      <c r="P719" s="273">
        <f t="shared" si="1222"/>
        <v>20595.018904583274</v>
      </c>
      <c r="Q719" s="273">
        <f t="shared" si="1222"/>
        <v>21107.991397451071</v>
      </c>
      <c r="R719" s="273">
        <f t="shared" si="1222"/>
        <v>21633.740803982226</v>
      </c>
      <c r="S719" s="273">
        <f t="shared" si="1222"/>
        <v>22172.585366431496</v>
      </c>
      <c r="T719" s="273">
        <f t="shared" si="1222"/>
        <v>22724.85125370443</v>
      </c>
      <c r="U719" s="273">
        <f t="shared" si="1222"/>
        <v>23290.8727587912</v>
      </c>
      <c r="V719" s="273">
        <f t="shared" si="1222"/>
        <v>23870.992501118068</v>
      </c>
    </row>
    <row r="720" spans="10:23">
      <c r="J720" s="285" t="s">
        <v>418</v>
      </c>
      <c r="K720" s="274"/>
      <c r="L720" s="274">
        <f>L717*0.03</f>
        <v>5599.44</v>
      </c>
      <c r="M720" s="274">
        <f t="shared" ref="M720:V720" si="1223">M717*0.03</f>
        <v>5738.9086117440002</v>
      </c>
      <c r="N720" s="274">
        <f t="shared" si="1223"/>
        <v>5881.8510518818766</v>
      </c>
      <c r="O720" s="274">
        <f t="shared" si="1223"/>
        <v>6028.3538451417307</v>
      </c>
      <c r="P720" s="274">
        <f t="shared" si="1223"/>
        <v>6178.5056713749827</v>
      </c>
      <c r="Q720" s="274">
        <f t="shared" si="1223"/>
        <v>6332.3974192353216</v>
      </c>
      <c r="R720" s="274">
        <f t="shared" si="1223"/>
        <v>6490.1222411946692</v>
      </c>
      <c r="S720" s="274">
        <f t="shared" si="1223"/>
        <v>6651.7756099294502</v>
      </c>
      <c r="T720" s="274">
        <f t="shared" si="1223"/>
        <v>6817.4553761113293</v>
      </c>
      <c r="U720" s="274">
        <f t="shared" si="1223"/>
        <v>6987.2618276373614</v>
      </c>
      <c r="V720" s="274">
        <f t="shared" si="1223"/>
        <v>7161.2977503354223</v>
      </c>
    </row>
    <row r="721" spans="10:23">
      <c r="J721" s="285" t="s">
        <v>413</v>
      </c>
      <c r="K721" s="274"/>
      <c r="L721" s="284">
        <v>3000</v>
      </c>
      <c r="M721" s="274">
        <f>L721*(1+$G$12)</f>
        <v>3044.28</v>
      </c>
      <c r="N721" s="274">
        <f t="shared" ref="N721:V721" si="1224">M721*(1+$G$12)</f>
        <v>3089.2135728000007</v>
      </c>
      <c r="O721" s="274">
        <f t="shared" si="1224"/>
        <v>3134.8103651345291</v>
      </c>
      <c r="P721" s="274">
        <f t="shared" si="1224"/>
        <v>3181.0801661239152</v>
      </c>
      <c r="Q721" s="274">
        <f t="shared" si="1224"/>
        <v>3228.0329093759046</v>
      </c>
      <c r="R721" s="274">
        <f t="shared" si="1224"/>
        <v>3275.6786751182935</v>
      </c>
      <c r="S721" s="274">
        <f t="shared" si="1224"/>
        <v>3324.0276923630399</v>
      </c>
      <c r="T721" s="274">
        <f t="shared" si="1224"/>
        <v>3373.0903411023187</v>
      </c>
      <c r="U721" s="274">
        <f t="shared" si="1224"/>
        <v>3422.8771545369891</v>
      </c>
      <c r="V721" s="274">
        <f t="shared" si="1224"/>
        <v>3473.3988213379553</v>
      </c>
    </row>
    <row r="722" spans="10:23" ht="15.5">
      <c r="J722" s="270" t="s">
        <v>35</v>
      </c>
      <c r="K722" s="282"/>
      <c r="L722" s="273">
        <f>L720+L721</f>
        <v>8599.4399999999987</v>
      </c>
      <c r="M722" s="273">
        <f t="shared" ref="M722:V722" si="1225">M720+M721</f>
        <v>8783.1886117440008</v>
      </c>
      <c r="N722" s="273">
        <f t="shared" si="1225"/>
        <v>8971.0646246818778</v>
      </c>
      <c r="O722" s="273">
        <f t="shared" si="1225"/>
        <v>9163.1642102762598</v>
      </c>
      <c r="P722" s="273">
        <f t="shared" si="1225"/>
        <v>9359.5858374988984</v>
      </c>
      <c r="Q722" s="273">
        <f t="shared" si="1225"/>
        <v>9560.4303286112263</v>
      </c>
      <c r="R722" s="273">
        <f t="shared" si="1225"/>
        <v>9765.8009163129627</v>
      </c>
      <c r="S722" s="273">
        <f t="shared" si="1225"/>
        <v>9975.8033022924901</v>
      </c>
      <c r="T722" s="273">
        <f t="shared" si="1225"/>
        <v>10190.545717213648</v>
      </c>
      <c r="U722" s="273">
        <f t="shared" si="1225"/>
        <v>10410.138982174351</v>
      </c>
      <c r="V722" s="273">
        <f t="shared" si="1225"/>
        <v>10634.696571673378</v>
      </c>
    </row>
    <row r="723" spans="10:23">
      <c r="J723" s="286" t="s">
        <v>414</v>
      </c>
      <c r="K723" s="274"/>
      <c r="L723" s="274">
        <f>L717-L719-L722</f>
        <v>159383.76</v>
      </c>
      <c r="M723" s="274">
        <f t="shared" ref="M723:V723" si="1226">M717-M719-M722</f>
        <v>163384.06974057603</v>
      </c>
      <c r="N723" s="274">
        <f t="shared" si="1226"/>
        <v>167484.46693177443</v>
      </c>
      <c r="O723" s="274">
        <f t="shared" si="1226"/>
        <v>171687.45114397566</v>
      </c>
      <c r="P723" s="274">
        <f t="shared" si="1226"/>
        <v>175995.5843037506</v>
      </c>
      <c r="Q723" s="274">
        <f t="shared" si="1226"/>
        <v>180411.49224844843</v>
      </c>
      <c r="R723" s="274">
        <f t="shared" si="1226"/>
        <v>184937.86631952712</v>
      </c>
      <c r="S723" s="274">
        <f t="shared" si="1226"/>
        <v>189577.46499559103</v>
      </c>
      <c r="T723" s="274">
        <f t="shared" si="1226"/>
        <v>194333.11556612625</v>
      </c>
      <c r="U723" s="274">
        <f t="shared" si="1226"/>
        <v>199207.71584694652</v>
      </c>
      <c r="V723" s="274">
        <f t="shared" si="1226"/>
        <v>204204.23593838929</v>
      </c>
    </row>
    <row r="724" spans="10:23">
      <c r="J724" s="286" t="s">
        <v>415</v>
      </c>
      <c r="K724" s="274"/>
      <c r="L724" s="274">
        <f>L723*$G$13</f>
        <v>63753.504000000008</v>
      </c>
      <c r="M724" s="274">
        <f t="shared" ref="M724:Q724" si="1227">M723*$G$13</f>
        <v>65353.627896230413</v>
      </c>
      <c r="N724" s="274">
        <f t="shared" si="1227"/>
        <v>66993.786772709776</v>
      </c>
      <c r="O724" s="274">
        <f t="shared" si="1227"/>
        <v>68674.980457590267</v>
      </c>
      <c r="P724" s="274">
        <f t="shared" si="1227"/>
        <v>70398.233721500248</v>
      </c>
      <c r="Q724" s="274">
        <f t="shared" si="1227"/>
        <v>72164.596899379379</v>
      </c>
      <c r="R724" s="274">
        <f>R723*$G$13</f>
        <v>73975.146527810852</v>
      </c>
      <c r="S724" s="274">
        <f t="shared" ref="S724:V724" si="1228">S723*$G$13</f>
        <v>75830.985998236414</v>
      </c>
      <c r="T724" s="274">
        <f t="shared" si="1228"/>
        <v>77733.246226450501</v>
      </c>
      <c r="U724" s="274">
        <f t="shared" si="1228"/>
        <v>79683.086338778608</v>
      </c>
      <c r="V724" s="274">
        <f t="shared" si="1228"/>
        <v>81681.694375355728</v>
      </c>
    </row>
    <row r="725" spans="10:23" ht="15.5">
      <c r="J725" s="270" t="s">
        <v>358</v>
      </c>
      <c r="K725" s="272"/>
      <c r="L725" s="273">
        <f>L723-L724</f>
        <v>95630.255999999994</v>
      </c>
      <c r="M725" s="273">
        <f t="shared" ref="M725:V725" si="1229">M723-M724</f>
        <v>98030.441844345623</v>
      </c>
      <c r="N725" s="273">
        <f t="shared" si="1229"/>
        <v>100490.68015906465</v>
      </c>
      <c r="O725" s="273">
        <f t="shared" si="1229"/>
        <v>103012.47068638539</v>
      </c>
      <c r="P725" s="273">
        <f t="shared" si="1229"/>
        <v>105597.35058225035</v>
      </c>
      <c r="Q725" s="273">
        <f t="shared" si="1229"/>
        <v>108246.89534906905</v>
      </c>
      <c r="R725" s="273">
        <f t="shared" si="1229"/>
        <v>110962.71979171627</v>
      </c>
      <c r="S725" s="273">
        <f t="shared" si="1229"/>
        <v>113746.47899735461</v>
      </c>
      <c r="T725" s="273">
        <f t="shared" si="1229"/>
        <v>116599.86933967574</v>
      </c>
      <c r="U725" s="273">
        <f t="shared" si="1229"/>
        <v>119524.62950816791</v>
      </c>
      <c r="V725" s="273">
        <f t="shared" si="1229"/>
        <v>122522.54156303356</v>
      </c>
    </row>
    <row r="726" spans="10:23" ht="15.5">
      <c r="J726" s="270" t="s">
        <v>419</v>
      </c>
      <c r="K726" s="272"/>
      <c r="L726" s="273">
        <f>M717*$G$14</f>
        <v>31882.825620800002</v>
      </c>
      <c r="M726" s="273">
        <f t="shared" ref="M726:V726" si="1230">N717*$G$14</f>
        <v>32676.950288232649</v>
      </c>
      <c r="N726" s="273">
        <f t="shared" si="1230"/>
        <v>33490.854695231836</v>
      </c>
      <c r="O726" s="273">
        <f t="shared" si="1230"/>
        <v>34325.031507638792</v>
      </c>
      <c r="P726" s="273">
        <f t="shared" si="1230"/>
        <v>35179.985662418454</v>
      </c>
      <c r="Q726" s="273">
        <f t="shared" si="1230"/>
        <v>36056.234673303712</v>
      </c>
      <c r="R726" s="273">
        <f t="shared" si="1230"/>
        <v>36954.3089440525</v>
      </c>
      <c r="S726" s="273">
        <f t="shared" si="1230"/>
        <v>37874.752089507383</v>
      </c>
      <c r="T726" s="273">
        <f t="shared" si="1230"/>
        <v>38818.121264652007</v>
      </c>
      <c r="U726" s="273">
        <f t="shared" si="1230"/>
        <v>39784.987501863456</v>
      </c>
      <c r="V726" s="273">
        <f t="shared" si="1230"/>
        <v>0</v>
      </c>
    </row>
    <row r="727" spans="10:23" ht="16" thickBot="1">
      <c r="J727" s="270" t="s">
        <v>416</v>
      </c>
      <c r="K727" s="290">
        <f>L717*$G$14</f>
        <v>31108</v>
      </c>
      <c r="L727" s="273">
        <f>L726-K727</f>
        <v>774.82562080000207</v>
      </c>
      <c r="M727" s="273">
        <f>M726-L726</f>
        <v>794.12466743264667</v>
      </c>
      <c r="N727" s="273">
        <f t="shared" ref="N727:V727" si="1231">N726-M726</f>
        <v>813.9044069991869</v>
      </c>
      <c r="O727" s="273">
        <f t="shared" si="1231"/>
        <v>834.17681240695674</v>
      </c>
      <c r="P727" s="273">
        <f t="shared" si="1231"/>
        <v>854.95415477966162</v>
      </c>
      <c r="Q727" s="273">
        <f t="shared" si="1231"/>
        <v>876.24901088525803</v>
      </c>
      <c r="R727" s="273">
        <f t="shared" si="1231"/>
        <v>898.07427074878797</v>
      </c>
      <c r="S727" s="273">
        <f t="shared" si="1231"/>
        <v>920.44314545488305</v>
      </c>
      <c r="T727" s="273">
        <f t="shared" si="1231"/>
        <v>943.36917514462402</v>
      </c>
      <c r="U727" s="273">
        <f t="shared" si="1231"/>
        <v>966.86623721144861</v>
      </c>
      <c r="V727" s="273">
        <f t="shared" si="1231"/>
        <v>-39784.987501863456</v>
      </c>
    </row>
    <row r="728" spans="10:23" ht="15.5">
      <c r="J728" s="271" t="s">
        <v>417</v>
      </c>
      <c r="K728" s="275">
        <f>K725-K727</f>
        <v>-31108</v>
      </c>
      <c r="L728" s="275">
        <f>L725-L727</f>
        <v>94855.430379199999</v>
      </c>
      <c r="M728" s="275">
        <f>M725-M727</f>
        <v>97236.317176912969</v>
      </c>
      <c r="N728" s="275">
        <f t="shared" ref="N728:V728" si="1232">N725-N727</f>
        <v>99676.77575206547</v>
      </c>
      <c r="O728" s="275">
        <f t="shared" si="1232"/>
        <v>102178.29387397843</v>
      </c>
      <c r="P728" s="275">
        <f t="shared" si="1232"/>
        <v>104742.3964274707</v>
      </c>
      <c r="Q728" s="275">
        <f t="shared" si="1232"/>
        <v>107370.64633818378</v>
      </c>
      <c r="R728" s="275">
        <f t="shared" si="1232"/>
        <v>110064.64552096749</v>
      </c>
      <c r="S728" s="275">
        <f t="shared" si="1232"/>
        <v>112826.03585189974</v>
      </c>
      <c r="T728" s="275">
        <f t="shared" si="1232"/>
        <v>115656.50016453111</v>
      </c>
      <c r="U728" s="275">
        <f t="shared" si="1232"/>
        <v>118557.76327095646</v>
      </c>
      <c r="V728" s="275">
        <f t="shared" si="1232"/>
        <v>162307.52906489701</v>
      </c>
      <c r="W728" s="295" t="s">
        <v>360</v>
      </c>
    </row>
    <row r="729" spans="10:23" ht="16" thickBot="1">
      <c r="J729" s="271" t="s">
        <v>367</v>
      </c>
      <c r="K729" s="291">
        <f>K728/(1+$G$16)^(K712-$G$15)</f>
        <v>-20311.26885446973</v>
      </c>
      <c r="L729" s="291">
        <f>L728/(1+$G$16)^(L712-$G$15)</f>
        <v>55672.843629700285</v>
      </c>
      <c r="M729" s="291">
        <f t="shared" ref="M729:V729" si="1233">M728/(1+$G$16)^(M712-$G$15)</f>
        <v>51301.013892021823</v>
      </c>
      <c r="N729" s="291">
        <f t="shared" si="1233"/>
        <v>47272.401910577813</v>
      </c>
      <c r="O729" s="291">
        <f t="shared" si="1233"/>
        <v>43560.070689065535</v>
      </c>
      <c r="P729" s="291">
        <f t="shared" si="1233"/>
        <v>40139.196651994469</v>
      </c>
      <c r="Q729" s="291">
        <f t="shared" si="1233"/>
        <v>36986.903891200272</v>
      </c>
      <c r="R729" s="291">
        <f t="shared" si="1233"/>
        <v>34082.11140685482</v>
      </c>
      <c r="S729" s="291">
        <f t="shared" si="1233"/>
        <v>31405.392324723267</v>
      </c>
      <c r="T729" s="291">
        <f t="shared" si="1233"/>
        <v>28938.844151168094</v>
      </c>
      <c r="U729" s="291">
        <f t="shared" si="1233"/>
        <v>26665.969200905198</v>
      </c>
      <c r="V729" s="291">
        <f t="shared" si="1233"/>
        <v>32815.746131076674</v>
      </c>
      <c r="W729" s="294">
        <f>SUM(K729:V729)</f>
        <v>408529.22502481838</v>
      </c>
    </row>
    <row r="735" spans="10:23">
      <c r="J735">
        <v>1113221</v>
      </c>
    </row>
    <row r="737" spans="10:22" ht="15.5">
      <c r="J737" s="276" t="s">
        <v>407</v>
      </c>
      <c r="K737" s="276">
        <v>2013</v>
      </c>
      <c r="L737" s="276">
        <v>2014</v>
      </c>
      <c r="M737" s="276">
        <v>2015</v>
      </c>
      <c r="N737" s="276">
        <v>2016</v>
      </c>
      <c r="O737" s="276">
        <v>2017</v>
      </c>
      <c r="P737" s="276">
        <v>2018</v>
      </c>
      <c r="Q737" s="276">
        <v>2019</v>
      </c>
      <c r="R737" s="276">
        <v>2020</v>
      </c>
      <c r="S737" s="276">
        <v>2021</v>
      </c>
      <c r="T737" s="276">
        <v>2022</v>
      </c>
      <c r="U737" s="276">
        <v>2023</v>
      </c>
      <c r="V737" s="276">
        <v>2024</v>
      </c>
    </row>
    <row r="738" spans="10:22">
      <c r="J738" s="269" t="s">
        <v>33</v>
      </c>
      <c r="K738" s="277">
        <f>Données!$C$5</f>
        <v>560000</v>
      </c>
      <c r="L738" s="278">
        <f>K738*(1+$D$12)</f>
        <v>571200</v>
      </c>
      <c r="M738" s="278">
        <f t="shared" ref="M738:V738" si="1234">L738*(1+$D$12)</f>
        <v>582624</v>
      </c>
      <c r="N738" s="278">
        <f t="shared" si="1234"/>
        <v>594276.48</v>
      </c>
      <c r="O738" s="278">
        <f t="shared" si="1234"/>
        <v>606162.00959999999</v>
      </c>
      <c r="P738" s="278">
        <f t="shared" si="1234"/>
        <v>618285.24979200005</v>
      </c>
      <c r="Q738" s="278">
        <f t="shared" si="1234"/>
        <v>630650.95478784002</v>
      </c>
      <c r="R738" s="278">
        <f t="shared" si="1234"/>
        <v>643263.97388359683</v>
      </c>
      <c r="S738" s="278">
        <f t="shared" si="1234"/>
        <v>656129.25336126878</v>
      </c>
      <c r="T738" s="278">
        <f t="shared" si="1234"/>
        <v>669251.83842849417</v>
      </c>
      <c r="U738" s="278">
        <f t="shared" si="1234"/>
        <v>682636.87519706402</v>
      </c>
      <c r="V738" s="278">
        <f t="shared" si="1234"/>
        <v>696289.6127010053</v>
      </c>
    </row>
    <row r="739" spans="10:22">
      <c r="J739" s="269" t="s">
        <v>408</v>
      </c>
      <c r="K739" s="279"/>
      <c r="L739" s="278">
        <f>L738*$D$15</f>
        <v>285600</v>
      </c>
      <c r="M739" s="278">
        <f t="shared" ref="M739:V739" si="1235">M738*$D$15</f>
        <v>291312</v>
      </c>
      <c r="N739" s="278">
        <f t="shared" si="1235"/>
        <v>297138.24</v>
      </c>
      <c r="O739" s="278">
        <f t="shared" si="1235"/>
        <v>303081.0048</v>
      </c>
      <c r="P739" s="278">
        <f t="shared" si="1235"/>
        <v>309142.62489600002</v>
      </c>
      <c r="Q739" s="278">
        <f t="shared" si="1235"/>
        <v>315325.47739392001</v>
      </c>
      <c r="R739" s="278">
        <f t="shared" si="1235"/>
        <v>321631.98694179842</v>
      </c>
      <c r="S739" s="278">
        <f t="shared" si="1235"/>
        <v>328064.62668063439</v>
      </c>
      <c r="T739" s="278">
        <f t="shared" si="1235"/>
        <v>334625.91921424709</v>
      </c>
      <c r="U739" s="278">
        <f t="shared" si="1235"/>
        <v>341318.43759853201</v>
      </c>
      <c r="V739" s="278">
        <f t="shared" si="1235"/>
        <v>348144.80635050265</v>
      </c>
    </row>
    <row r="740" spans="10:22">
      <c r="J740" s="269" t="s">
        <v>409</v>
      </c>
      <c r="K740" s="280"/>
      <c r="L740" s="278">
        <f>L739*$D$17</f>
        <v>94248</v>
      </c>
      <c r="M740" s="278">
        <f t="shared" ref="M740:V740" si="1236">M739*$D$17</f>
        <v>96132.96</v>
      </c>
      <c r="N740" s="278">
        <f t="shared" si="1236"/>
        <v>98055.619200000001</v>
      </c>
      <c r="O740" s="278">
        <f t="shared" si="1236"/>
        <v>100016.73158400001</v>
      </c>
      <c r="P740" s="278">
        <f t="shared" si="1236"/>
        <v>102017.06621568001</v>
      </c>
      <c r="Q740" s="278">
        <f t="shared" si="1236"/>
        <v>104057.40753999361</v>
      </c>
      <c r="R740" s="278">
        <f t="shared" si="1236"/>
        <v>106138.55569079348</v>
      </c>
      <c r="S740" s="278">
        <f t="shared" si="1236"/>
        <v>108261.32680460936</v>
      </c>
      <c r="T740" s="278">
        <f t="shared" si="1236"/>
        <v>110426.55334070155</v>
      </c>
      <c r="U740" s="278">
        <f t="shared" si="1236"/>
        <v>112635.08440751556</v>
      </c>
      <c r="V740" s="278">
        <f t="shared" si="1236"/>
        <v>114887.78609566588</v>
      </c>
    </row>
    <row r="741" spans="10:22">
      <c r="J741" s="269" t="s">
        <v>410</v>
      </c>
      <c r="K741" s="281"/>
      <c r="L741" s="288">
        <f>1</f>
        <v>1</v>
      </c>
      <c r="M741" s="288">
        <f>L741*(1+$G$12)</f>
        <v>1.0147600000000001</v>
      </c>
      <c r="N741" s="288">
        <f t="shared" ref="N741:V741" si="1237">M741*(1+$G$12)</f>
        <v>1.0297378576000003</v>
      </c>
      <c r="O741" s="288">
        <f t="shared" si="1237"/>
        <v>1.0449367883781764</v>
      </c>
      <c r="P741" s="288">
        <f t="shared" si="1237"/>
        <v>1.0603600553746384</v>
      </c>
      <c r="Q741" s="288">
        <f t="shared" si="1237"/>
        <v>1.0760109697919682</v>
      </c>
      <c r="R741" s="288">
        <f t="shared" si="1237"/>
        <v>1.0918928917060977</v>
      </c>
      <c r="S741" s="288">
        <f t="shared" si="1237"/>
        <v>1.1080092307876799</v>
      </c>
      <c r="T741" s="288">
        <f t="shared" si="1237"/>
        <v>1.1243634470341062</v>
      </c>
      <c r="U741" s="288">
        <f t="shared" si="1237"/>
        <v>1.1409590515123298</v>
      </c>
      <c r="V741" s="288">
        <f t="shared" si="1237"/>
        <v>1.157799607112652</v>
      </c>
    </row>
    <row r="742" spans="10:22" ht="15.5">
      <c r="J742" s="270" t="s">
        <v>411</v>
      </c>
      <c r="K742" s="282"/>
      <c r="L742" s="273">
        <f>L740*L741</f>
        <v>94248</v>
      </c>
      <c r="M742" s="273">
        <f t="shared" ref="M742:V742" si="1238">M740*M741</f>
        <v>97551.882489600015</v>
      </c>
      <c r="N742" s="273">
        <f t="shared" si="1238"/>
        <v>100971.58324064944</v>
      </c>
      <c r="O742" s="273">
        <f t="shared" si="1238"/>
        <v>104511.16228546709</v>
      </c>
      <c r="P742" s="273">
        <f t="shared" si="1238"/>
        <v>108174.82198161661</v>
      </c>
      <c r="Q742" s="273">
        <f t="shared" si="1238"/>
        <v>111966.91200114659</v>
      </c>
      <c r="R742" s="273">
        <f t="shared" si="1238"/>
        <v>115891.93449472918</v>
      </c>
      <c r="S742" s="273">
        <f t="shared" si="1238"/>
        <v>119954.54943682885</v>
      </c>
      <c r="T742" s="273">
        <f t="shared" si="1238"/>
        <v>124159.58015824678</v>
      </c>
      <c r="U742" s="273">
        <f t="shared" si="1238"/>
        <v>128512.01907261016</v>
      </c>
      <c r="V742" s="273">
        <f t="shared" si="1238"/>
        <v>133017.03360360436</v>
      </c>
    </row>
    <row r="743" spans="10:22">
      <c r="J743" s="283" t="s">
        <v>34</v>
      </c>
      <c r="K743" s="274"/>
      <c r="L743" s="289">
        <f>$D$22</f>
        <v>0.1</v>
      </c>
      <c r="M743" s="289">
        <f>L743*(1+$G$12)</f>
        <v>0.10147600000000001</v>
      </c>
      <c r="N743" s="289">
        <f t="shared" ref="N743:V743" si="1239">M743*(1+$G$12)</f>
        <v>0.10297378576000002</v>
      </c>
      <c r="O743" s="289">
        <f t="shared" si="1239"/>
        <v>0.10449367883781763</v>
      </c>
      <c r="P743" s="289">
        <f t="shared" si="1239"/>
        <v>0.10603600553746383</v>
      </c>
      <c r="Q743" s="289">
        <f t="shared" si="1239"/>
        <v>0.1076010969791968</v>
      </c>
      <c r="R743" s="289">
        <f t="shared" si="1239"/>
        <v>0.10918928917060976</v>
      </c>
      <c r="S743" s="289">
        <f t="shared" si="1239"/>
        <v>0.11080092307876797</v>
      </c>
      <c r="T743" s="289">
        <f t="shared" si="1239"/>
        <v>0.1124363447034106</v>
      </c>
      <c r="U743" s="289">
        <f t="shared" si="1239"/>
        <v>0.11409590515123295</v>
      </c>
      <c r="V743" s="289">
        <f t="shared" si="1239"/>
        <v>0.11577996071126516</v>
      </c>
    </row>
    <row r="744" spans="10:22" ht="15.5">
      <c r="J744" s="270" t="s">
        <v>412</v>
      </c>
      <c r="K744" s="282"/>
      <c r="L744" s="273">
        <f>L740*L743</f>
        <v>9424.8000000000011</v>
      </c>
      <c r="M744" s="273">
        <f t="shared" ref="M744:V744" si="1240">M740*M743</f>
        <v>9755.1882489600011</v>
      </c>
      <c r="N744" s="273">
        <f t="shared" si="1240"/>
        <v>10097.158324064945</v>
      </c>
      <c r="O744" s="273">
        <f t="shared" si="1240"/>
        <v>10451.116228546707</v>
      </c>
      <c r="P744" s="273">
        <f t="shared" si="1240"/>
        <v>10817.482198161659</v>
      </c>
      <c r="Q744" s="273">
        <f t="shared" si="1240"/>
        <v>11196.691200114657</v>
      </c>
      <c r="R744" s="273">
        <f t="shared" si="1240"/>
        <v>11589.193449472918</v>
      </c>
      <c r="S744" s="273">
        <f t="shared" si="1240"/>
        <v>11995.454943682882</v>
      </c>
      <c r="T744" s="273">
        <f t="shared" si="1240"/>
        <v>12415.958015824677</v>
      </c>
      <c r="U744" s="273">
        <f t="shared" si="1240"/>
        <v>12851.201907261013</v>
      </c>
      <c r="V744" s="273">
        <f t="shared" si="1240"/>
        <v>13301.703360360432</v>
      </c>
    </row>
    <row r="745" spans="10:22">
      <c r="J745" s="285" t="s">
        <v>418</v>
      </c>
      <c r="K745" s="274"/>
      <c r="L745" s="274">
        <f>L742*0.03</f>
        <v>2827.44</v>
      </c>
      <c r="M745" s="274">
        <f t="shared" ref="M745:V745" si="1241">M742*0.03</f>
        <v>2926.5564746880004</v>
      </c>
      <c r="N745" s="274">
        <f t="shared" si="1241"/>
        <v>3029.1474972194833</v>
      </c>
      <c r="O745" s="274">
        <f t="shared" si="1241"/>
        <v>3135.3348685640126</v>
      </c>
      <c r="P745" s="274">
        <f t="shared" si="1241"/>
        <v>3245.2446594484982</v>
      </c>
      <c r="Q745" s="274">
        <f t="shared" si="1241"/>
        <v>3359.0073600343976</v>
      </c>
      <c r="R745" s="274">
        <f t="shared" si="1241"/>
        <v>3476.7580348418755</v>
      </c>
      <c r="S745" s="274">
        <f t="shared" si="1241"/>
        <v>3598.6364831048654</v>
      </c>
      <c r="T745" s="274">
        <f t="shared" si="1241"/>
        <v>3724.7874047474033</v>
      </c>
      <c r="U745" s="274">
        <f t="shared" si="1241"/>
        <v>3855.3605721783047</v>
      </c>
      <c r="V745" s="274">
        <f t="shared" si="1241"/>
        <v>3990.5110081081307</v>
      </c>
    </row>
    <row r="746" spans="10:22">
      <c r="J746" s="285" t="s">
        <v>413</v>
      </c>
      <c r="K746" s="274"/>
      <c r="L746" s="284">
        <v>3000</v>
      </c>
      <c r="M746" s="274">
        <f>L746*(1+$G$12)</f>
        <v>3044.28</v>
      </c>
      <c r="N746" s="274">
        <f t="shared" ref="N746:V746" si="1242">M746*(1+$G$12)</f>
        <v>3089.2135728000007</v>
      </c>
      <c r="O746" s="274">
        <f t="shared" si="1242"/>
        <v>3134.8103651345291</v>
      </c>
      <c r="P746" s="274">
        <f t="shared" si="1242"/>
        <v>3181.0801661239152</v>
      </c>
      <c r="Q746" s="274">
        <f t="shared" si="1242"/>
        <v>3228.0329093759046</v>
      </c>
      <c r="R746" s="274">
        <f t="shared" si="1242"/>
        <v>3275.6786751182935</v>
      </c>
      <c r="S746" s="274">
        <f t="shared" si="1242"/>
        <v>3324.0276923630399</v>
      </c>
      <c r="T746" s="274">
        <f t="shared" si="1242"/>
        <v>3373.0903411023187</v>
      </c>
      <c r="U746" s="274">
        <f t="shared" si="1242"/>
        <v>3422.8771545369891</v>
      </c>
      <c r="V746" s="274">
        <f t="shared" si="1242"/>
        <v>3473.3988213379553</v>
      </c>
    </row>
    <row r="747" spans="10:22" ht="15.5">
      <c r="J747" s="270" t="s">
        <v>35</v>
      </c>
      <c r="K747" s="282"/>
      <c r="L747" s="273">
        <f>L745+L746</f>
        <v>5827.4400000000005</v>
      </c>
      <c r="M747" s="273">
        <f t="shared" ref="M747:V747" si="1243">M745+M746</f>
        <v>5970.8364746880006</v>
      </c>
      <c r="N747" s="273">
        <f t="shared" si="1243"/>
        <v>6118.361070019484</v>
      </c>
      <c r="O747" s="273">
        <f t="shared" si="1243"/>
        <v>6270.1452336985421</v>
      </c>
      <c r="P747" s="273">
        <f t="shared" si="1243"/>
        <v>6426.3248255724138</v>
      </c>
      <c r="Q747" s="273">
        <f t="shared" si="1243"/>
        <v>6587.0402694103022</v>
      </c>
      <c r="R747" s="273">
        <f t="shared" si="1243"/>
        <v>6752.4367099601695</v>
      </c>
      <c r="S747" s="273">
        <f t="shared" si="1243"/>
        <v>6922.6641754679058</v>
      </c>
      <c r="T747" s="273">
        <f t="shared" si="1243"/>
        <v>7097.8777458497225</v>
      </c>
      <c r="U747" s="273">
        <f t="shared" si="1243"/>
        <v>7278.2377267152933</v>
      </c>
      <c r="V747" s="273">
        <f t="shared" si="1243"/>
        <v>7463.9098294460855</v>
      </c>
    </row>
    <row r="748" spans="10:22">
      <c r="J748" s="286" t="s">
        <v>414</v>
      </c>
      <c r="K748" s="274"/>
      <c r="L748" s="274">
        <f>L742-L744-L747</f>
        <v>78995.759999999995</v>
      </c>
      <c r="M748" s="274">
        <f t="shared" ref="M748:V748" si="1244">M742-M744-M747</f>
        <v>81825.857765952023</v>
      </c>
      <c r="N748" s="274">
        <f t="shared" si="1244"/>
        <v>84756.063846565012</v>
      </c>
      <c r="O748" s="274">
        <f t="shared" si="1244"/>
        <v>87789.900823221833</v>
      </c>
      <c r="P748" s="274">
        <f t="shared" si="1244"/>
        <v>90931.014957882537</v>
      </c>
      <c r="Q748" s="274">
        <f t="shared" si="1244"/>
        <v>94183.180531621634</v>
      </c>
      <c r="R748" s="274">
        <f t="shared" si="1244"/>
        <v>97550.304335296096</v>
      </c>
      <c r="S748" s="274">
        <f t="shared" si="1244"/>
        <v>101036.43031767807</v>
      </c>
      <c r="T748" s="274">
        <f t="shared" si="1244"/>
        <v>104645.74439657238</v>
      </c>
      <c r="U748" s="274">
        <f t="shared" si="1244"/>
        <v>108382.57943863385</v>
      </c>
      <c r="V748" s="274">
        <f t="shared" si="1244"/>
        <v>112251.42041379784</v>
      </c>
    </row>
    <row r="749" spans="10:22">
      <c r="J749" s="286" t="s">
        <v>415</v>
      </c>
      <c r="K749" s="274"/>
      <c r="L749" s="274">
        <f>L748*$G$13</f>
        <v>31598.304</v>
      </c>
      <c r="M749" s="274">
        <f t="shared" ref="M749:Q749" si="1245">M748*$G$13</f>
        <v>32730.343106380809</v>
      </c>
      <c r="N749" s="274">
        <f t="shared" si="1245"/>
        <v>33902.425538626005</v>
      </c>
      <c r="O749" s="274">
        <f t="shared" si="1245"/>
        <v>35115.960329288733</v>
      </c>
      <c r="P749" s="274">
        <f t="shared" si="1245"/>
        <v>36372.405983153018</v>
      </c>
      <c r="Q749" s="274">
        <f t="shared" si="1245"/>
        <v>37673.272212648655</v>
      </c>
      <c r="R749" s="274">
        <f>R748*$G$13</f>
        <v>39020.121734118438</v>
      </c>
      <c r="S749" s="274">
        <f t="shared" ref="S749:V749" si="1246">S748*$G$13</f>
        <v>40414.572127071231</v>
      </c>
      <c r="T749" s="274">
        <f t="shared" si="1246"/>
        <v>41858.297758628956</v>
      </c>
      <c r="U749" s="274">
        <f t="shared" si="1246"/>
        <v>43353.031775453543</v>
      </c>
      <c r="V749" s="274">
        <f t="shared" si="1246"/>
        <v>44900.568165519137</v>
      </c>
    </row>
    <row r="750" spans="10:22" ht="15.5">
      <c r="J750" s="270" t="s">
        <v>358</v>
      </c>
      <c r="K750" s="272"/>
      <c r="L750" s="273">
        <f>L748-L749</f>
        <v>47397.455999999991</v>
      </c>
      <c r="M750" s="273">
        <f t="shared" ref="M750:V750" si="1247">M748-M749</f>
        <v>49095.514659571214</v>
      </c>
      <c r="N750" s="273">
        <f t="shared" si="1247"/>
        <v>50853.638307939007</v>
      </c>
      <c r="O750" s="273">
        <f t="shared" si="1247"/>
        <v>52673.9404939331</v>
      </c>
      <c r="P750" s="273">
        <f t="shared" si="1247"/>
        <v>54558.608974729519</v>
      </c>
      <c r="Q750" s="273">
        <f t="shared" si="1247"/>
        <v>56509.908318972979</v>
      </c>
      <c r="R750" s="273">
        <f t="shared" si="1247"/>
        <v>58530.182601177657</v>
      </c>
      <c r="S750" s="273">
        <f t="shared" si="1247"/>
        <v>60621.858190606836</v>
      </c>
      <c r="T750" s="273">
        <f t="shared" si="1247"/>
        <v>62787.446637943423</v>
      </c>
      <c r="U750" s="273">
        <f t="shared" si="1247"/>
        <v>65029.54766318031</v>
      </c>
      <c r="V750" s="273">
        <f t="shared" si="1247"/>
        <v>67350.852248278708</v>
      </c>
    </row>
    <row r="751" spans="10:22" ht="15.5">
      <c r="J751" s="270" t="s">
        <v>419</v>
      </c>
      <c r="K751" s="272"/>
      <c r="L751" s="273">
        <f>M742*$G$14</f>
        <v>16258.647081600002</v>
      </c>
      <c r="M751" s="273">
        <f t="shared" ref="M751:V751" si="1248">N742*$G$14</f>
        <v>16828.597206774906</v>
      </c>
      <c r="N751" s="273">
        <f t="shared" si="1248"/>
        <v>17418.527047577845</v>
      </c>
      <c r="O751" s="273">
        <f t="shared" si="1248"/>
        <v>18029.1369969361</v>
      </c>
      <c r="P751" s="273">
        <f t="shared" si="1248"/>
        <v>18661.152000191098</v>
      </c>
      <c r="Q751" s="273">
        <f t="shared" si="1248"/>
        <v>19315.322415788196</v>
      </c>
      <c r="R751" s="273">
        <f t="shared" si="1248"/>
        <v>19992.424906138142</v>
      </c>
      <c r="S751" s="273">
        <f t="shared" si="1248"/>
        <v>20693.263359707795</v>
      </c>
      <c r="T751" s="273">
        <f t="shared" si="1248"/>
        <v>21418.669845435026</v>
      </c>
      <c r="U751" s="273">
        <f t="shared" si="1248"/>
        <v>22169.505600600725</v>
      </c>
      <c r="V751" s="273">
        <f t="shared" si="1248"/>
        <v>0</v>
      </c>
    </row>
    <row r="752" spans="10:22" ht="16" thickBot="1">
      <c r="J752" s="270" t="s">
        <v>416</v>
      </c>
      <c r="K752" s="290">
        <f>L742*$G$14</f>
        <v>15708</v>
      </c>
      <c r="L752" s="273">
        <f>L751-K752</f>
        <v>550.64708160000191</v>
      </c>
      <c r="M752" s="273">
        <f>M751-L751</f>
        <v>569.95012517490431</v>
      </c>
      <c r="N752" s="273">
        <f t="shared" ref="N752:V752" si="1249">N751-M751</f>
        <v>589.929840802939</v>
      </c>
      <c r="O752" s="273">
        <f t="shared" si="1249"/>
        <v>610.60994935825511</v>
      </c>
      <c r="P752" s="273">
        <f t="shared" si="1249"/>
        <v>632.01500325499728</v>
      </c>
      <c r="Q752" s="273">
        <f t="shared" si="1249"/>
        <v>654.17041559709833</v>
      </c>
      <c r="R752" s="273">
        <f t="shared" si="1249"/>
        <v>677.10249034994558</v>
      </c>
      <c r="S752" s="273">
        <f t="shared" si="1249"/>
        <v>700.83845356965321</v>
      </c>
      <c r="T752" s="273">
        <f t="shared" si="1249"/>
        <v>725.40648572723148</v>
      </c>
      <c r="U752" s="273">
        <f t="shared" si="1249"/>
        <v>750.83575516569908</v>
      </c>
      <c r="V752" s="273">
        <f t="shared" si="1249"/>
        <v>-22169.505600600725</v>
      </c>
    </row>
    <row r="753" spans="10:23" ht="15.5">
      <c r="J753" s="271" t="s">
        <v>417</v>
      </c>
      <c r="K753" s="275">
        <f>K750-K752</f>
        <v>-15708</v>
      </c>
      <c r="L753" s="275">
        <f>L750-L752</f>
        <v>46846.808918399991</v>
      </c>
      <c r="M753" s="275">
        <f>M750-M752</f>
        <v>48525.564534396312</v>
      </c>
      <c r="N753" s="275">
        <f t="shared" ref="N753:V753" si="1250">N750-N752</f>
        <v>50263.708467136064</v>
      </c>
      <c r="O753" s="275">
        <f t="shared" si="1250"/>
        <v>52063.330544574841</v>
      </c>
      <c r="P753" s="275">
        <f t="shared" si="1250"/>
        <v>53926.593971474518</v>
      </c>
      <c r="Q753" s="275">
        <f t="shared" si="1250"/>
        <v>55855.737903375877</v>
      </c>
      <c r="R753" s="275">
        <f t="shared" si="1250"/>
        <v>57853.080110827708</v>
      </c>
      <c r="S753" s="275">
        <f t="shared" si="1250"/>
        <v>59921.019737037182</v>
      </c>
      <c r="T753" s="275">
        <f t="shared" si="1250"/>
        <v>62062.040152216192</v>
      </c>
      <c r="U753" s="275">
        <f t="shared" si="1250"/>
        <v>64278.711908014608</v>
      </c>
      <c r="V753" s="275">
        <f t="shared" si="1250"/>
        <v>89520.35784887943</v>
      </c>
      <c r="W753" s="295" t="s">
        <v>360</v>
      </c>
    </row>
    <row r="754" spans="10:23" ht="16" thickBot="1">
      <c r="J754" s="271" t="s">
        <v>367</v>
      </c>
      <c r="K754" s="291">
        <f>K753/(1+$G$16)^(K737-$G$15)</f>
        <v>-10256.185263148082</v>
      </c>
      <c r="L754" s="291">
        <f>L753/(1+$G$16)^(L737-$G$15)</f>
        <v>27495.474503022626</v>
      </c>
      <c r="M754" s="291">
        <f t="shared" ref="M754:V754" si="1251">M753/(1+$G$16)^(M737-$G$15)</f>
        <v>25601.655148744496</v>
      </c>
      <c r="N754" s="291">
        <f t="shared" si="1251"/>
        <v>23837.912194158554</v>
      </c>
      <c r="O754" s="291">
        <f t="shared" si="1251"/>
        <v>22195.343774549194</v>
      </c>
      <c r="P754" s="291">
        <f t="shared" si="1251"/>
        <v>20665.654348400752</v>
      </c>
      <c r="Q754" s="291">
        <f t="shared" si="1251"/>
        <v>19241.113656866732</v>
      </c>
      <c r="R754" s="291">
        <f t="shared" si="1251"/>
        <v>17914.518438087405</v>
      </c>
      <c r="S754" s="291">
        <f t="shared" si="1251"/>
        <v>16679.156713520682</v>
      </c>
      <c r="T754" s="291">
        <f t="shared" si="1251"/>
        <v>15528.774475395283</v>
      </c>
      <c r="U754" s="291">
        <f t="shared" si="1251"/>
        <v>14457.544615577899</v>
      </c>
      <c r="V754" s="291">
        <f t="shared" si="1251"/>
        <v>18099.452031934787</v>
      </c>
      <c r="W754" s="294">
        <f>SUM(K754:V754)</f>
        <v>211460.41463711031</v>
      </c>
    </row>
    <row r="759" spans="10:23">
      <c r="J759">
        <v>1113222</v>
      </c>
    </row>
    <row r="761" spans="10:23" ht="15.5">
      <c r="J761" s="276" t="s">
        <v>407</v>
      </c>
      <c r="K761" s="276">
        <v>2013</v>
      </c>
      <c r="L761" s="276">
        <v>2014</v>
      </c>
      <c r="M761" s="276">
        <v>2015</v>
      </c>
      <c r="N761" s="276">
        <v>2016</v>
      </c>
      <c r="O761" s="276">
        <v>2017</v>
      </c>
      <c r="P761" s="276">
        <v>2018</v>
      </c>
      <c r="Q761" s="276">
        <v>2019</v>
      </c>
      <c r="R761" s="276">
        <v>2020</v>
      </c>
      <c r="S761" s="276">
        <v>2021</v>
      </c>
      <c r="T761" s="276">
        <v>2022</v>
      </c>
      <c r="U761" s="276">
        <v>2023</v>
      </c>
      <c r="V761" s="276">
        <v>2024</v>
      </c>
    </row>
    <row r="762" spans="10:23">
      <c r="J762" s="269" t="s">
        <v>33</v>
      </c>
      <c r="K762" s="277">
        <f>Données!$C$5</f>
        <v>560000</v>
      </c>
      <c r="L762" s="278">
        <f>K762*(1+$D$13)</f>
        <v>565600</v>
      </c>
      <c r="M762" s="278">
        <f t="shared" ref="M762:V762" si="1252">L762*(1+$D$13)</f>
        <v>571256</v>
      </c>
      <c r="N762" s="278">
        <f t="shared" si="1252"/>
        <v>576968.56000000006</v>
      </c>
      <c r="O762" s="278">
        <f t="shared" si="1252"/>
        <v>582738.24560000002</v>
      </c>
      <c r="P762" s="278">
        <f t="shared" si="1252"/>
        <v>588565.62805599999</v>
      </c>
      <c r="Q762" s="278">
        <f t="shared" si="1252"/>
        <v>594451.28433655994</v>
      </c>
      <c r="R762" s="278">
        <f t="shared" si="1252"/>
        <v>600395.79717992549</v>
      </c>
      <c r="S762" s="278">
        <f t="shared" si="1252"/>
        <v>606399.75515172479</v>
      </c>
      <c r="T762" s="278">
        <f t="shared" si="1252"/>
        <v>612463.752703242</v>
      </c>
      <c r="U762" s="278">
        <f t="shared" si="1252"/>
        <v>618588.39023027441</v>
      </c>
      <c r="V762" s="278">
        <f t="shared" si="1252"/>
        <v>624774.27413257712</v>
      </c>
    </row>
    <row r="763" spans="10:23">
      <c r="J763" s="269" t="s">
        <v>408</v>
      </c>
      <c r="K763" s="279"/>
      <c r="L763" s="278">
        <f>L762*$D$15</f>
        <v>282800</v>
      </c>
      <c r="M763" s="278">
        <f t="shared" ref="M763:V763" si="1253">M762*$D$15</f>
        <v>285628</v>
      </c>
      <c r="N763" s="278">
        <f t="shared" si="1253"/>
        <v>288484.28000000003</v>
      </c>
      <c r="O763" s="278">
        <f t="shared" si="1253"/>
        <v>291369.12280000001</v>
      </c>
      <c r="P763" s="278">
        <f t="shared" si="1253"/>
        <v>294282.81402799999</v>
      </c>
      <c r="Q763" s="278">
        <f t="shared" si="1253"/>
        <v>297225.64216827997</v>
      </c>
      <c r="R763" s="278">
        <f t="shared" si="1253"/>
        <v>300197.89858996274</v>
      </c>
      <c r="S763" s="278">
        <f t="shared" si="1253"/>
        <v>303199.8775758624</v>
      </c>
      <c r="T763" s="278">
        <f t="shared" si="1253"/>
        <v>306231.876351621</v>
      </c>
      <c r="U763" s="278">
        <f t="shared" si="1253"/>
        <v>309294.1951151372</v>
      </c>
      <c r="V763" s="278">
        <f t="shared" si="1253"/>
        <v>312387.13706628856</v>
      </c>
    </row>
    <row r="764" spans="10:23">
      <c r="J764" s="269" t="s">
        <v>409</v>
      </c>
      <c r="K764" s="280"/>
      <c r="L764" s="278">
        <f>L763*$D$17</f>
        <v>93324</v>
      </c>
      <c r="M764" s="278">
        <f t="shared" ref="M764:V764" si="1254">M763*$D$17</f>
        <v>94257.24</v>
      </c>
      <c r="N764" s="278">
        <f t="shared" si="1254"/>
        <v>95199.81240000001</v>
      </c>
      <c r="O764" s="278">
        <f t="shared" si="1254"/>
        <v>96151.810524000015</v>
      </c>
      <c r="P764" s="278">
        <f t="shared" si="1254"/>
        <v>97113.328629240001</v>
      </c>
      <c r="Q764" s="278">
        <f t="shared" si="1254"/>
        <v>98084.461915532389</v>
      </c>
      <c r="R764" s="278">
        <f t="shared" si="1254"/>
        <v>99065.306534687712</v>
      </c>
      <c r="S764" s="278">
        <f t="shared" si="1254"/>
        <v>100055.95960003459</v>
      </c>
      <c r="T764" s="278">
        <f t="shared" si="1254"/>
        <v>101056.51919603493</v>
      </c>
      <c r="U764" s="278">
        <f t="shared" si="1254"/>
        <v>102067.08438799529</v>
      </c>
      <c r="V764" s="278">
        <f t="shared" si="1254"/>
        <v>103087.75523187523</v>
      </c>
    </row>
    <row r="765" spans="10:23">
      <c r="J765" s="269" t="s">
        <v>410</v>
      </c>
      <c r="K765" s="281"/>
      <c r="L765" s="288">
        <f>1</f>
        <v>1</v>
      </c>
      <c r="M765" s="288">
        <f>L765*(1+$G$12)</f>
        <v>1.0147600000000001</v>
      </c>
      <c r="N765" s="288">
        <f t="shared" ref="N765:V765" si="1255">M765*(1+$G$12)</f>
        <v>1.0297378576000003</v>
      </c>
      <c r="O765" s="288">
        <f t="shared" si="1255"/>
        <v>1.0449367883781764</v>
      </c>
      <c r="P765" s="288">
        <f t="shared" si="1255"/>
        <v>1.0603600553746384</v>
      </c>
      <c r="Q765" s="288">
        <f t="shared" si="1255"/>
        <v>1.0760109697919682</v>
      </c>
      <c r="R765" s="288">
        <f t="shared" si="1255"/>
        <v>1.0918928917060977</v>
      </c>
      <c r="S765" s="288">
        <f t="shared" si="1255"/>
        <v>1.1080092307876799</v>
      </c>
      <c r="T765" s="288">
        <f t="shared" si="1255"/>
        <v>1.1243634470341062</v>
      </c>
      <c r="U765" s="288">
        <f t="shared" si="1255"/>
        <v>1.1409590515123298</v>
      </c>
      <c r="V765" s="288">
        <f t="shared" si="1255"/>
        <v>1.157799607112652</v>
      </c>
    </row>
    <row r="766" spans="10:23" ht="15.5">
      <c r="J766" s="270" t="s">
        <v>411</v>
      </c>
      <c r="K766" s="282"/>
      <c r="L766" s="273">
        <f>L764*L765</f>
        <v>93324</v>
      </c>
      <c r="M766" s="273">
        <f t="shared" ref="M766:V766" si="1256">M764*M765</f>
        <v>95648.476862400013</v>
      </c>
      <c r="N766" s="273">
        <f t="shared" si="1256"/>
        <v>98030.850864697946</v>
      </c>
      <c r="O766" s="273">
        <f t="shared" si="1256"/>
        <v>100472.56408569551</v>
      </c>
      <c r="P766" s="273">
        <f t="shared" si="1256"/>
        <v>102975.09452291638</v>
      </c>
      <c r="Q766" s="273">
        <f t="shared" si="1256"/>
        <v>105539.95698725537</v>
      </c>
      <c r="R766" s="273">
        <f t="shared" si="1256"/>
        <v>108168.70401991115</v>
      </c>
      <c r="S766" s="273">
        <f t="shared" si="1256"/>
        <v>110862.92683215751</v>
      </c>
      <c r="T766" s="273">
        <f t="shared" si="1256"/>
        <v>113624.25626852216</v>
      </c>
      <c r="U766" s="273">
        <f t="shared" si="1256"/>
        <v>116454.36379395603</v>
      </c>
      <c r="V766" s="273">
        <f t="shared" si="1256"/>
        <v>119354.96250559037</v>
      </c>
    </row>
    <row r="767" spans="10:23">
      <c r="J767" s="283" t="s">
        <v>34</v>
      </c>
      <c r="K767" s="274"/>
      <c r="L767" s="289">
        <f>$D$22</f>
        <v>0.1</v>
      </c>
      <c r="M767" s="289">
        <f>L767*(1+$G$12)</f>
        <v>0.10147600000000001</v>
      </c>
      <c r="N767" s="289">
        <f t="shared" ref="N767:V767" si="1257">M767*(1+$G$12)</f>
        <v>0.10297378576000002</v>
      </c>
      <c r="O767" s="289">
        <f t="shared" si="1257"/>
        <v>0.10449367883781763</v>
      </c>
      <c r="P767" s="289">
        <f t="shared" si="1257"/>
        <v>0.10603600553746383</v>
      </c>
      <c r="Q767" s="289">
        <f t="shared" si="1257"/>
        <v>0.1076010969791968</v>
      </c>
      <c r="R767" s="289">
        <f t="shared" si="1257"/>
        <v>0.10918928917060976</v>
      </c>
      <c r="S767" s="289">
        <f t="shared" si="1257"/>
        <v>0.11080092307876797</v>
      </c>
      <c r="T767" s="289">
        <f t="shared" si="1257"/>
        <v>0.1124363447034106</v>
      </c>
      <c r="U767" s="289">
        <f t="shared" si="1257"/>
        <v>0.11409590515123295</v>
      </c>
      <c r="V767" s="289">
        <f t="shared" si="1257"/>
        <v>0.11577996071126516</v>
      </c>
    </row>
    <row r="768" spans="10:23" ht="15.5">
      <c r="J768" s="270" t="s">
        <v>412</v>
      </c>
      <c r="K768" s="282"/>
      <c r="L768" s="273">
        <f>L764*L767</f>
        <v>9332.4</v>
      </c>
      <c r="M768" s="273">
        <f t="shared" ref="M768:V768" si="1258">M764*M767</f>
        <v>9564.8476862400021</v>
      </c>
      <c r="N768" s="273">
        <f t="shared" si="1258"/>
        <v>9803.085086469795</v>
      </c>
      <c r="O768" s="273">
        <f t="shared" si="1258"/>
        <v>10047.25640856955</v>
      </c>
      <c r="P768" s="273">
        <f t="shared" si="1258"/>
        <v>10297.509452291637</v>
      </c>
      <c r="Q768" s="273">
        <f t="shared" si="1258"/>
        <v>10553.995698725535</v>
      </c>
      <c r="R768" s="273">
        <f t="shared" si="1258"/>
        <v>10816.870401991113</v>
      </c>
      <c r="S768" s="273">
        <f t="shared" si="1258"/>
        <v>11086.292683215748</v>
      </c>
      <c r="T768" s="273">
        <f t="shared" si="1258"/>
        <v>11362.425626852215</v>
      </c>
      <c r="U768" s="273">
        <f t="shared" si="1258"/>
        <v>11645.4363793956</v>
      </c>
      <c r="V768" s="273">
        <f t="shared" si="1258"/>
        <v>11935.496250559034</v>
      </c>
    </row>
    <row r="769" spans="10:23">
      <c r="J769" s="285" t="s">
        <v>418</v>
      </c>
      <c r="K769" s="274"/>
      <c r="L769" s="274">
        <f>L766*0.03</f>
        <v>2799.72</v>
      </c>
      <c r="M769" s="274">
        <f t="shared" ref="M769:V769" si="1259">M766*0.03</f>
        <v>2869.4543058720001</v>
      </c>
      <c r="N769" s="274">
        <f t="shared" si="1259"/>
        <v>2940.9255259409383</v>
      </c>
      <c r="O769" s="274">
        <f t="shared" si="1259"/>
        <v>3014.1769225708654</v>
      </c>
      <c r="P769" s="274">
        <f t="shared" si="1259"/>
        <v>3089.2528356874914</v>
      </c>
      <c r="Q769" s="274">
        <f t="shared" si="1259"/>
        <v>3166.1987096176608</v>
      </c>
      <c r="R769" s="274">
        <f t="shared" si="1259"/>
        <v>3245.0611205973346</v>
      </c>
      <c r="S769" s="274">
        <f t="shared" si="1259"/>
        <v>3325.8878049647251</v>
      </c>
      <c r="T769" s="274">
        <f t="shared" si="1259"/>
        <v>3408.7276880556647</v>
      </c>
      <c r="U769" s="274">
        <f t="shared" si="1259"/>
        <v>3493.6309138186807</v>
      </c>
      <c r="V769" s="274">
        <f t="shared" si="1259"/>
        <v>3580.6488751677111</v>
      </c>
    </row>
    <row r="770" spans="10:23">
      <c r="J770" s="285" t="s">
        <v>413</v>
      </c>
      <c r="K770" s="274"/>
      <c r="L770" s="284">
        <v>3000</v>
      </c>
      <c r="M770" s="274">
        <f>L770*(1+$G$12)</f>
        <v>3044.28</v>
      </c>
      <c r="N770" s="274">
        <f t="shared" ref="N770:V770" si="1260">M770*(1+$G$12)</f>
        <v>3089.2135728000007</v>
      </c>
      <c r="O770" s="274">
        <f t="shared" si="1260"/>
        <v>3134.8103651345291</v>
      </c>
      <c r="P770" s="274">
        <f t="shared" si="1260"/>
        <v>3181.0801661239152</v>
      </c>
      <c r="Q770" s="274">
        <f t="shared" si="1260"/>
        <v>3228.0329093759046</v>
      </c>
      <c r="R770" s="274">
        <f t="shared" si="1260"/>
        <v>3275.6786751182935</v>
      </c>
      <c r="S770" s="274">
        <f t="shared" si="1260"/>
        <v>3324.0276923630399</v>
      </c>
      <c r="T770" s="274">
        <f t="shared" si="1260"/>
        <v>3373.0903411023187</v>
      </c>
      <c r="U770" s="274">
        <f t="shared" si="1260"/>
        <v>3422.8771545369891</v>
      </c>
      <c r="V770" s="274">
        <f t="shared" si="1260"/>
        <v>3473.3988213379553</v>
      </c>
    </row>
    <row r="771" spans="10:23" ht="15.5">
      <c r="J771" s="270" t="s">
        <v>35</v>
      </c>
      <c r="K771" s="282"/>
      <c r="L771" s="273">
        <f>L769+L770</f>
        <v>5799.7199999999993</v>
      </c>
      <c r="M771" s="273">
        <f t="shared" ref="M771:V771" si="1261">M769+M770</f>
        <v>5913.7343058719998</v>
      </c>
      <c r="N771" s="273">
        <f t="shared" si="1261"/>
        <v>6030.1390987409395</v>
      </c>
      <c r="O771" s="273">
        <f t="shared" si="1261"/>
        <v>6148.9872877053949</v>
      </c>
      <c r="P771" s="273">
        <f t="shared" si="1261"/>
        <v>6270.3330018114066</v>
      </c>
      <c r="Q771" s="273">
        <f t="shared" si="1261"/>
        <v>6394.2316189935655</v>
      </c>
      <c r="R771" s="273">
        <f t="shared" si="1261"/>
        <v>6520.7397957156281</v>
      </c>
      <c r="S771" s="273">
        <f t="shared" si="1261"/>
        <v>6649.9154973277655</v>
      </c>
      <c r="T771" s="273">
        <f t="shared" si="1261"/>
        <v>6781.8180291579829</v>
      </c>
      <c r="U771" s="273">
        <f t="shared" si="1261"/>
        <v>6916.5080683556698</v>
      </c>
      <c r="V771" s="273">
        <f t="shared" si="1261"/>
        <v>7054.047696505666</v>
      </c>
    </row>
    <row r="772" spans="10:23">
      <c r="J772" s="286" t="s">
        <v>414</v>
      </c>
      <c r="K772" s="274"/>
      <c r="L772" s="274">
        <f>L766-L768-L771</f>
        <v>78191.88</v>
      </c>
      <c r="M772" s="274">
        <f t="shared" ref="M772:V772" si="1262">M766-M768-M771</f>
        <v>80169.894870288015</v>
      </c>
      <c r="N772" s="274">
        <f t="shared" si="1262"/>
        <v>82197.626679487206</v>
      </c>
      <c r="O772" s="274">
        <f t="shared" si="1262"/>
        <v>84276.320389420565</v>
      </c>
      <c r="P772" s="274">
        <f t="shared" si="1262"/>
        <v>86407.252068813337</v>
      </c>
      <c r="Q772" s="274">
        <f t="shared" si="1262"/>
        <v>88591.72966953626</v>
      </c>
      <c r="R772" s="274">
        <f t="shared" si="1262"/>
        <v>90831.093822204421</v>
      </c>
      <c r="S772" s="274">
        <f t="shared" si="1262"/>
        <v>93126.718651613992</v>
      </c>
      <c r="T772" s="274">
        <f t="shared" si="1262"/>
        <v>95480.012612511971</v>
      </c>
      <c r="U772" s="274">
        <f t="shared" si="1262"/>
        <v>97892.419346204755</v>
      </c>
      <c r="V772" s="274">
        <f t="shared" si="1262"/>
        <v>100365.41855852568</v>
      </c>
    </row>
    <row r="773" spans="10:23">
      <c r="J773" s="286" t="s">
        <v>415</v>
      </c>
      <c r="K773" s="274"/>
      <c r="L773" s="274">
        <f>L772*$G$13</f>
        <v>31276.752000000004</v>
      </c>
      <c r="M773" s="274">
        <f t="shared" ref="M773:Q773" si="1263">M772*$G$13</f>
        <v>32067.957948115207</v>
      </c>
      <c r="N773" s="274">
        <f t="shared" si="1263"/>
        <v>32879.050671794881</v>
      </c>
      <c r="O773" s="274">
        <f t="shared" si="1263"/>
        <v>33710.528155768225</v>
      </c>
      <c r="P773" s="274">
        <f t="shared" si="1263"/>
        <v>34562.900827525336</v>
      </c>
      <c r="Q773" s="274">
        <f t="shared" si="1263"/>
        <v>35436.691867814508</v>
      </c>
      <c r="R773" s="274">
        <f>R772*$G$13</f>
        <v>36332.437528881768</v>
      </c>
      <c r="S773" s="274">
        <f t="shared" ref="S773:V773" si="1264">S772*$G$13</f>
        <v>37250.687460645597</v>
      </c>
      <c r="T773" s="274">
        <f t="shared" si="1264"/>
        <v>38192.005045004793</v>
      </c>
      <c r="U773" s="274">
        <f t="shared" si="1264"/>
        <v>39156.967738481901</v>
      </c>
      <c r="V773" s="274">
        <f t="shared" si="1264"/>
        <v>40146.167423410276</v>
      </c>
    </row>
    <row r="774" spans="10:23" ht="15.5">
      <c r="J774" s="270" t="s">
        <v>358</v>
      </c>
      <c r="K774" s="272"/>
      <c r="L774" s="273">
        <f>L772-L773</f>
        <v>46915.127999999997</v>
      </c>
      <c r="M774" s="273">
        <f t="shared" ref="M774:V774" si="1265">M772-M773</f>
        <v>48101.936922172812</v>
      </c>
      <c r="N774" s="273">
        <f t="shared" si="1265"/>
        <v>49318.576007692325</v>
      </c>
      <c r="O774" s="273">
        <f t="shared" si="1265"/>
        <v>50565.792233652341</v>
      </c>
      <c r="P774" s="273">
        <f t="shared" si="1265"/>
        <v>51844.351241288001</v>
      </c>
      <c r="Q774" s="273">
        <f t="shared" si="1265"/>
        <v>53155.037801721752</v>
      </c>
      <c r="R774" s="273">
        <f t="shared" si="1265"/>
        <v>54498.656293322652</v>
      </c>
      <c r="S774" s="273">
        <f t="shared" si="1265"/>
        <v>55876.031190968395</v>
      </c>
      <c r="T774" s="273">
        <f t="shared" si="1265"/>
        <v>57288.007567507178</v>
      </c>
      <c r="U774" s="273">
        <f t="shared" si="1265"/>
        <v>58735.451607722855</v>
      </c>
      <c r="V774" s="273">
        <f t="shared" si="1265"/>
        <v>60219.251135115403</v>
      </c>
    </row>
    <row r="775" spans="10:23" ht="15.5">
      <c r="J775" s="270" t="s">
        <v>419</v>
      </c>
      <c r="K775" s="272"/>
      <c r="L775" s="273">
        <f>M766*$G$14</f>
        <v>15941.412810400001</v>
      </c>
      <c r="M775" s="273">
        <f t="shared" ref="M775:V775" si="1266">N766*$G$14</f>
        <v>16338.475144116324</v>
      </c>
      <c r="N775" s="273">
        <f t="shared" si="1266"/>
        <v>16745.427347615918</v>
      </c>
      <c r="O775" s="273">
        <f t="shared" si="1266"/>
        <v>17162.515753819396</v>
      </c>
      <c r="P775" s="273">
        <f t="shared" si="1266"/>
        <v>17589.992831209227</v>
      </c>
      <c r="Q775" s="273">
        <f t="shared" si="1266"/>
        <v>18028.117336651856</v>
      </c>
      <c r="R775" s="273">
        <f t="shared" si="1266"/>
        <v>18477.15447202625</v>
      </c>
      <c r="S775" s="273">
        <f t="shared" si="1266"/>
        <v>18937.376044753692</v>
      </c>
      <c r="T775" s="273">
        <f t="shared" si="1266"/>
        <v>19409.060632326004</v>
      </c>
      <c r="U775" s="273">
        <f t="shared" si="1266"/>
        <v>19892.493750931728</v>
      </c>
      <c r="V775" s="273">
        <f t="shared" si="1266"/>
        <v>0</v>
      </c>
    </row>
    <row r="776" spans="10:23" ht="16" thickBot="1">
      <c r="J776" s="270" t="s">
        <v>416</v>
      </c>
      <c r="K776" s="290">
        <f>L766*$G$14</f>
        <v>15554</v>
      </c>
      <c r="L776" s="273">
        <f>L775-K776</f>
        <v>387.41281040000104</v>
      </c>
      <c r="M776" s="273">
        <f>M775-L775</f>
        <v>397.06233371632334</v>
      </c>
      <c r="N776" s="273">
        <f t="shared" ref="N776:V776" si="1267">N775-M775</f>
        <v>406.95220349959345</v>
      </c>
      <c r="O776" s="273">
        <f t="shared" si="1267"/>
        <v>417.08840620347837</v>
      </c>
      <c r="P776" s="273">
        <f t="shared" si="1267"/>
        <v>427.47707738983081</v>
      </c>
      <c r="Q776" s="273">
        <f t="shared" si="1267"/>
        <v>438.12450544262902</v>
      </c>
      <c r="R776" s="273">
        <f t="shared" si="1267"/>
        <v>449.03713537439398</v>
      </c>
      <c r="S776" s="273">
        <f t="shared" si="1267"/>
        <v>460.22157272744153</v>
      </c>
      <c r="T776" s="273">
        <f t="shared" si="1267"/>
        <v>471.68458757231201</v>
      </c>
      <c r="U776" s="273">
        <f t="shared" si="1267"/>
        <v>483.4331186057243</v>
      </c>
      <c r="V776" s="273">
        <f t="shared" si="1267"/>
        <v>-19892.493750931728</v>
      </c>
    </row>
    <row r="777" spans="10:23" ht="15.5">
      <c r="J777" s="271" t="s">
        <v>417</v>
      </c>
      <c r="K777" s="275">
        <f>K774-K776</f>
        <v>-15554</v>
      </c>
      <c r="L777" s="275">
        <f>L774-L776</f>
        <v>46527.7151896</v>
      </c>
      <c r="M777" s="275">
        <f>M774-M776</f>
        <v>47704.874588456485</v>
      </c>
      <c r="N777" s="275">
        <f t="shared" ref="N777:V777" si="1268">N774-N776</f>
        <v>48911.623804192728</v>
      </c>
      <c r="O777" s="275">
        <f t="shared" si="1268"/>
        <v>50148.703827448859</v>
      </c>
      <c r="P777" s="275">
        <f t="shared" si="1268"/>
        <v>51416.874163898174</v>
      </c>
      <c r="Q777" s="275">
        <f t="shared" si="1268"/>
        <v>52716.913296279119</v>
      </c>
      <c r="R777" s="275">
        <f t="shared" si="1268"/>
        <v>54049.619157948255</v>
      </c>
      <c r="S777" s="275">
        <f t="shared" si="1268"/>
        <v>55415.80961824095</v>
      </c>
      <c r="T777" s="275">
        <f t="shared" si="1268"/>
        <v>56816.322979934863</v>
      </c>
      <c r="U777" s="275">
        <f t="shared" si="1268"/>
        <v>58252.01848911713</v>
      </c>
      <c r="V777" s="275">
        <f t="shared" si="1268"/>
        <v>80111.744886047134</v>
      </c>
      <c r="W777" s="295" t="s">
        <v>360</v>
      </c>
    </row>
    <row r="778" spans="10:23" ht="16" thickBot="1">
      <c r="J778" s="271" t="s">
        <v>367</v>
      </c>
      <c r="K778" s="291">
        <f>K777/(1+$G$16)^(K761-$G$15)</f>
        <v>-10155.634427234865</v>
      </c>
      <c r="L778" s="291">
        <f>L777/(1+$G$16)^(L761-$G$15)</f>
        <v>27308.191021247443</v>
      </c>
      <c r="M778" s="291">
        <f t="shared" ref="M778:V778" si="1269">M777/(1+$G$16)^(M761-$G$15)</f>
        <v>25168.66645131059</v>
      </c>
      <c r="N778" s="291">
        <f t="shared" si="1269"/>
        <v>23196.676669418368</v>
      </c>
      <c r="O778" s="291">
        <f t="shared" si="1269"/>
        <v>21379.110972266899</v>
      </c>
      <c r="P778" s="291">
        <f t="shared" si="1269"/>
        <v>19703.883944689689</v>
      </c>
      <c r="Q778" s="291">
        <f t="shared" si="1269"/>
        <v>18159.855342482013</v>
      </c>
      <c r="R778" s="291">
        <f t="shared" si="1269"/>
        <v>16736.756230122406</v>
      </c>
      <c r="S778" s="291">
        <f t="shared" si="1269"/>
        <v>15425.120885550694</v>
      </c>
      <c r="T778" s="291">
        <f t="shared" si="1269"/>
        <v>14216.224022166971</v>
      </c>
      <c r="U778" s="291">
        <f t="shared" si="1269"/>
        <v>13102.022913263636</v>
      </c>
      <c r="V778" s="291">
        <f t="shared" si="1269"/>
        <v>16197.194901827093</v>
      </c>
      <c r="W778" s="294">
        <f>SUM(K778:V778)</f>
        <v>200438.06892711093</v>
      </c>
    </row>
    <row r="783" spans="10:23">
      <c r="J783">
        <v>1113311</v>
      </c>
    </row>
    <row r="785" spans="10:22" ht="15.5">
      <c r="J785" s="276" t="s">
        <v>407</v>
      </c>
      <c r="K785" s="276">
        <v>2013</v>
      </c>
      <c r="L785" s="276">
        <v>2014</v>
      </c>
      <c r="M785" s="276">
        <v>2015</v>
      </c>
      <c r="N785" s="276">
        <v>2016</v>
      </c>
      <c r="O785" s="276">
        <v>2017</v>
      </c>
      <c r="P785" s="276">
        <v>2018</v>
      </c>
      <c r="Q785" s="276">
        <v>2019</v>
      </c>
      <c r="R785" s="276">
        <v>2020</v>
      </c>
      <c r="S785" s="276">
        <v>2021</v>
      </c>
      <c r="T785" s="276">
        <v>2022</v>
      </c>
      <c r="U785" s="276">
        <v>2023</v>
      </c>
      <c r="V785" s="276">
        <v>2024</v>
      </c>
    </row>
    <row r="786" spans="10:22">
      <c r="J786" s="269" t="s">
        <v>33</v>
      </c>
      <c r="K786" s="277">
        <f>Données!$C$5</f>
        <v>560000</v>
      </c>
      <c r="L786" s="278">
        <f>K786*(1+$D$12)</f>
        <v>571200</v>
      </c>
      <c r="M786" s="278">
        <f t="shared" ref="M786:V786" si="1270">L786*(1+$D$12)</f>
        <v>582624</v>
      </c>
      <c r="N786" s="278">
        <f t="shared" si="1270"/>
        <v>594276.48</v>
      </c>
      <c r="O786" s="278">
        <f t="shared" si="1270"/>
        <v>606162.00959999999</v>
      </c>
      <c r="P786" s="278">
        <f t="shared" si="1270"/>
        <v>618285.24979200005</v>
      </c>
      <c r="Q786" s="278">
        <f t="shared" si="1270"/>
        <v>630650.95478784002</v>
      </c>
      <c r="R786" s="278">
        <f t="shared" si="1270"/>
        <v>643263.97388359683</v>
      </c>
      <c r="S786" s="278">
        <f t="shared" si="1270"/>
        <v>656129.25336126878</v>
      </c>
      <c r="T786" s="278">
        <f t="shared" si="1270"/>
        <v>669251.83842849417</v>
      </c>
      <c r="U786" s="278">
        <f t="shared" si="1270"/>
        <v>682636.87519706402</v>
      </c>
      <c r="V786" s="278">
        <f t="shared" si="1270"/>
        <v>696289.6127010053</v>
      </c>
    </row>
    <row r="787" spans="10:22">
      <c r="J787" s="269" t="s">
        <v>408</v>
      </c>
      <c r="K787" s="279"/>
      <c r="L787" s="278">
        <f>L786*$D$14</f>
        <v>571200</v>
      </c>
      <c r="M787" s="278">
        <f t="shared" ref="M787:V787" si="1271">M786*$D$14</f>
        <v>582624</v>
      </c>
      <c r="N787" s="278">
        <f t="shared" si="1271"/>
        <v>594276.48</v>
      </c>
      <c r="O787" s="278">
        <f t="shared" si="1271"/>
        <v>606162.00959999999</v>
      </c>
      <c r="P787" s="278">
        <f t="shared" si="1271"/>
        <v>618285.24979200005</v>
      </c>
      <c r="Q787" s="278">
        <f t="shared" si="1271"/>
        <v>630650.95478784002</v>
      </c>
      <c r="R787" s="278">
        <f t="shared" si="1271"/>
        <v>643263.97388359683</v>
      </c>
      <c r="S787" s="278">
        <f t="shared" si="1271"/>
        <v>656129.25336126878</v>
      </c>
      <c r="T787" s="278">
        <f t="shared" si="1271"/>
        <v>669251.83842849417</v>
      </c>
      <c r="U787" s="278">
        <f t="shared" si="1271"/>
        <v>682636.87519706402</v>
      </c>
      <c r="V787" s="278">
        <f t="shared" si="1271"/>
        <v>696289.6127010053</v>
      </c>
    </row>
    <row r="788" spans="10:22">
      <c r="J788" s="269" t="s">
        <v>409</v>
      </c>
      <c r="K788" s="280"/>
      <c r="L788" s="278">
        <f>L787*$D$18</f>
        <v>114240</v>
      </c>
      <c r="M788" s="278">
        <f t="shared" ref="M788:V788" si="1272">M787*$D$18</f>
        <v>116524.8</v>
      </c>
      <c r="N788" s="278">
        <f t="shared" si="1272"/>
        <v>118855.296</v>
      </c>
      <c r="O788" s="278">
        <f t="shared" si="1272"/>
        <v>121232.40192</v>
      </c>
      <c r="P788" s="278">
        <f t="shared" si="1272"/>
        <v>123657.04995840002</v>
      </c>
      <c r="Q788" s="278">
        <f t="shared" si="1272"/>
        <v>126130.190957568</v>
      </c>
      <c r="R788" s="278">
        <f t="shared" si="1272"/>
        <v>128652.79477671937</v>
      </c>
      <c r="S788" s="278">
        <f t="shared" si="1272"/>
        <v>131225.85067225376</v>
      </c>
      <c r="T788" s="278">
        <f t="shared" si="1272"/>
        <v>133850.36768569885</v>
      </c>
      <c r="U788" s="278">
        <f t="shared" si="1272"/>
        <v>136527.37503941281</v>
      </c>
      <c r="V788" s="278">
        <f t="shared" si="1272"/>
        <v>139257.92254020108</v>
      </c>
    </row>
    <row r="789" spans="10:22">
      <c r="J789" s="269" t="s">
        <v>410</v>
      </c>
      <c r="K789" s="281"/>
      <c r="L789" s="288">
        <f>1</f>
        <v>1</v>
      </c>
      <c r="M789" s="288">
        <f>L789*(1+$G$12)</f>
        <v>1.0147600000000001</v>
      </c>
      <c r="N789" s="288">
        <f t="shared" ref="N789:V789" si="1273">M789*(1+$G$12)</f>
        <v>1.0297378576000003</v>
      </c>
      <c r="O789" s="288">
        <f t="shared" si="1273"/>
        <v>1.0449367883781764</v>
      </c>
      <c r="P789" s="288">
        <f t="shared" si="1273"/>
        <v>1.0603600553746384</v>
      </c>
      <c r="Q789" s="288">
        <f t="shared" si="1273"/>
        <v>1.0760109697919682</v>
      </c>
      <c r="R789" s="288">
        <f t="shared" si="1273"/>
        <v>1.0918928917060977</v>
      </c>
      <c r="S789" s="288">
        <f t="shared" si="1273"/>
        <v>1.1080092307876799</v>
      </c>
      <c r="T789" s="288">
        <f t="shared" si="1273"/>
        <v>1.1243634470341062</v>
      </c>
      <c r="U789" s="288">
        <f t="shared" si="1273"/>
        <v>1.1409590515123298</v>
      </c>
      <c r="V789" s="288">
        <f t="shared" si="1273"/>
        <v>1.157799607112652</v>
      </c>
    </row>
    <row r="790" spans="10:22" ht="15.5">
      <c r="J790" s="270" t="s">
        <v>411</v>
      </c>
      <c r="K790" s="282"/>
      <c r="L790" s="273">
        <f>L788*L789</f>
        <v>114240</v>
      </c>
      <c r="M790" s="273">
        <f t="shared" ref="M790:V790" si="1274">M788*M789</f>
        <v>118244.70604800002</v>
      </c>
      <c r="N790" s="273">
        <f t="shared" si="1274"/>
        <v>122389.79786745388</v>
      </c>
      <c r="O790" s="273">
        <f t="shared" si="1274"/>
        <v>126680.19670965707</v>
      </c>
      <c r="P790" s="273">
        <f t="shared" si="1274"/>
        <v>131120.99634135349</v>
      </c>
      <c r="Q790" s="273">
        <f t="shared" si="1274"/>
        <v>135717.46909229888</v>
      </c>
      <c r="R790" s="273">
        <f t="shared" si="1274"/>
        <v>140475.07211482327</v>
      </c>
      <c r="S790" s="273">
        <f t="shared" si="1274"/>
        <v>145399.45386282282</v>
      </c>
      <c r="T790" s="273">
        <f t="shared" si="1274"/>
        <v>150496.4607978749</v>
      </c>
      <c r="U790" s="273">
        <f t="shared" si="1274"/>
        <v>155772.14433043657</v>
      </c>
      <c r="V790" s="273">
        <f t="shared" si="1274"/>
        <v>161232.76800436893</v>
      </c>
    </row>
    <row r="791" spans="10:22">
      <c r="J791" s="283" t="s">
        <v>34</v>
      </c>
      <c r="K791" s="274"/>
      <c r="L791" s="289">
        <f>$D$22</f>
        <v>0.1</v>
      </c>
      <c r="M791" s="289">
        <f>L791*(1+$G$12)</f>
        <v>0.10147600000000001</v>
      </c>
      <c r="N791" s="289">
        <f t="shared" ref="N791:V791" si="1275">M791*(1+$G$12)</f>
        <v>0.10297378576000002</v>
      </c>
      <c r="O791" s="289">
        <f t="shared" si="1275"/>
        <v>0.10449367883781763</v>
      </c>
      <c r="P791" s="289">
        <f t="shared" si="1275"/>
        <v>0.10603600553746383</v>
      </c>
      <c r="Q791" s="289">
        <f t="shared" si="1275"/>
        <v>0.1076010969791968</v>
      </c>
      <c r="R791" s="289">
        <f t="shared" si="1275"/>
        <v>0.10918928917060976</v>
      </c>
      <c r="S791" s="289">
        <f t="shared" si="1275"/>
        <v>0.11080092307876797</v>
      </c>
      <c r="T791" s="289">
        <f t="shared" si="1275"/>
        <v>0.1124363447034106</v>
      </c>
      <c r="U791" s="289">
        <f t="shared" si="1275"/>
        <v>0.11409590515123295</v>
      </c>
      <c r="V791" s="289">
        <f t="shared" si="1275"/>
        <v>0.11577996071126516</v>
      </c>
    </row>
    <row r="792" spans="10:22" ht="15.5">
      <c r="J792" s="270" t="s">
        <v>412</v>
      </c>
      <c r="K792" s="282"/>
      <c r="L792" s="273">
        <f>L788*L791</f>
        <v>11424</v>
      </c>
      <c r="M792" s="273">
        <f t="shared" ref="M792:V792" si="1276">M788*M791</f>
        <v>11824.470604800001</v>
      </c>
      <c r="N792" s="273">
        <f t="shared" si="1276"/>
        <v>12238.979786745387</v>
      </c>
      <c r="O792" s="273">
        <f t="shared" si="1276"/>
        <v>12668.019670965705</v>
      </c>
      <c r="P792" s="273">
        <f t="shared" si="1276"/>
        <v>13112.099634135346</v>
      </c>
      <c r="Q792" s="273">
        <f t="shared" si="1276"/>
        <v>13571.746909229885</v>
      </c>
      <c r="R792" s="273">
        <f t="shared" si="1276"/>
        <v>14047.507211482323</v>
      </c>
      <c r="S792" s="273">
        <f t="shared" si="1276"/>
        <v>14539.945386282281</v>
      </c>
      <c r="T792" s="273">
        <f t="shared" si="1276"/>
        <v>15049.646079787486</v>
      </c>
      <c r="U792" s="273">
        <f t="shared" si="1276"/>
        <v>15577.214433043653</v>
      </c>
      <c r="V792" s="273">
        <f t="shared" si="1276"/>
        <v>16123.276800436888</v>
      </c>
    </row>
    <row r="793" spans="10:22">
      <c r="J793" s="285" t="s">
        <v>418</v>
      </c>
      <c r="K793" s="274"/>
      <c r="L793" s="274">
        <f>L790*0.03</f>
        <v>3427.2</v>
      </c>
      <c r="M793" s="274">
        <f t="shared" ref="M793:V793" si="1277">M790*0.03</f>
        <v>3547.3411814400006</v>
      </c>
      <c r="N793" s="274">
        <f t="shared" si="1277"/>
        <v>3671.6939360236161</v>
      </c>
      <c r="O793" s="274">
        <f t="shared" si="1277"/>
        <v>3800.4059012897119</v>
      </c>
      <c r="P793" s="274">
        <f t="shared" si="1277"/>
        <v>3933.6298902406043</v>
      </c>
      <c r="Q793" s="274">
        <f t="shared" si="1277"/>
        <v>4071.5240727689661</v>
      </c>
      <c r="R793" s="274">
        <f t="shared" si="1277"/>
        <v>4214.2521634446975</v>
      </c>
      <c r="S793" s="274">
        <f t="shared" si="1277"/>
        <v>4361.9836158846847</v>
      </c>
      <c r="T793" s="274">
        <f t="shared" si="1277"/>
        <v>4514.8938239362469</v>
      </c>
      <c r="U793" s="274">
        <f t="shared" si="1277"/>
        <v>4673.1643299130965</v>
      </c>
      <c r="V793" s="274">
        <f t="shared" si="1277"/>
        <v>4836.9830401310674</v>
      </c>
    </row>
    <row r="794" spans="10:22">
      <c r="J794" s="285" t="s">
        <v>413</v>
      </c>
      <c r="K794" s="274"/>
      <c r="L794" s="284">
        <v>3000</v>
      </c>
      <c r="M794" s="274">
        <f>L794*(1+$G$12)</f>
        <v>3044.28</v>
      </c>
      <c r="N794" s="274">
        <f t="shared" ref="N794:V794" si="1278">M794*(1+$G$12)</f>
        <v>3089.2135728000007</v>
      </c>
      <c r="O794" s="274">
        <f t="shared" si="1278"/>
        <v>3134.8103651345291</v>
      </c>
      <c r="P794" s="274">
        <f t="shared" si="1278"/>
        <v>3181.0801661239152</v>
      </c>
      <c r="Q794" s="274">
        <f t="shared" si="1278"/>
        <v>3228.0329093759046</v>
      </c>
      <c r="R794" s="274">
        <f t="shared" si="1278"/>
        <v>3275.6786751182935</v>
      </c>
      <c r="S794" s="274">
        <f t="shared" si="1278"/>
        <v>3324.0276923630399</v>
      </c>
      <c r="T794" s="274">
        <f t="shared" si="1278"/>
        <v>3373.0903411023187</v>
      </c>
      <c r="U794" s="274">
        <f t="shared" si="1278"/>
        <v>3422.8771545369891</v>
      </c>
      <c r="V794" s="274">
        <f t="shared" si="1278"/>
        <v>3473.3988213379553</v>
      </c>
    </row>
    <row r="795" spans="10:22" ht="15.5">
      <c r="J795" s="270" t="s">
        <v>35</v>
      </c>
      <c r="K795" s="282"/>
      <c r="L795" s="273">
        <f>L793+L794</f>
        <v>6427.2</v>
      </c>
      <c r="M795" s="273">
        <f t="shared" ref="M795:V795" si="1279">M793+M794</f>
        <v>6591.6211814400012</v>
      </c>
      <c r="N795" s="273">
        <f t="shared" si="1279"/>
        <v>6760.9075088236168</v>
      </c>
      <c r="O795" s="273">
        <f t="shared" si="1279"/>
        <v>6935.2162664242405</v>
      </c>
      <c r="P795" s="273">
        <f t="shared" si="1279"/>
        <v>7114.7100563645199</v>
      </c>
      <c r="Q795" s="273">
        <f t="shared" si="1279"/>
        <v>7299.5569821448707</v>
      </c>
      <c r="R795" s="273">
        <f t="shared" si="1279"/>
        <v>7489.9308385629911</v>
      </c>
      <c r="S795" s="273">
        <f t="shared" si="1279"/>
        <v>7686.0113082477246</v>
      </c>
      <c r="T795" s="273">
        <f t="shared" si="1279"/>
        <v>7887.9841650385661</v>
      </c>
      <c r="U795" s="273">
        <f t="shared" si="1279"/>
        <v>8096.0414844500856</v>
      </c>
      <c r="V795" s="273">
        <f t="shared" si="1279"/>
        <v>8310.3818614690226</v>
      </c>
    </row>
    <row r="796" spans="10:22">
      <c r="J796" s="286" t="s">
        <v>414</v>
      </c>
      <c r="K796" s="274"/>
      <c r="L796" s="274">
        <f>L790-L792-L795</f>
        <v>96388.800000000003</v>
      </c>
      <c r="M796" s="274">
        <f t="shared" ref="M796:V796" si="1280">M790-M792-M795</f>
        <v>99828.614261760013</v>
      </c>
      <c r="N796" s="274">
        <f t="shared" si="1280"/>
        <v>103389.91057188487</v>
      </c>
      <c r="O796" s="274">
        <f t="shared" si="1280"/>
        <v>107076.96077226714</v>
      </c>
      <c r="P796" s="274">
        <f t="shared" si="1280"/>
        <v>110894.18665085362</v>
      </c>
      <c r="Q796" s="274">
        <f t="shared" si="1280"/>
        <v>114846.16520092412</v>
      </c>
      <c r="R796" s="274">
        <f t="shared" si="1280"/>
        <v>118937.63406477796</v>
      </c>
      <c r="S796" s="274">
        <f t="shared" si="1280"/>
        <v>123173.49716829282</v>
      </c>
      <c r="T796" s="274">
        <f t="shared" si="1280"/>
        <v>127558.83055304884</v>
      </c>
      <c r="U796" s="274">
        <f t="shared" si="1280"/>
        <v>132098.88841294285</v>
      </c>
      <c r="V796" s="274">
        <f t="shared" si="1280"/>
        <v>136799.10934246302</v>
      </c>
    </row>
    <row r="797" spans="10:22">
      <c r="J797" s="286" t="s">
        <v>415</v>
      </c>
      <c r="K797" s="274"/>
      <c r="L797" s="274">
        <f>L796*$G$13</f>
        <v>38555.520000000004</v>
      </c>
      <c r="M797" s="274">
        <f t="shared" ref="M797:Q797" si="1281">M796*$G$13</f>
        <v>39931.445704704005</v>
      </c>
      <c r="N797" s="274">
        <f t="shared" si="1281"/>
        <v>41355.964228753954</v>
      </c>
      <c r="O797" s="274">
        <f t="shared" si="1281"/>
        <v>42830.784308906856</v>
      </c>
      <c r="P797" s="274">
        <f t="shared" si="1281"/>
        <v>44357.67466034145</v>
      </c>
      <c r="Q797" s="274">
        <f t="shared" si="1281"/>
        <v>45938.466080369653</v>
      </c>
      <c r="R797" s="274">
        <f>R796*$G$13</f>
        <v>47575.053625911183</v>
      </c>
      <c r="S797" s="274">
        <f t="shared" ref="S797:V797" si="1282">S796*$G$13</f>
        <v>49269.398867317126</v>
      </c>
      <c r="T797" s="274">
        <f t="shared" si="1282"/>
        <v>51023.532221219539</v>
      </c>
      <c r="U797" s="274">
        <f t="shared" si="1282"/>
        <v>52839.555365177141</v>
      </c>
      <c r="V797" s="274">
        <f t="shared" si="1282"/>
        <v>54719.643736985214</v>
      </c>
    </row>
    <row r="798" spans="10:22" ht="15.5">
      <c r="J798" s="270" t="s">
        <v>358</v>
      </c>
      <c r="K798" s="272"/>
      <c r="L798" s="273">
        <f>L796-L797</f>
        <v>57833.279999999999</v>
      </c>
      <c r="M798" s="273">
        <f t="shared" ref="M798:V798" si="1283">M796-M797</f>
        <v>59897.168557056008</v>
      </c>
      <c r="N798" s="273">
        <f t="shared" si="1283"/>
        <v>62033.94634313092</v>
      </c>
      <c r="O798" s="273">
        <f t="shared" si="1283"/>
        <v>64246.17646336028</v>
      </c>
      <c r="P798" s="273">
        <f t="shared" si="1283"/>
        <v>66536.511990512168</v>
      </c>
      <c r="Q798" s="273">
        <f t="shared" si="1283"/>
        <v>68907.699120554462</v>
      </c>
      <c r="R798" s="273">
        <f t="shared" si="1283"/>
        <v>71362.580438866775</v>
      </c>
      <c r="S798" s="273">
        <f t="shared" si="1283"/>
        <v>73904.098300975689</v>
      </c>
      <c r="T798" s="273">
        <f t="shared" si="1283"/>
        <v>76535.298331829312</v>
      </c>
      <c r="U798" s="273">
        <f t="shared" si="1283"/>
        <v>79259.333047765715</v>
      </c>
      <c r="V798" s="273">
        <f t="shared" si="1283"/>
        <v>82079.465605477802</v>
      </c>
    </row>
    <row r="799" spans="10:22" ht="15.5">
      <c r="J799" s="270" t="s">
        <v>419</v>
      </c>
      <c r="K799" s="272"/>
      <c r="L799" s="273">
        <f>M790*$G$14</f>
        <v>19707.451008000004</v>
      </c>
      <c r="M799" s="273">
        <f t="shared" ref="M799:V799" si="1284">N790*$G$14</f>
        <v>20398.299644575643</v>
      </c>
      <c r="N799" s="273">
        <f t="shared" si="1284"/>
        <v>21113.366118276179</v>
      </c>
      <c r="O799" s="273">
        <f t="shared" si="1284"/>
        <v>21853.499390225581</v>
      </c>
      <c r="P799" s="273">
        <f t="shared" si="1284"/>
        <v>22619.578182049812</v>
      </c>
      <c r="Q799" s="273">
        <f t="shared" si="1284"/>
        <v>23412.512019137212</v>
      </c>
      <c r="R799" s="273">
        <f t="shared" si="1284"/>
        <v>24233.242310470469</v>
      </c>
      <c r="S799" s="273">
        <f t="shared" si="1284"/>
        <v>25082.74346631248</v>
      </c>
      <c r="T799" s="273">
        <f t="shared" si="1284"/>
        <v>25962.024055072761</v>
      </c>
      <c r="U799" s="273">
        <f t="shared" si="1284"/>
        <v>26872.128000728153</v>
      </c>
      <c r="V799" s="273">
        <f t="shared" si="1284"/>
        <v>0</v>
      </c>
    </row>
    <row r="800" spans="10:22" ht="16" thickBot="1">
      <c r="J800" s="270" t="s">
        <v>416</v>
      </c>
      <c r="K800" s="290">
        <f>L790*$G$14</f>
        <v>19040</v>
      </c>
      <c r="L800" s="273">
        <f>L799-K800</f>
        <v>667.45100800000364</v>
      </c>
      <c r="M800" s="273">
        <f>M799-L799</f>
        <v>690.84863657563983</v>
      </c>
      <c r="N800" s="273">
        <f t="shared" ref="N800:V800" si="1285">N799-M799</f>
        <v>715.06647370053543</v>
      </c>
      <c r="O800" s="273">
        <f t="shared" si="1285"/>
        <v>740.13327194940211</v>
      </c>
      <c r="P800" s="273">
        <f t="shared" si="1285"/>
        <v>766.0787918242313</v>
      </c>
      <c r="Q800" s="273">
        <f t="shared" si="1285"/>
        <v>792.9338370873993</v>
      </c>
      <c r="R800" s="273">
        <f t="shared" si="1285"/>
        <v>820.7302913332569</v>
      </c>
      <c r="S800" s="273">
        <f t="shared" si="1285"/>
        <v>849.50115584201194</v>
      </c>
      <c r="T800" s="273">
        <f t="shared" si="1285"/>
        <v>879.28058876028081</v>
      </c>
      <c r="U800" s="273">
        <f t="shared" si="1285"/>
        <v>910.10394565539173</v>
      </c>
      <c r="V800" s="273">
        <f t="shared" si="1285"/>
        <v>-26872.128000728153</v>
      </c>
    </row>
    <row r="801" spans="10:23" ht="15.5">
      <c r="J801" s="271" t="s">
        <v>417</v>
      </c>
      <c r="K801" s="275">
        <f>K798-K800</f>
        <v>-19040</v>
      </c>
      <c r="L801" s="275">
        <f>L798-L800</f>
        <v>57165.828991999995</v>
      </c>
      <c r="M801" s="275">
        <f>M798-M800</f>
        <v>59206.319920480368</v>
      </c>
      <c r="N801" s="275">
        <f t="shared" ref="N801:V801" si="1286">N798-N800</f>
        <v>61318.879869430384</v>
      </c>
      <c r="O801" s="275">
        <f t="shared" si="1286"/>
        <v>63506.043191410878</v>
      </c>
      <c r="P801" s="275">
        <f t="shared" si="1286"/>
        <v>65770.433198687941</v>
      </c>
      <c r="Q801" s="275">
        <f t="shared" si="1286"/>
        <v>68114.765283467059</v>
      </c>
      <c r="R801" s="275">
        <f t="shared" si="1286"/>
        <v>70541.850147533522</v>
      </c>
      <c r="S801" s="275">
        <f t="shared" si="1286"/>
        <v>73054.597145133681</v>
      </c>
      <c r="T801" s="275">
        <f t="shared" si="1286"/>
        <v>75656.017743069038</v>
      </c>
      <c r="U801" s="275">
        <f t="shared" si="1286"/>
        <v>78349.229102110316</v>
      </c>
      <c r="V801" s="275">
        <f t="shared" si="1286"/>
        <v>108951.59360620595</v>
      </c>
      <c r="W801" s="295" t="s">
        <v>360</v>
      </c>
    </row>
    <row r="802" spans="10:23" ht="16" thickBot="1">
      <c r="J802" s="271" t="s">
        <v>367</v>
      </c>
      <c r="K802" s="291">
        <f>K801/(1+$G$16)^(K785-$G$15)</f>
        <v>-12431.739712906765</v>
      </c>
      <c r="L802" s="291">
        <f>L801/(1+$G$16)^(L785-$G$15)</f>
        <v>33551.94579488918</v>
      </c>
      <c r="M802" s="291">
        <f t="shared" ref="M802:V802" si="1287">M801/(1+$G$16)^(M785-$G$15)</f>
        <v>31236.726450775277</v>
      </c>
      <c r="N802" s="291">
        <f t="shared" si="1287"/>
        <v>29080.903871773629</v>
      </c>
      <c r="O802" s="291">
        <f t="shared" si="1287"/>
        <v>27073.536127081516</v>
      </c>
      <c r="P802" s="291">
        <f t="shared" si="1287"/>
        <v>25204.429553767761</v>
      </c>
      <c r="Q802" s="291">
        <f t="shared" si="1287"/>
        <v>23464.08783994917</v>
      </c>
      <c r="R802" s="291">
        <f t="shared" si="1287"/>
        <v>21843.664549992929</v>
      </c>
      <c r="S802" s="291">
        <f t="shared" si="1287"/>
        <v>20334.918861096372</v>
      </c>
      <c r="T802" s="291">
        <f t="shared" si="1287"/>
        <v>18930.174295868201</v>
      </c>
      <c r="U802" s="291">
        <f t="shared" si="1287"/>
        <v>17622.280249810956</v>
      </c>
      <c r="V802" s="291">
        <f t="shared" si="1287"/>
        <v>22028.108350586328</v>
      </c>
      <c r="W802" s="294">
        <f>SUM(K802:V802)</f>
        <v>257939.03623268456</v>
      </c>
    </row>
    <row r="807" spans="10:23">
      <c r="J807">
        <v>1113312</v>
      </c>
    </row>
    <row r="809" spans="10:23" ht="15.5">
      <c r="J809" s="276" t="s">
        <v>407</v>
      </c>
      <c r="K809" s="276">
        <v>2013</v>
      </c>
      <c r="L809" s="276">
        <v>2014</v>
      </c>
      <c r="M809" s="276">
        <v>2015</v>
      </c>
      <c r="N809" s="276">
        <v>2016</v>
      </c>
      <c r="O809" s="276">
        <v>2017</v>
      </c>
      <c r="P809" s="276">
        <v>2018</v>
      </c>
      <c r="Q809" s="276">
        <v>2019</v>
      </c>
      <c r="R809" s="276">
        <v>2020</v>
      </c>
      <c r="S809" s="276">
        <v>2021</v>
      </c>
      <c r="T809" s="276">
        <v>2022</v>
      </c>
      <c r="U809" s="276">
        <v>2023</v>
      </c>
      <c r="V809" s="276">
        <v>2024</v>
      </c>
    </row>
    <row r="810" spans="10:23">
      <c r="J810" s="269" t="s">
        <v>33</v>
      </c>
      <c r="K810" s="277">
        <f>Données!$C$5</f>
        <v>560000</v>
      </c>
      <c r="L810" s="278">
        <f>K810*(1+$D$13)</f>
        <v>565600</v>
      </c>
      <c r="M810" s="278">
        <f t="shared" ref="M810:V810" si="1288">L810*(1+$D$13)</f>
        <v>571256</v>
      </c>
      <c r="N810" s="278">
        <f t="shared" si="1288"/>
        <v>576968.56000000006</v>
      </c>
      <c r="O810" s="278">
        <f t="shared" si="1288"/>
        <v>582738.24560000002</v>
      </c>
      <c r="P810" s="278">
        <f t="shared" si="1288"/>
        <v>588565.62805599999</v>
      </c>
      <c r="Q810" s="278">
        <f t="shared" si="1288"/>
        <v>594451.28433655994</v>
      </c>
      <c r="R810" s="278">
        <f t="shared" si="1288"/>
        <v>600395.79717992549</v>
      </c>
      <c r="S810" s="278">
        <f t="shared" si="1288"/>
        <v>606399.75515172479</v>
      </c>
      <c r="T810" s="278">
        <f t="shared" si="1288"/>
        <v>612463.752703242</v>
      </c>
      <c r="U810" s="278">
        <f t="shared" si="1288"/>
        <v>618588.39023027441</v>
      </c>
      <c r="V810" s="278">
        <f t="shared" si="1288"/>
        <v>624774.27413257712</v>
      </c>
    </row>
    <row r="811" spans="10:23">
      <c r="J811" s="269" t="s">
        <v>408</v>
      </c>
      <c r="K811" s="279"/>
      <c r="L811" s="278">
        <f>L810*$D$14</f>
        <v>565600</v>
      </c>
      <c r="M811" s="278">
        <f t="shared" ref="M811:V811" si="1289">M810*$D$14</f>
        <v>571256</v>
      </c>
      <c r="N811" s="278">
        <f t="shared" si="1289"/>
        <v>576968.56000000006</v>
      </c>
      <c r="O811" s="278">
        <f t="shared" si="1289"/>
        <v>582738.24560000002</v>
      </c>
      <c r="P811" s="278">
        <f t="shared" si="1289"/>
        <v>588565.62805599999</v>
      </c>
      <c r="Q811" s="278">
        <f t="shared" si="1289"/>
        <v>594451.28433655994</v>
      </c>
      <c r="R811" s="278">
        <f t="shared" si="1289"/>
        <v>600395.79717992549</v>
      </c>
      <c r="S811" s="278">
        <f t="shared" si="1289"/>
        <v>606399.75515172479</v>
      </c>
      <c r="T811" s="278">
        <f t="shared" si="1289"/>
        <v>612463.752703242</v>
      </c>
      <c r="U811" s="278">
        <f t="shared" si="1289"/>
        <v>618588.39023027441</v>
      </c>
      <c r="V811" s="278">
        <f t="shared" si="1289"/>
        <v>624774.27413257712</v>
      </c>
    </row>
    <row r="812" spans="10:23">
      <c r="J812" s="269" t="s">
        <v>409</v>
      </c>
      <c r="K812" s="280"/>
      <c r="L812" s="278">
        <f>L811*$D$18</f>
        <v>113120</v>
      </c>
      <c r="M812" s="278">
        <f t="shared" ref="M812:V812" si="1290">M811*$D$18</f>
        <v>114251.20000000001</v>
      </c>
      <c r="N812" s="278">
        <f t="shared" si="1290"/>
        <v>115393.71200000001</v>
      </c>
      <c r="O812" s="278">
        <f t="shared" si="1290"/>
        <v>116547.64912000002</v>
      </c>
      <c r="P812" s="278">
        <f t="shared" si="1290"/>
        <v>117713.1256112</v>
      </c>
      <c r="Q812" s="278">
        <f t="shared" si="1290"/>
        <v>118890.256867312</v>
      </c>
      <c r="R812" s="278">
        <f t="shared" si="1290"/>
        <v>120079.1594359851</v>
      </c>
      <c r="S812" s="278">
        <f t="shared" si="1290"/>
        <v>121279.95103034496</v>
      </c>
      <c r="T812" s="278">
        <f t="shared" si="1290"/>
        <v>122492.75054064841</v>
      </c>
      <c r="U812" s="278">
        <f t="shared" si="1290"/>
        <v>123717.67804605489</v>
      </c>
      <c r="V812" s="278">
        <f t="shared" si="1290"/>
        <v>124954.85482651542</v>
      </c>
    </row>
    <row r="813" spans="10:23">
      <c r="J813" s="269" t="s">
        <v>410</v>
      </c>
      <c r="K813" s="281"/>
      <c r="L813" s="288">
        <f>1</f>
        <v>1</v>
      </c>
      <c r="M813" s="288">
        <f>L813*(1+$G$12)</f>
        <v>1.0147600000000001</v>
      </c>
      <c r="N813" s="288">
        <f t="shared" ref="N813:V813" si="1291">M813*(1+$G$12)</f>
        <v>1.0297378576000003</v>
      </c>
      <c r="O813" s="288">
        <f t="shared" si="1291"/>
        <v>1.0449367883781764</v>
      </c>
      <c r="P813" s="288">
        <f t="shared" si="1291"/>
        <v>1.0603600553746384</v>
      </c>
      <c r="Q813" s="288">
        <f t="shared" si="1291"/>
        <v>1.0760109697919682</v>
      </c>
      <c r="R813" s="288">
        <f t="shared" si="1291"/>
        <v>1.0918928917060977</v>
      </c>
      <c r="S813" s="288">
        <f t="shared" si="1291"/>
        <v>1.1080092307876799</v>
      </c>
      <c r="T813" s="288">
        <f t="shared" si="1291"/>
        <v>1.1243634470341062</v>
      </c>
      <c r="U813" s="288">
        <f t="shared" si="1291"/>
        <v>1.1409590515123298</v>
      </c>
      <c r="V813" s="288">
        <f t="shared" si="1291"/>
        <v>1.157799607112652</v>
      </c>
    </row>
    <row r="814" spans="10:23" ht="15.5">
      <c r="J814" s="270" t="s">
        <v>411</v>
      </c>
      <c r="K814" s="282"/>
      <c r="L814" s="273">
        <f>L812*L813</f>
        <v>113120</v>
      </c>
      <c r="M814" s="273">
        <f t="shared" ref="M814:V814" si="1292">M812*M813</f>
        <v>115937.54771200003</v>
      </c>
      <c r="N814" s="273">
        <f t="shared" si="1292"/>
        <v>118825.27377539146</v>
      </c>
      <c r="O814" s="273">
        <f t="shared" si="1292"/>
        <v>121784.92616447942</v>
      </c>
      <c r="P814" s="273">
        <f t="shared" si="1292"/>
        <v>124818.29639141379</v>
      </c>
      <c r="Q814" s="273">
        <f t="shared" si="1292"/>
        <v>127927.22059061259</v>
      </c>
      <c r="R814" s="273">
        <f t="shared" si="1292"/>
        <v>131113.58063019533</v>
      </c>
      <c r="S814" s="273">
        <f t="shared" si="1292"/>
        <v>134379.30525110001</v>
      </c>
      <c r="T814" s="273">
        <f t="shared" si="1292"/>
        <v>137726.37123457232</v>
      </c>
      <c r="U814" s="273">
        <f t="shared" si="1292"/>
        <v>141156.80459873457</v>
      </c>
      <c r="V814" s="273">
        <f t="shared" si="1292"/>
        <v>144672.68182495801</v>
      </c>
    </row>
    <row r="815" spans="10:23">
      <c r="J815" s="283" t="s">
        <v>34</v>
      </c>
      <c r="K815" s="274"/>
      <c r="L815" s="289">
        <f>$D$22</f>
        <v>0.1</v>
      </c>
      <c r="M815" s="289">
        <f>L815*(1+$G$12)</f>
        <v>0.10147600000000001</v>
      </c>
      <c r="N815" s="289">
        <f t="shared" ref="N815:V815" si="1293">M815*(1+$G$12)</f>
        <v>0.10297378576000002</v>
      </c>
      <c r="O815" s="289">
        <f t="shared" si="1293"/>
        <v>0.10449367883781763</v>
      </c>
      <c r="P815" s="289">
        <f t="shared" si="1293"/>
        <v>0.10603600553746383</v>
      </c>
      <c r="Q815" s="289">
        <f t="shared" si="1293"/>
        <v>0.1076010969791968</v>
      </c>
      <c r="R815" s="289">
        <f t="shared" si="1293"/>
        <v>0.10918928917060976</v>
      </c>
      <c r="S815" s="289">
        <f t="shared" si="1293"/>
        <v>0.11080092307876797</v>
      </c>
      <c r="T815" s="289">
        <f t="shared" si="1293"/>
        <v>0.1124363447034106</v>
      </c>
      <c r="U815" s="289">
        <f t="shared" si="1293"/>
        <v>0.11409590515123295</v>
      </c>
      <c r="V815" s="289">
        <f t="shared" si="1293"/>
        <v>0.11577996071126516</v>
      </c>
    </row>
    <row r="816" spans="10:23" ht="15.5">
      <c r="J816" s="270" t="s">
        <v>412</v>
      </c>
      <c r="K816" s="282"/>
      <c r="L816" s="273">
        <f>L812*L815</f>
        <v>11312</v>
      </c>
      <c r="M816" s="273">
        <f t="shared" ref="M816:V816" si="1294">M812*M815</f>
        <v>11593.754771200003</v>
      </c>
      <c r="N816" s="273">
        <f t="shared" si="1294"/>
        <v>11882.527377539145</v>
      </c>
      <c r="O816" s="273">
        <f t="shared" si="1294"/>
        <v>12178.49261644794</v>
      </c>
      <c r="P816" s="273">
        <f t="shared" si="1294"/>
        <v>12481.829639141379</v>
      </c>
      <c r="Q816" s="273">
        <f t="shared" si="1294"/>
        <v>12792.722059061256</v>
      </c>
      <c r="R816" s="273">
        <f t="shared" si="1294"/>
        <v>13111.35806301953</v>
      </c>
      <c r="S816" s="273">
        <f t="shared" si="1294"/>
        <v>13437.93052511</v>
      </c>
      <c r="T816" s="273">
        <f t="shared" si="1294"/>
        <v>13772.637123457231</v>
      </c>
      <c r="U816" s="273">
        <f t="shared" si="1294"/>
        <v>14115.680459873454</v>
      </c>
      <c r="V816" s="273">
        <f t="shared" si="1294"/>
        <v>14467.268182495798</v>
      </c>
    </row>
    <row r="817" spans="10:23">
      <c r="J817" s="285" t="s">
        <v>418</v>
      </c>
      <c r="K817" s="274"/>
      <c r="L817" s="274">
        <f>L814*0.03</f>
        <v>3393.6</v>
      </c>
      <c r="M817" s="274">
        <f t="shared" ref="M817:V817" si="1295">M814*0.03</f>
        <v>3478.1264313600009</v>
      </c>
      <c r="N817" s="274">
        <f t="shared" si="1295"/>
        <v>3564.7582132617435</v>
      </c>
      <c r="O817" s="274">
        <f t="shared" si="1295"/>
        <v>3653.5477849343824</v>
      </c>
      <c r="P817" s="274">
        <f t="shared" si="1295"/>
        <v>3744.5488917424136</v>
      </c>
      <c r="Q817" s="274">
        <f t="shared" si="1295"/>
        <v>3837.8166177183775</v>
      </c>
      <c r="R817" s="274">
        <f t="shared" si="1295"/>
        <v>3933.4074189058597</v>
      </c>
      <c r="S817" s="274">
        <f t="shared" si="1295"/>
        <v>4031.3791575330001</v>
      </c>
      <c r="T817" s="274">
        <f t="shared" si="1295"/>
        <v>4131.7911370371694</v>
      </c>
      <c r="U817" s="274">
        <f t="shared" si="1295"/>
        <v>4234.7041379620368</v>
      </c>
      <c r="V817" s="274">
        <f t="shared" si="1295"/>
        <v>4340.18045474874</v>
      </c>
    </row>
    <row r="818" spans="10:23">
      <c r="J818" s="285" t="s">
        <v>413</v>
      </c>
      <c r="K818" s="274"/>
      <c r="L818" s="284">
        <v>3000</v>
      </c>
      <c r="M818" s="274">
        <f>L818*(1+$G$12)</f>
        <v>3044.28</v>
      </c>
      <c r="N818" s="274">
        <f t="shared" ref="N818:V818" si="1296">M818*(1+$G$12)</f>
        <v>3089.2135728000007</v>
      </c>
      <c r="O818" s="274">
        <f t="shared" si="1296"/>
        <v>3134.8103651345291</v>
      </c>
      <c r="P818" s="274">
        <f t="shared" si="1296"/>
        <v>3181.0801661239152</v>
      </c>
      <c r="Q818" s="274">
        <f t="shared" si="1296"/>
        <v>3228.0329093759046</v>
      </c>
      <c r="R818" s="274">
        <f t="shared" si="1296"/>
        <v>3275.6786751182935</v>
      </c>
      <c r="S818" s="274">
        <f t="shared" si="1296"/>
        <v>3324.0276923630399</v>
      </c>
      <c r="T818" s="274">
        <f t="shared" si="1296"/>
        <v>3373.0903411023187</v>
      </c>
      <c r="U818" s="274">
        <f t="shared" si="1296"/>
        <v>3422.8771545369891</v>
      </c>
      <c r="V818" s="274">
        <f t="shared" si="1296"/>
        <v>3473.3988213379553</v>
      </c>
    </row>
    <row r="819" spans="10:23" ht="15.5">
      <c r="J819" s="270" t="s">
        <v>35</v>
      </c>
      <c r="K819" s="282"/>
      <c r="L819" s="273">
        <f>L817+L818</f>
        <v>6393.6</v>
      </c>
      <c r="M819" s="273">
        <f t="shared" ref="M819:V819" si="1297">M817+M818</f>
        <v>6522.4064313600011</v>
      </c>
      <c r="N819" s="273">
        <f t="shared" si="1297"/>
        <v>6653.9717860617438</v>
      </c>
      <c r="O819" s="273">
        <f t="shared" si="1297"/>
        <v>6788.3581500689115</v>
      </c>
      <c r="P819" s="273">
        <f t="shared" si="1297"/>
        <v>6925.6290578663284</v>
      </c>
      <c r="Q819" s="273">
        <f t="shared" si="1297"/>
        <v>7065.8495270942822</v>
      </c>
      <c r="R819" s="273">
        <f t="shared" si="1297"/>
        <v>7209.0860940241528</v>
      </c>
      <c r="S819" s="273">
        <f t="shared" si="1297"/>
        <v>7355.4068498960405</v>
      </c>
      <c r="T819" s="273">
        <f t="shared" si="1297"/>
        <v>7504.8814781394885</v>
      </c>
      <c r="U819" s="273">
        <f t="shared" si="1297"/>
        <v>7657.5812924990259</v>
      </c>
      <c r="V819" s="273">
        <f t="shared" si="1297"/>
        <v>7813.5792760866952</v>
      </c>
    </row>
    <row r="820" spans="10:23">
      <c r="J820" s="286" t="s">
        <v>414</v>
      </c>
      <c r="K820" s="274"/>
      <c r="L820" s="274">
        <f>L814-L816-L819</f>
        <v>95414.399999999994</v>
      </c>
      <c r="M820" s="274">
        <f t="shared" ref="M820:V820" si="1298">M814-M816-M819</f>
        <v>97821.386509440024</v>
      </c>
      <c r="N820" s="274">
        <f t="shared" si="1298"/>
        <v>100288.77461179058</v>
      </c>
      <c r="O820" s="274">
        <f t="shared" si="1298"/>
        <v>102818.07539796256</v>
      </c>
      <c r="P820" s="274">
        <f t="shared" si="1298"/>
        <v>105410.83769440609</v>
      </c>
      <c r="Q820" s="274">
        <f t="shared" si="1298"/>
        <v>108068.64900445705</v>
      </c>
      <c r="R820" s="274">
        <f t="shared" si="1298"/>
        <v>110793.13647315164</v>
      </c>
      <c r="S820" s="274">
        <f t="shared" si="1298"/>
        <v>113585.96787609397</v>
      </c>
      <c r="T820" s="274">
        <f t="shared" si="1298"/>
        <v>116448.8526329756</v>
      </c>
      <c r="U820" s="274">
        <f t="shared" si="1298"/>
        <v>119383.54284636208</v>
      </c>
      <c r="V820" s="274">
        <f t="shared" si="1298"/>
        <v>122391.83436637552</v>
      </c>
    </row>
    <row r="821" spans="10:23">
      <c r="J821" s="286" t="s">
        <v>415</v>
      </c>
      <c r="K821" s="274"/>
      <c r="L821" s="274">
        <f>L820*$G$13</f>
        <v>38165.760000000002</v>
      </c>
      <c r="M821" s="274">
        <f t="shared" ref="M821:Q821" si="1299">M820*$G$13</f>
        <v>39128.554603776014</v>
      </c>
      <c r="N821" s="274">
        <f t="shared" si="1299"/>
        <v>40115.509844716231</v>
      </c>
      <c r="O821" s="274">
        <f t="shared" si="1299"/>
        <v>41127.230159185026</v>
      </c>
      <c r="P821" s="274">
        <f t="shared" si="1299"/>
        <v>42164.335077762436</v>
      </c>
      <c r="Q821" s="274">
        <f t="shared" si="1299"/>
        <v>43227.459601782823</v>
      </c>
      <c r="R821" s="274">
        <f>R820*$G$13</f>
        <v>44317.254589260658</v>
      </c>
      <c r="S821" s="274">
        <f t="shared" ref="S821:V821" si="1300">S820*$G$13</f>
        <v>45434.387150437593</v>
      </c>
      <c r="T821" s="274">
        <f t="shared" si="1300"/>
        <v>46579.541053190245</v>
      </c>
      <c r="U821" s="274">
        <f t="shared" si="1300"/>
        <v>47753.417138544835</v>
      </c>
      <c r="V821" s="274">
        <f t="shared" si="1300"/>
        <v>48956.733746550213</v>
      </c>
    </row>
    <row r="822" spans="10:23" ht="15.5">
      <c r="J822" s="270" t="s">
        <v>358</v>
      </c>
      <c r="K822" s="272"/>
      <c r="L822" s="273">
        <f>L820-L821</f>
        <v>57248.639999999992</v>
      </c>
      <c r="M822" s="273">
        <f t="shared" ref="M822:V822" si="1301">M820-M821</f>
        <v>58692.83190566401</v>
      </c>
      <c r="N822" s="273">
        <f t="shared" si="1301"/>
        <v>60173.264767074346</v>
      </c>
      <c r="O822" s="273">
        <f t="shared" si="1301"/>
        <v>61690.845238777532</v>
      </c>
      <c r="P822" s="273">
        <f t="shared" si="1301"/>
        <v>63246.502616643651</v>
      </c>
      <c r="Q822" s="273">
        <f t="shared" si="1301"/>
        <v>64841.18940267423</v>
      </c>
      <c r="R822" s="273">
        <f t="shared" si="1301"/>
        <v>66475.881883890979</v>
      </c>
      <c r="S822" s="273">
        <f t="shared" si="1301"/>
        <v>68151.580725656386</v>
      </c>
      <c r="T822" s="273">
        <f t="shared" si="1301"/>
        <v>69869.311579785353</v>
      </c>
      <c r="U822" s="273">
        <f t="shared" si="1301"/>
        <v>71630.125707817235</v>
      </c>
      <c r="V822" s="273">
        <f t="shared" si="1301"/>
        <v>73435.100619825302</v>
      </c>
    </row>
    <row r="823" spans="10:23" ht="15.5">
      <c r="J823" s="270" t="s">
        <v>419</v>
      </c>
      <c r="K823" s="272"/>
      <c r="L823" s="273">
        <f>M814*$G$14</f>
        <v>19322.924618666671</v>
      </c>
      <c r="M823" s="273">
        <f t="shared" ref="M823:V823" si="1302">N814*$G$14</f>
        <v>19804.212295898575</v>
      </c>
      <c r="N823" s="273">
        <f t="shared" si="1302"/>
        <v>20297.4876940799</v>
      </c>
      <c r="O823" s="273">
        <f t="shared" si="1302"/>
        <v>20803.049398568965</v>
      </c>
      <c r="P823" s="273">
        <f t="shared" si="1302"/>
        <v>21321.203431768765</v>
      </c>
      <c r="Q823" s="273">
        <f t="shared" si="1302"/>
        <v>21852.263438365888</v>
      </c>
      <c r="R823" s="273">
        <f t="shared" si="1302"/>
        <v>22396.550875183333</v>
      </c>
      <c r="S823" s="273">
        <f t="shared" si="1302"/>
        <v>22954.395205762052</v>
      </c>
      <c r="T823" s="273">
        <f t="shared" si="1302"/>
        <v>23526.134099789095</v>
      </c>
      <c r="U823" s="273">
        <f t="shared" si="1302"/>
        <v>24112.113637492999</v>
      </c>
      <c r="V823" s="273">
        <f t="shared" si="1302"/>
        <v>0</v>
      </c>
    </row>
    <row r="824" spans="10:23" ht="16" thickBot="1">
      <c r="J824" s="270" t="s">
        <v>416</v>
      </c>
      <c r="K824" s="290">
        <f>L814*$G$14</f>
        <v>18853.333333333332</v>
      </c>
      <c r="L824" s="273">
        <f>L823-K824</f>
        <v>469.59128533333933</v>
      </c>
      <c r="M824" s="273">
        <f>M823-L823</f>
        <v>481.28767723190322</v>
      </c>
      <c r="N824" s="273">
        <f t="shared" ref="N824:V824" si="1303">N823-M823</f>
        <v>493.27539818132573</v>
      </c>
      <c r="O824" s="273">
        <f t="shared" si="1303"/>
        <v>505.56170448906414</v>
      </c>
      <c r="P824" s="273">
        <f t="shared" si="1303"/>
        <v>518.15403319980032</v>
      </c>
      <c r="Q824" s="273">
        <f t="shared" si="1303"/>
        <v>531.06000659712299</v>
      </c>
      <c r="R824" s="273">
        <f t="shared" si="1303"/>
        <v>544.28743681744527</v>
      </c>
      <c r="S824" s="273">
        <f t="shared" si="1303"/>
        <v>557.84433057871865</v>
      </c>
      <c r="T824" s="273">
        <f t="shared" si="1303"/>
        <v>571.73889402704299</v>
      </c>
      <c r="U824" s="273">
        <f t="shared" si="1303"/>
        <v>585.9795377039045</v>
      </c>
      <c r="V824" s="273">
        <f t="shared" si="1303"/>
        <v>-24112.113637492999</v>
      </c>
    </row>
    <row r="825" spans="10:23" ht="15.5">
      <c r="J825" s="271" t="s">
        <v>417</v>
      </c>
      <c r="K825" s="275">
        <f>K822-K824</f>
        <v>-18853.333333333332</v>
      </c>
      <c r="L825" s="275">
        <f>L822-L824</f>
        <v>56779.048714666656</v>
      </c>
      <c r="M825" s="275">
        <f>M822-M824</f>
        <v>58211.544228432103</v>
      </c>
      <c r="N825" s="275">
        <f t="shared" ref="N825:V825" si="1304">N822-N824</f>
        <v>59679.989368893017</v>
      </c>
      <c r="O825" s="275">
        <f t="shared" si="1304"/>
        <v>61185.283534288465</v>
      </c>
      <c r="P825" s="275">
        <f t="shared" si="1304"/>
        <v>62728.348583443847</v>
      </c>
      <c r="Q825" s="275">
        <f t="shared" si="1304"/>
        <v>64310.129396077107</v>
      </c>
      <c r="R825" s="275">
        <f t="shared" si="1304"/>
        <v>65931.594447073527</v>
      </c>
      <c r="S825" s="275">
        <f t="shared" si="1304"/>
        <v>67593.736395077663</v>
      </c>
      <c r="T825" s="275">
        <f t="shared" si="1304"/>
        <v>69297.572685758307</v>
      </c>
      <c r="U825" s="275">
        <f t="shared" si="1304"/>
        <v>71044.146170113323</v>
      </c>
      <c r="V825" s="275">
        <f t="shared" si="1304"/>
        <v>97547.214257318294</v>
      </c>
      <c r="W825" s="295" t="s">
        <v>360</v>
      </c>
    </row>
    <row r="826" spans="10:23" ht="16" thickBot="1">
      <c r="J826" s="271" t="s">
        <v>367</v>
      </c>
      <c r="K826" s="291">
        <f>K825/(1+$G$16)^(K809-$G$15)</f>
        <v>-12309.859911799835</v>
      </c>
      <c r="L826" s="291">
        <f>L825/(1+$G$16)^(L809-$G$15)</f>
        <v>33324.93551394956</v>
      </c>
      <c r="M826" s="291">
        <f t="shared" ref="M826:V826" si="1305">M825/(1+$G$16)^(M809-$G$15)</f>
        <v>30711.891666006912</v>
      </c>
      <c r="N826" s="291">
        <f t="shared" si="1305"/>
        <v>28303.648690270376</v>
      </c>
      <c r="O826" s="291">
        <f t="shared" si="1305"/>
        <v>26084.163033406003</v>
      </c>
      <c r="P826" s="291">
        <f t="shared" si="1305"/>
        <v>24038.647246239183</v>
      </c>
      <c r="Q826" s="291">
        <f t="shared" si="1305"/>
        <v>22153.471701301049</v>
      </c>
      <c r="R826" s="291">
        <f t="shared" si="1305"/>
        <v>20416.07399488382</v>
      </c>
      <c r="S826" s="291">
        <f t="shared" si="1305"/>
        <v>18814.875433253968</v>
      </c>
      <c r="T826" s="291">
        <f t="shared" si="1305"/>
        <v>17339.204049530847</v>
      </c>
      <c r="U826" s="291">
        <f t="shared" si="1305"/>
        <v>15979.223640945173</v>
      </c>
      <c r="V826" s="291">
        <f t="shared" si="1305"/>
        <v>19722.34213227397</v>
      </c>
      <c r="W826" s="294">
        <f>SUM(K826:V826)</f>
        <v>244578.61719026105</v>
      </c>
    </row>
    <row r="830" spans="10:23">
      <c r="J830">
        <v>1113321</v>
      </c>
    </row>
    <row r="832" spans="10:23" ht="15.5">
      <c r="J832" s="276" t="s">
        <v>407</v>
      </c>
      <c r="K832" s="276">
        <v>2013</v>
      </c>
      <c r="L832" s="276">
        <v>2014</v>
      </c>
      <c r="M832" s="276">
        <v>2015</v>
      </c>
      <c r="N832" s="276">
        <v>2016</v>
      </c>
      <c r="O832" s="276">
        <v>2017</v>
      </c>
      <c r="P832" s="276">
        <v>2018</v>
      </c>
      <c r="Q832" s="276">
        <v>2019</v>
      </c>
      <c r="R832" s="276">
        <v>2020</v>
      </c>
      <c r="S832" s="276">
        <v>2021</v>
      </c>
      <c r="T832" s="276">
        <v>2022</v>
      </c>
      <c r="U832" s="276">
        <v>2023</v>
      </c>
      <c r="V832" s="276">
        <v>2024</v>
      </c>
    </row>
    <row r="833" spans="10:23">
      <c r="J833" s="269" t="s">
        <v>33</v>
      </c>
      <c r="K833" s="277">
        <f>Données!$C$5</f>
        <v>560000</v>
      </c>
      <c r="L833" s="278">
        <f>K833*(1+$D$12)</f>
        <v>571200</v>
      </c>
      <c r="M833" s="278">
        <f t="shared" ref="M833:V833" si="1306">L833*(1+$D$12)</f>
        <v>582624</v>
      </c>
      <c r="N833" s="278">
        <f t="shared" si="1306"/>
        <v>594276.48</v>
      </c>
      <c r="O833" s="278">
        <f t="shared" si="1306"/>
        <v>606162.00959999999</v>
      </c>
      <c r="P833" s="278">
        <f t="shared" si="1306"/>
        <v>618285.24979200005</v>
      </c>
      <c r="Q833" s="278">
        <f t="shared" si="1306"/>
        <v>630650.95478784002</v>
      </c>
      <c r="R833" s="278">
        <f t="shared" si="1306"/>
        <v>643263.97388359683</v>
      </c>
      <c r="S833" s="278">
        <f t="shared" si="1306"/>
        <v>656129.25336126878</v>
      </c>
      <c r="T833" s="278">
        <f t="shared" si="1306"/>
        <v>669251.83842849417</v>
      </c>
      <c r="U833" s="278">
        <f t="shared" si="1306"/>
        <v>682636.87519706402</v>
      </c>
      <c r="V833" s="278">
        <f t="shared" si="1306"/>
        <v>696289.6127010053</v>
      </c>
    </row>
    <row r="834" spans="10:23">
      <c r="J834" s="269" t="s">
        <v>408</v>
      </c>
      <c r="K834" s="279"/>
      <c r="L834" s="278">
        <f>L833*$D$15</f>
        <v>285600</v>
      </c>
      <c r="M834" s="278">
        <f t="shared" ref="M834:V834" si="1307">M833*$D$15</f>
        <v>291312</v>
      </c>
      <c r="N834" s="278">
        <f t="shared" si="1307"/>
        <v>297138.24</v>
      </c>
      <c r="O834" s="278">
        <f t="shared" si="1307"/>
        <v>303081.0048</v>
      </c>
      <c r="P834" s="278">
        <f t="shared" si="1307"/>
        <v>309142.62489600002</v>
      </c>
      <c r="Q834" s="278">
        <f t="shared" si="1307"/>
        <v>315325.47739392001</v>
      </c>
      <c r="R834" s="278">
        <f t="shared" si="1307"/>
        <v>321631.98694179842</v>
      </c>
      <c r="S834" s="278">
        <f t="shared" si="1307"/>
        <v>328064.62668063439</v>
      </c>
      <c r="T834" s="278">
        <f t="shared" si="1307"/>
        <v>334625.91921424709</v>
      </c>
      <c r="U834" s="278">
        <f t="shared" si="1307"/>
        <v>341318.43759853201</v>
      </c>
      <c r="V834" s="278">
        <f t="shared" si="1307"/>
        <v>348144.80635050265</v>
      </c>
    </row>
    <row r="835" spans="10:23">
      <c r="J835" s="269" t="s">
        <v>409</v>
      </c>
      <c r="K835" s="280"/>
      <c r="L835" s="278">
        <f>L834*$D$18</f>
        <v>57120</v>
      </c>
      <c r="M835" s="278">
        <f t="shared" ref="M835:V835" si="1308">M834*$D$18</f>
        <v>58262.400000000001</v>
      </c>
      <c r="N835" s="278">
        <f t="shared" si="1308"/>
        <v>59427.648000000001</v>
      </c>
      <c r="O835" s="278">
        <f t="shared" si="1308"/>
        <v>60616.200960000002</v>
      </c>
      <c r="P835" s="278">
        <f t="shared" si="1308"/>
        <v>61828.52497920001</v>
      </c>
      <c r="Q835" s="278">
        <f t="shared" si="1308"/>
        <v>63065.095478784002</v>
      </c>
      <c r="R835" s="278">
        <f t="shared" si="1308"/>
        <v>64326.397388359685</v>
      </c>
      <c r="S835" s="278">
        <f t="shared" si="1308"/>
        <v>65612.925336126878</v>
      </c>
      <c r="T835" s="278">
        <f t="shared" si="1308"/>
        <v>66925.183842849423</v>
      </c>
      <c r="U835" s="278">
        <f t="shared" si="1308"/>
        <v>68263.687519706407</v>
      </c>
      <c r="V835" s="278">
        <f t="shared" si="1308"/>
        <v>69628.961270100539</v>
      </c>
    </row>
    <row r="836" spans="10:23">
      <c r="J836" s="269" t="s">
        <v>410</v>
      </c>
      <c r="K836" s="281"/>
      <c r="L836" s="288">
        <f>1</f>
        <v>1</v>
      </c>
      <c r="M836" s="288">
        <f>L836*(1+$G$12)</f>
        <v>1.0147600000000001</v>
      </c>
      <c r="N836" s="288">
        <f t="shared" ref="N836:V836" si="1309">M836*(1+$G$12)</f>
        <v>1.0297378576000003</v>
      </c>
      <c r="O836" s="288">
        <f t="shared" si="1309"/>
        <v>1.0449367883781764</v>
      </c>
      <c r="P836" s="288">
        <f t="shared" si="1309"/>
        <v>1.0603600553746384</v>
      </c>
      <c r="Q836" s="288">
        <f t="shared" si="1309"/>
        <v>1.0760109697919682</v>
      </c>
      <c r="R836" s="288">
        <f t="shared" si="1309"/>
        <v>1.0918928917060977</v>
      </c>
      <c r="S836" s="288">
        <f t="shared" si="1309"/>
        <v>1.1080092307876799</v>
      </c>
      <c r="T836" s="288">
        <f t="shared" si="1309"/>
        <v>1.1243634470341062</v>
      </c>
      <c r="U836" s="288">
        <f t="shared" si="1309"/>
        <v>1.1409590515123298</v>
      </c>
      <c r="V836" s="288">
        <f t="shared" si="1309"/>
        <v>1.157799607112652</v>
      </c>
    </row>
    <row r="837" spans="10:23" ht="15.5">
      <c r="J837" s="270" t="s">
        <v>411</v>
      </c>
      <c r="K837" s="282"/>
      <c r="L837" s="273">
        <f>L835*L836</f>
        <v>57120</v>
      </c>
      <c r="M837" s="273">
        <f t="shared" ref="M837:V837" si="1310">M835*M836</f>
        <v>59122.353024000011</v>
      </c>
      <c r="N837" s="273">
        <f t="shared" si="1310"/>
        <v>61194.898933726938</v>
      </c>
      <c r="O837" s="273">
        <f t="shared" si="1310"/>
        <v>63340.098354828537</v>
      </c>
      <c r="P837" s="273">
        <f t="shared" si="1310"/>
        <v>65560.498170676743</v>
      </c>
      <c r="Q837" s="273">
        <f t="shared" si="1310"/>
        <v>67858.734546149441</v>
      </c>
      <c r="R837" s="273">
        <f t="shared" si="1310"/>
        <v>70237.536057411635</v>
      </c>
      <c r="S837" s="273">
        <f t="shared" si="1310"/>
        <v>72699.726931411409</v>
      </c>
      <c r="T837" s="273">
        <f t="shared" si="1310"/>
        <v>75248.230398937449</v>
      </c>
      <c r="U837" s="273">
        <f t="shared" si="1310"/>
        <v>77886.072165218284</v>
      </c>
      <c r="V837" s="273">
        <f t="shared" si="1310"/>
        <v>80616.384002184466</v>
      </c>
    </row>
    <row r="838" spans="10:23">
      <c r="J838" s="283" t="s">
        <v>34</v>
      </c>
      <c r="K838" s="274"/>
      <c r="L838" s="289">
        <f>$D$22</f>
        <v>0.1</v>
      </c>
      <c r="M838" s="289">
        <f>L838*(1+$G$12)</f>
        <v>0.10147600000000001</v>
      </c>
      <c r="N838" s="289">
        <f t="shared" ref="N838:V838" si="1311">M838*(1+$G$12)</f>
        <v>0.10297378576000002</v>
      </c>
      <c r="O838" s="289">
        <f t="shared" si="1311"/>
        <v>0.10449367883781763</v>
      </c>
      <c r="P838" s="289">
        <f t="shared" si="1311"/>
        <v>0.10603600553746383</v>
      </c>
      <c r="Q838" s="289">
        <f t="shared" si="1311"/>
        <v>0.1076010969791968</v>
      </c>
      <c r="R838" s="289">
        <f t="shared" si="1311"/>
        <v>0.10918928917060976</v>
      </c>
      <c r="S838" s="289">
        <f t="shared" si="1311"/>
        <v>0.11080092307876797</v>
      </c>
      <c r="T838" s="289">
        <f t="shared" si="1311"/>
        <v>0.1124363447034106</v>
      </c>
      <c r="U838" s="289">
        <f t="shared" si="1311"/>
        <v>0.11409590515123295</v>
      </c>
      <c r="V838" s="289">
        <f t="shared" si="1311"/>
        <v>0.11577996071126516</v>
      </c>
    </row>
    <row r="839" spans="10:23" ht="15.5">
      <c r="J839" s="270" t="s">
        <v>412</v>
      </c>
      <c r="K839" s="282"/>
      <c r="L839" s="273">
        <f>L835*L838</f>
        <v>5712</v>
      </c>
      <c r="M839" s="273">
        <f t="shared" ref="M839:V839" si="1312">M835*M838</f>
        <v>5912.2353024000004</v>
      </c>
      <c r="N839" s="273">
        <f t="shared" si="1312"/>
        <v>6119.4898933726936</v>
      </c>
      <c r="O839" s="273">
        <f t="shared" si="1312"/>
        <v>6334.0098354828524</v>
      </c>
      <c r="P839" s="273">
        <f t="shared" si="1312"/>
        <v>6556.0498170676728</v>
      </c>
      <c r="Q839" s="273">
        <f t="shared" si="1312"/>
        <v>6785.8734546149426</v>
      </c>
      <c r="R839" s="273">
        <f t="shared" si="1312"/>
        <v>7023.7536057411617</v>
      </c>
      <c r="S839" s="273">
        <f t="shared" si="1312"/>
        <v>7269.9726931411406</v>
      </c>
      <c r="T839" s="273">
        <f t="shared" si="1312"/>
        <v>7524.823039893743</v>
      </c>
      <c r="U839" s="273">
        <f t="shared" si="1312"/>
        <v>7788.6072165218266</v>
      </c>
      <c r="V839" s="273">
        <f t="shared" si="1312"/>
        <v>8061.6384002184441</v>
      </c>
    </row>
    <row r="840" spans="10:23">
      <c r="J840" s="285" t="s">
        <v>418</v>
      </c>
      <c r="K840" s="274"/>
      <c r="L840" s="274">
        <f>L837*0.03</f>
        <v>1713.6</v>
      </c>
      <c r="M840" s="274">
        <f t="shared" ref="M840:V840" si="1313">M837*0.03</f>
        <v>1773.6705907200003</v>
      </c>
      <c r="N840" s="274">
        <f t="shared" si="1313"/>
        <v>1835.846968011808</v>
      </c>
      <c r="O840" s="274">
        <f t="shared" si="1313"/>
        <v>1900.2029506448559</v>
      </c>
      <c r="P840" s="274">
        <f t="shared" si="1313"/>
        <v>1966.8149451203021</v>
      </c>
      <c r="Q840" s="274">
        <f t="shared" si="1313"/>
        <v>2035.7620363844831</v>
      </c>
      <c r="R840" s="274">
        <f t="shared" si="1313"/>
        <v>2107.1260817223488</v>
      </c>
      <c r="S840" s="274">
        <f t="shared" si="1313"/>
        <v>2180.9918079423423</v>
      </c>
      <c r="T840" s="274">
        <f t="shared" si="1313"/>
        <v>2257.4469119681235</v>
      </c>
      <c r="U840" s="274">
        <f t="shared" si="1313"/>
        <v>2336.5821649565482</v>
      </c>
      <c r="V840" s="274">
        <f t="shared" si="1313"/>
        <v>2418.4915200655337</v>
      </c>
    </row>
    <row r="841" spans="10:23">
      <c r="J841" s="285" t="s">
        <v>413</v>
      </c>
      <c r="K841" s="274"/>
      <c r="L841" s="284">
        <v>3000</v>
      </c>
      <c r="M841" s="274">
        <f>L841*(1+$G$12)</f>
        <v>3044.28</v>
      </c>
      <c r="N841" s="274">
        <f t="shared" ref="N841:V841" si="1314">M841*(1+$G$12)</f>
        <v>3089.2135728000007</v>
      </c>
      <c r="O841" s="274">
        <f t="shared" si="1314"/>
        <v>3134.8103651345291</v>
      </c>
      <c r="P841" s="274">
        <f t="shared" si="1314"/>
        <v>3181.0801661239152</v>
      </c>
      <c r="Q841" s="274">
        <f t="shared" si="1314"/>
        <v>3228.0329093759046</v>
      </c>
      <c r="R841" s="274">
        <f t="shared" si="1314"/>
        <v>3275.6786751182935</v>
      </c>
      <c r="S841" s="274">
        <f t="shared" si="1314"/>
        <v>3324.0276923630399</v>
      </c>
      <c r="T841" s="274">
        <f t="shared" si="1314"/>
        <v>3373.0903411023187</v>
      </c>
      <c r="U841" s="274">
        <f t="shared" si="1314"/>
        <v>3422.8771545369891</v>
      </c>
      <c r="V841" s="274">
        <f t="shared" si="1314"/>
        <v>3473.3988213379553</v>
      </c>
    </row>
    <row r="842" spans="10:23" ht="15.5">
      <c r="J842" s="270" t="s">
        <v>35</v>
      </c>
      <c r="K842" s="282"/>
      <c r="L842" s="273">
        <f>L840+L841</f>
        <v>4713.6000000000004</v>
      </c>
      <c r="M842" s="273">
        <f t="shared" ref="M842:V842" si="1315">M840+M841</f>
        <v>4817.95059072</v>
      </c>
      <c r="N842" s="273">
        <f t="shared" si="1315"/>
        <v>4925.060540811809</v>
      </c>
      <c r="O842" s="273">
        <f t="shared" si="1315"/>
        <v>5035.0133157793853</v>
      </c>
      <c r="P842" s="273">
        <f t="shared" si="1315"/>
        <v>5147.8951112442173</v>
      </c>
      <c r="Q842" s="273">
        <f t="shared" si="1315"/>
        <v>5263.7949457603881</v>
      </c>
      <c r="R842" s="273">
        <f t="shared" si="1315"/>
        <v>5382.8047568406419</v>
      </c>
      <c r="S842" s="273">
        <f t="shared" si="1315"/>
        <v>5505.0195003053823</v>
      </c>
      <c r="T842" s="273">
        <f t="shared" si="1315"/>
        <v>5630.5372530704426</v>
      </c>
      <c r="U842" s="273">
        <f t="shared" si="1315"/>
        <v>5759.4593194935369</v>
      </c>
      <c r="V842" s="273">
        <f t="shared" si="1315"/>
        <v>5891.8903414034885</v>
      </c>
    </row>
    <row r="843" spans="10:23">
      <c r="J843" s="286" t="s">
        <v>414</v>
      </c>
      <c r="K843" s="274"/>
      <c r="L843" s="274">
        <f>L837-L839-L842</f>
        <v>46694.400000000001</v>
      </c>
      <c r="M843" s="274">
        <f t="shared" ref="M843:V843" si="1316">M837-M839-M842</f>
        <v>48392.167130880007</v>
      </c>
      <c r="N843" s="274">
        <f t="shared" si="1316"/>
        <v>50150.348499542437</v>
      </c>
      <c r="O843" s="274">
        <f t="shared" si="1316"/>
        <v>51971.075203566303</v>
      </c>
      <c r="P843" s="274">
        <f t="shared" si="1316"/>
        <v>53856.553242364855</v>
      </c>
      <c r="Q843" s="274">
        <f t="shared" si="1316"/>
        <v>55809.066145774108</v>
      </c>
      <c r="R843" s="274">
        <f t="shared" si="1316"/>
        <v>57830.977694829831</v>
      </c>
      <c r="S843" s="274">
        <f t="shared" si="1316"/>
        <v>59924.734737964885</v>
      </c>
      <c r="T843" s="274">
        <f t="shared" si="1316"/>
        <v>62092.870105973263</v>
      </c>
      <c r="U843" s="274">
        <f t="shared" si="1316"/>
        <v>64338.005629202926</v>
      </c>
      <c r="V843" s="274">
        <f t="shared" si="1316"/>
        <v>66662.85526056253</v>
      </c>
    </row>
    <row r="844" spans="10:23">
      <c r="J844" s="286" t="s">
        <v>415</v>
      </c>
      <c r="K844" s="274"/>
      <c r="L844" s="274">
        <f>L843*$G$13</f>
        <v>18677.760000000002</v>
      </c>
      <c r="M844" s="274">
        <f t="shared" ref="M844:Q844" si="1317">M843*$G$13</f>
        <v>19356.866852352003</v>
      </c>
      <c r="N844" s="274">
        <f t="shared" si="1317"/>
        <v>20060.139399816977</v>
      </c>
      <c r="O844" s="274">
        <f t="shared" si="1317"/>
        <v>20788.430081426523</v>
      </c>
      <c r="P844" s="274">
        <f t="shared" si="1317"/>
        <v>21542.621296945945</v>
      </c>
      <c r="Q844" s="274">
        <f t="shared" si="1317"/>
        <v>22323.626458309645</v>
      </c>
      <c r="R844" s="274">
        <f>R843*$G$13</f>
        <v>23132.391077931934</v>
      </c>
      <c r="S844" s="274">
        <f t="shared" ref="S844:V844" si="1318">S843*$G$13</f>
        <v>23969.893895185956</v>
      </c>
      <c r="T844" s="274">
        <f t="shared" si="1318"/>
        <v>24837.148042389308</v>
      </c>
      <c r="U844" s="274">
        <f t="shared" si="1318"/>
        <v>25735.20225168117</v>
      </c>
      <c r="V844" s="274">
        <f t="shared" si="1318"/>
        <v>26665.142104225015</v>
      </c>
    </row>
    <row r="845" spans="10:23" ht="15.5">
      <c r="J845" s="270" t="s">
        <v>358</v>
      </c>
      <c r="K845" s="272"/>
      <c r="L845" s="273">
        <f>L843-L844</f>
        <v>28016.639999999999</v>
      </c>
      <c r="M845" s="273">
        <f t="shared" ref="M845:V845" si="1319">M843-M844</f>
        <v>29035.300278528004</v>
      </c>
      <c r="N845" s="273">
        <f t="shared" si="1319"/>
        <v>30090.20909972546</v>
      </c>
      <c r="O845" s="273">
        <f t="shared" si="1319"/>
        <v>31182.64512213978</v>
      </c>
      <c r="P845" s="273">
        <f t="shared" si="1319"/>
        <v>32313.93194541891</v>
      </c>
      <c r="Q845" s="273">
        <f t="shared" si="1319"/>
        <v>33485.439687464459</v>
      </c>
      <c r="R845" s="273">
        <f t="shared" si="1319"/>
        <v>34698.586616897897</v>
      </c>
      <c r="S845" s="273">
        <f t="shared" si="1319"/>
        <v>35954.840842778925</v>
      </c>
      <c r="T845" s="273">
        <f t="shared" si="1319"/>
        <v>37255.722063583955</v>
      </c>
      <c r="U845" s="273">
        <f t="shared" si="1319"/>
        <v>38602.803377521755</v>
      </c>
      <c r="V845" s="273">
        <f t="shared" si="1319"/>
        <v>39997.713156337515</v>
      </c>
    </row>
    <row r="846" spans="10:23" ht="15.5">
      <c r="J846" s="270" t="s">
        <v>419</v>
      </c>
      <c r="K846" s="272"/>
      <c r="L846" s="273">
        <f>M837*$G$14</f>
        <v>9853.7255040000018</v>
      </c>
      <c r="M846" s="273">
        <f t="shared" ref="M846:V846" si="1320">N837*$G$14</f>
        <v>10199.149822287822</v>
      </c>
      <c r="N846" s="273">
        <f t="shared" si="1320"/>
        <v>10556.683059138089</v>
      </c>
      <c r="O846" s="273">
        <f t="shared" si="1320"/>
        <v>10926.749695112791</v>
      </c>
      <c r="P846" s="273">
        <f t="shared" si="1320"/>
        <v>11309.789091024906</v>
      </c>
      <c r="Q846" s="273">
        <f t="shared" si="1320"/>
        <v>11706.256009568606</v>
      </c>
      <c r="R846" s="273">
        <f t="shared" si="1320"/>
        <v>12116.621155235234</v>
      </c>
      <c r="S846" s="273">
        <f t="shared" si="1320"/>
        <v>12541.37173315624</v>
      </c>
      <c r="T846" s="273">
        <f t="shared" si="1320"/>
        <v>12981.012027536381</v>
      </c>
      <c r="U846" s="273">
        <f t="shared" si="1320"/>
        <v>13436.064000364076</v>
      </c>
      <c r="V846" s="273">
        <f t="shared" si="1320"/>
        <v>0</v>
      </c>
    </row>
    <row r="847" spans="10:23" ht="16" thickBot="1">
      <c r="J847" s="270" t="s">
        <v>416</v>
      </c>
      <c r="K847" s="290">
        <f>L837*$G$14</f>
        <v>9520</v>
      </c>
      <c r="L847" s="273">
        <f>L846-K847</f>
        <v>333.72550400000182</v>
      </c>
      <c r="M847" s="273">
        <f>M846-L846</f>
        <v>345.42431828781991</v>
      </c>
      <c r="N847" s="273">
        <f t="shared" ref="N847:V847" si="1321">N846-M846</f>
        <v>357.53323685026771</v>
      </c>
      <c r="O847" s="273">
        <f t="shared" si="1321"/>
        <v>370.06663597470106</v>
      </c>
      <c r="P847" s="273">
        <f t="shared" si="1321"/>
        <v>383.03939591211565</v>
      </c>
      <c r="Q847" s="273">
        <f t="shared" si="1321"/>
        <v>396.46691854369965</v>
      </c>
      <c r="R847" s="273">
        <f t="shared" si="1321"/>
        <v>410.36514566662845</v>
      </c>
      <c r="S847" s="273">
        <f t="shared" si="1321"/>
        <v>424.75057792100597</v>
      </c>
      <c r="T847" s="273">
        <f t="shared" si="1321"/>
        <v>439.6402943801404</v>
      </c>
      <c r="U847" s="273">
        <f t="shared" si="1321"/>
        <v>455.05197282769586</v>
      </c>
      <c r="V847" s="273">
        <f t="shared" si="1321"/>
        <v>-13436.064000364076</v>
      </c>
    </row>
    <row r="848" spans="10:23" ht="15.5">
      <c r="J848" s="271" t="s">
        <v>417</v>
      </c>
      <c r="K848" s="275">
        <f>K845-K847</f>
        <v>-9520</v>
      </c>
      <c r="L848" s="275">
        <f>L845-L847</f>
        <v>27682.914495999998</v>
      </c>
      <c r="M848" s="275">
        <f>M845-M847</f>
        <v>28689.875960240184</v>
      </c>
      <c r="N848" s="275">
        <f t="shared" ref="N848:V848" si="1322">N845-N847</f>
        <v>29732.675862875192</v>
      </c>
      <c r="O848" s="275">
        <f t="shared" si="1322"/>
        <v>30812.578486165079</v>
      </c>
      <c r="P848" s="275">
        <f t="shared" si="1322"/>
        <v>31930.892549506796</v>
      </c>
      <c r="Q848" s="275">
        <f t="shared" si="1322"/>
        <v>33088.972768920758</v>
      </c>
      <c r="R848" s="275">
        <f t="shared" si="1322"/>
        <v>34288.221471231271</v>
      </c>
      <c r="S848" s="275">
        <f t="shared" si="1322"/>
        <v>35530.090264857921</v>
      </c>
      <c r="T848" s="275">
        <f t="shared" si="1322"/>
        <v>36816.081769203811</v>
      </c>
      <c r="U848" s="275">
        <f t="shared" si="1322"/>
        <v>38147.751404694063</v>
      </c>
      <c r="V848" s="275">
        <f t="shared" si="1322"/>
        <v>53433.777156701588</v>
      </c>
      <c r="W848" s="295" t="s">
        <v>360</v>
      </c>
    </row>
    <row r="849" spans="10:23" ht="16" thickBot="1">
      <c r="J849" s="271" t="s">
        <v>367</v>
      </c>
      <c r="K849" s="291">
        <f>K848/(1+$G$16)^(K832-$G$15)</f>
        <v>-6215.8698564533825</v>
      </c>
      <c r="L849" s="291">
        <f>L848/(1+$G$16)^(L832-$G$15)</f>
        <v>16247.742103841892</v>
      </c>
      <c r="M849" s="291">
        <f t="shared" ref="M849:V849" si="1323">M848/(1+$G$16)^(M832-$G$15)</f>
        <v>15136.522730687317</v>
      </c>
      <c r="N849" s="291">
        <f t="shared" si="1323"/>
        <v>14100.92765001628</v>
      </c>
      <c r="O849" s="291">
        <f t="shared" si="1323"/>
        <v>13135.843691274886</v>
      </c>
      <c r="P849" s="291">
        <f t="shared" si="1323"/>
        <v>12236.500395576335</v>
      </c>
      <c r="Q849" s="291">
        <f t="shared" si="1323"/>
        <v>11398.447316856462</v>
      </c>
      <c r="R849" s="291">
        <f t="shared" si="1323"/>
        <v>10617.532801691461</v>
      </c>
      <c r="S849" s="291">
        <f t="shared" si="1323"/>
        <v>9889.8841537372482</v>
      </c>
      <c r="T849" s="291">
        <f t="shared" si="1323"/>
        <v>9211.8890945170187</v>
      </c>
      <c r="U849" s="291">
        <f t="shared" si="1323"/>
        <v>8580.1784377165168</v>
      </c>
      <c r="V849" s="291">
        <f t="shared" si="1323"/>
        <v>10803.376011581917</v>
      </c>
      <c r="W849" s="294">
        <f>SUM(K849:V849)</f>
        <v>125142.97453104395</v>
      </c>
    </row>
    <row r="856" spans="10:23">
      <c r="J856">
        <v>1113322</v>
      </c>
    </row>
    <row r="858" spans="10:23" ht="15.5">
      <c r="J858" s="276" t="s">
        <v>407</v>
      </c>
      <c r="K858" s="276">
        <v>2013</v>
      </c>
      <c r="L858" s="276">
        <v>2014</v>
      </c>
      <c r="M858" s="276">
        <v>2015</v>
      </c>
      <c r="N858" s="276">
        <v>2016</v>
      </c>
      <c r="O858" s="276">
        <v>2017</v>
      </c>
      <c r="P858" s="276">
        <v>2018</v>
      </c>
      <c r="Q858" s="276">
        <v>2019</v>
      </c>
      <c r="R858" s="276">
        <v>2020</v>
      </c>
      <c r="S858" s="276">
        <v>2021</v>
      </c>
      <c r="T858" s="276">
        <v>2022</v>
      </c>
      <c r="U858" s="276">
        <v>2023</v>
      </c>
      <c r="V858" s="276">
        <v>2024</v>
      </c>
    </row>
    <row r="859" spans="10:23">
      <c r="J859" s="269" t="s">
        <v>33</v>
      </c>
      <c r="K859" s="277">
        <f>Données!$C$5</f>
        <v>560000</v>
      </c>
      <c r="L859" s="278">
        <f>K859*(1+$D$13)</f>
        <v>565600</v>
      </c>
      <c r="M859" s="278">
        <f t="shared" ref="M859:V859" si="1324">L859*(1+$D$13)</f>
        <v>571256</v>
      </c>
      <c r="N859" s="278">
        <f t="shared" si="1324"/>
        <v>576968.56000000006</v>
      </c>
      <c r="O859" s="278">
        <f t="shared" si="1324"/>
        <v>582738.24560000002</v>
      </c>
      <c r="P859" s="278">
        <f t="shared" si="1324"/>
        <v>588565.62805599999</v>
      </c>
      <c r="Q859" s="278">
        <f t="shared" si="1324"/>
        <v>594451.28433655994</v>
      </c>
      <c r="R859" s="278">
        <f t="shared" si="1324"/>
        <v>600395.79717992549</v>
      </c>
      <c r="S859" s="278">
        <f t="shared" si="1324"/>
        <v>606399.75515172479</v>
      </c>
      <c r="T859" s="278">
        <f t="shared" si="1324"/>
        <v>612463.752703242</v>
      </c>
      <c r="U859" s="278">
        <f t="shared" si="1324"/>
        <v>618588.39023027441</v>
      </c>
      <c r="V859" s="278">
        <f t="shared" si="1324"/>
        <v>624774.27413257712</v>
      </c>
    </row>
    <row r="860" spans="10:23">
      <c r="J860" s="269" t="s">
        <v>408</v>
      </c>
      <c r="K860" s="279"/>
      <c r="L860" s="278">
        <f>L859*$D$15</f>
        <v>282800</v>
      </c>
      <c r="M860" s="278">
        <f t="shared" ref="M860:V860" si="1325">M859*$D$15</f>
        <v>285628</v>
      </c>
      <c r="N860" s="278">
        <f t="shared" si="1325"/>
        <v>288484.28000000003</v>
      </c>
      <c r="O860" s="278">
        <f t="shared" si="1325"/>
        <v>291369.12280000001</v>
      </c>
      <c r="P860" s="278">
        <f t="shared" si="1325"/>
        <v>294282.81402799999</v>
      </c>
      <c r="Q860" s="278">
        <f t="shared" si="1325"/>
        <v>297225.64216827997</v>
      </c>
      <c r="R860" s="278">
        <f t="shared" si="1325"/>
        <v>300197.89858996274</v>
      </c>
      <c r="S860" s="278">
        <f t="shared" si="1325"/>
        <v>303199.8775758624</v>
      </c>
      <c r="T860" s="278">
        <f t="shared" si="1325"/>
        <v>306231.876351621</v>
      </c>
      <c r="U860" s="278">
        <f t="shared" si="1325"/>
        <v>309294.1951151372</v>
      </c>
      <c r="V860" s="278">
        <f t="shared" si="1325"/>
        <v>312387.13706628856</v>
      </c>
    </row>
    <row r="861" spans="10:23">
      <c r="J861" s="269" t="s">
        <v>409</v>
      </c>
      <c r="K861" s="280"/>
      <c r="L861" s="278">
        <f>L860*$D$18</f>
        <v>56560</v>
      </c>
      <c r="M861" s="278">
        <f t="shared" ref="M861:V861" si="1326">M860*$D$18</f>
        <v>57125.600000000006</v>
      </c>
      <c r="N861" s="278">
        <f t="shared" si="1326"/>
        <v>57696.856000000007</v>
      </c>
      <c r="O861" s="278">
        <f t="shared" si="1326"/>
        <v>58273.824560000008</v>
      </c>
      <c r="P861" s="278">
        <f t="shared" si="1326"/>
        <v>58856.562805599999</v>
      </c>
      <c r="Q861" s="278">
        <f t="shared" si="1326"/>
        <v>59445.128433655998</v>
      </c>
      <c r="R861" s="278">
        <f t="shared" si="1326"/>
        <v>60039.57971799255</v>
      </c>
      <c r="S861" s="278">
        <f t="shared" si="1326"/>
        <v>60639.975515172482</v>
      </c>
      <c r="T861" s="278">
        <f t="shared" si="1326"/>
        <v>61246.375270324206</v>
      </c>
      <c r="U861" s="278">
        <f t="shared" si="1326"/>
        <v>61858.839023027445</v>
      </c>
      <c r="V861" s="278">
        <f t="shared" si="1326"/>
        <v>62477.427413257712</v>
      </c>
    </row>
    <row r="862" spans="10:23">
      <c r="J862" s="269" t="s">
        <v>410</v>
      </c>
      <c r="K862" s="281"/>
      <c r="L862" s="288">
        <f>1</f>
        <v>1</v>
      </c>
      <c r="M862" s="288">
        <f>L862*(1+$G$12)</f>
        <v>1.0147600000000001</v>
      </c>
      <c r="N862" s="288">
        <f t="shared" ref="N862:V862" si="1327">M862*(1+$G$12)</f>
        <v>1.0297378576000003</v>
      </c>
      <c r="O862" s="288">
        <f t="shared" si="1327"/>
        <v>1.0449367883781764</v>
      </c>
      <c r="P862" s="288">
        <f t="shared" si="1327"/>
        <v>1.0603600553746384</v>
      </c>
      <c r="Q862" s="288">
        <f t="shared" si="1327"/>
        <v>1.0760109697919682</v>
      </c>
      <c r="R862" s="288">
        <f t="shared" si="1327"/>
        <v>1.0918928917060977</v>
      </c>
      <c r="S862" s="288">
        <f t="shared" si="1327"/>
        <v>1.1080092307876799</v>
      </c>
      <c r="T862" s="288">
        <f t="shared" si="1327"/>
        <v>1.1243634470341062</v>
      </c>
      <c r="U862" s="288">
        <f t="shared" si="1327"/>
        <v>1.1409590515123298</v>
      </c>
      <c r="V862" s="288">
        <f t="shared" si="1327"/>
        <v>1.157799607112652</v>
      </c>
    </row>
    <row r="863" spans="10:23" ht="15.5">
      <c r="J863" s="270" t="s">
        <v>411</v>
      </c>
      <c r="K863" s="282"/>
      <c r="L863" s="273">
        <f>L861*L862</f>
        <v>56560</v>
      </c>
      <c r="M863" s="273">
        <f t="shared" ref="M863:V863" si="1328">M861*M862</f>
        <v>57968.773856000014</v>
      </c>
      <c r="N863" s="273">
        <f t="shared" si="1328"/>
        <v>59412.636887695728</v>
      </c>
      <c r="O863" s="273">
        <f t="shared" si="1328"/>
        <v>60892.463082239708</v>
      </c>
      <c r="P863" s="273">
        <f t="shared" si="1328"/>
        <v>62409.148195706897</v>
      </c>
      <c r="Q863" s="273">
        <f t="shared" si="1328"/>
        <v>63963.610295306295</v>
      </c>
      <c r="R863" s="273">
        <f t="shared" si="1328"/>
        <v>65556.790315097664</v>
      </c>
      <c r="S863" s="273">
        <f t="shared" si="1328"/>
        <v>67189.652625550007</v>
      </c>
      <c r="T863" s="273">
        <f t="shared" si="1328"/>
        <v>68863.185617286159</v>
      </c>
      <c r="U863" s="273">
        <f t="shared" si="1328"/>
        <v>70578.402299367284</v>
      </c>
      <c r="V863" s="273">
        <f t="shared" si="1328"/>
        <v>72336.340912479005</v>
      </c>
    </row>
    <row r="864" spans="10:23">
      <c r="J864" s="283" t="s">
        <v>34</v>
      </c>
      <c r="K864" s="274"/>
      <c r="L864" s="289">
        <f>$D$22</f>
        <v>0.1</v>
      </c>
      <c r="M864" s="289">
        <f>L864*(1+$G$12)</f>
        <v>0.10147600000000001</v>
      </c>
      <c r="N864" s="289">
        <f t="shared" ref="N864:V864" si="1329">M864*(1+$G$12)</f>
        <v>0.10297378576000002</v>
      </c>
      <c r="O864" s="289">
        <f t="shared" si="1329"/>
        <v>0.10449367883781763</v>
      </c>
      <c r="P864" s="289">
        <f t="shared" si="1329"/>
        <v>0.10603600553746383</v>
      </c>
      <c r="Q864" s="289">
        <f t="shared" si="1329"/>
        <v>0.1076010969791968</v>
      </c>
      <c r="R864" s="289">
        <f t="shared" si="1329"/>
        <v>0.10918928917060976</v>
      </c>
      <c r="S864" s="289">
        <f t="shared" si="1329"/>
        <v>0.11080092307876797</v>
      </c>
      <c r="T864" s="289">
        <f t="shared" si="1329"/>
        <v>0.1124363447034106</v>
      </c>
      <c r="U864" s="289">
        <f t="shared" si="1329"/>
        <v>0.11409590515123295</v>
      </c>
      <c r="V864" s="289">
        <f t="shared" si="1329"/>
        <v>0.11577996071126516</v>
      </c>
    </row>
    <row r="865" spans="10:23" ht="15.5">
      <c r="J865" s="270" t="s">
        <v>412</v>
      </c>
      <c r="K865" s="282"/>
      <c r="L865" s="273">
        <f>L861*L864</f>
        <v>5656</v>
      </c>
      <c r="M865" s="273">
        <f t="shared" ref="M865:V865" si="1330">M861*M864</f>
        <v>5796.8773856000016</v>
      </c>
      <c r="N865" s="273">
        <f t="shared" si="1330"/>
        <v>5941.2636887695726</v>
      </c>
      <c r="O865" s="273">
        <f t="shared" si="1330"/>
        <v>6089.2463082239701</v>
      </c>
      <c r="P865" s="273">
        <f t="shared" si="1330"/>
        <v>6240.9148195706894</v>
      </c>
      <c r="Q865" s="273">
        <f t="shared" si="1330"/>
        <v>6396.361029530628</v>
      </c>
      <c r="R865" s="273">
        <f t="shared" si="1330"/>
        <v>6555.6790315097651</v>
      </c>
      <c r="S865" s="273">
        <f t="shared" si="1330"/>
        <v>6718.9652625549998</v>
      </c>
      <c r="T865" s="273">
        <f t="shared" si="1330"/>
        <v>6886.3185617286154</v>
      </c>
      <c r="U865" s="273">
        <f t="shared" si="1330"/>
        <v>7057.8402299367272</v>
      </c>
      <c r="V865" s="273">
        <f t="shared" si="1330"/>
        <v>7233.6340912478991</v>
      </c>
    </row>
    <row r="866" spans="10:23">
      <c r="J866" s="285" t="s">
        <v>418</v>
      </c>
      <c r="K866" s="274"/>
      <c r="L866" s="274">
        <f>L863*0.03</f>
        <v>1696.8</v>
      </c>
      <c r="M866" s="274">
        <f t="shared" ref="M866:V866" si="1331">M863*0.03</f>
        <v>1739.0632156800004</v>
      </c>
      <c r="N866" s="274">
        <f t="shared" si="1331"/>
        <v>1782.3791066308718</v>
      </c>
      <c r="O866" s="274">
        <f t="shared" si="1331"/>
        <v>1826.7738924671912</v>
      </c>
      <c r="P866" s="274">
        <f t="shared" si="1331"/>
        <v>1872.2744458712068</v>
      </c>
      <c r="Q866" s="274">
        <f t="shared" si="1331"/>
        <v>1918.9083088591888</v>
      </c>
      <c r="R866" s="274">
        <f t="shared" si="1331"/>
        <v>1966.7037094529298</v>
      </c>
      <c r="S866" s="274">
        <f t="shared" si="1331"/>
        <v>2015.6895787665001</v>
      </c>
      <c r="T866" s="274">
        <f t="shared" si="1331"/>
        <v>2065.8955685185847</v>
      </c>
      <c r="U866" s="274">
        <f t="shared" si="1331"/>
        <v>2117.3520689810184</v>
      </c>
      <c r="V866" s="274">
        <f t="shared" si="1331"/>
        <v>2170.09022737437</v>
      </c>
    </row>
    <row r="867" spans="10:23">
      <c r="J867" s="285" t="s">
        <v>413</v>
      </c>
      <c r="K867" s="274"/>
      <c r="L867" s="284">
        <v>3000</v>
      </c>
      <c r="M867" s="274">
        <f>L867*(1+$G$12)</f>
        <v>3044.28</v>
      </c>
      <c r="N867" s="274">
        <f t="shared" ref="N867:V867" si="1332">M867*(1+$G$12)</f>
        <v>3089.2135728000007</v>
      </c>
      <c r="O867" s="274">
        <f t="shared" si="1332"/>
        <v>3134.8103651345291</v>
      </c>
      <c r="P867" s="274">
        <f t="shared" si="1332"/>
        <v>3181.0801661239152</v>
      </c>
      <c r="Q867" s="274">
        <f t="shared" si="1332"/>
        <v>3228.0329093759046</v>
      </c>
      <c r="R867" s="274">
        <f t="shared" si="1332"/>
        <v>3275.6786751182935</v>
      </c>
      <c r="S867" s="274">
        <f t="shared" si="1332"/>
        <v>3324.0276923630399</v>
      </c>
      <c r="T867" s="274">
        <f t="shared" si="1332"/>
        <v>3373.0903411023187</v>
      </c>
      <c r="U867" s="274">
        <f t="shared" si="1332"/>
        <v>3422.8771545369891</v>
      </c>
      <c r="V867" s="274">
        <f t="shared" si="1332"/>
        <v>3473.3988213379553</v>
      </c>
    </row>
    <row r="868" spans="10:23" ht="15.5">
      <c r="J868" s="270" t="s">
        <v>35</v>
      </c>
      <c r="K868" s="282"/>
      <c r="L868" s="273">
        <f>L866+L867</f>
        <v>4696.8</v>
      </c>
      <c r="M868" s="273">
        <f t="shared" ref="M868:V868" si="1333">M866+M867</f>
        <v>4783.3432156800009</v>
      </c>
      <c r="N868" s="273">
        <f t="shared" si="1333"/>
        <v>4871.5926794308725</v>
      </c>
      <c r="O868" s="273">
        <f t="shared" si="1333"/>
        <v>4961.5842576017203</v>
      </c>
      <c r="P868" s="273">
        <f t="shared" si="1333"/>
        <v>5053.3546119951225</v>
      </c>
      <c r="Q868" s="273">
        <f t="shared" si="1333"/>
        <v>5146.9412182350934</v>
      </c>
      <c r="R868" s="273">
        <f t="shared" si="1333"/>
        <v>5242.3823845712232</v>
      </c>
      <c r="S868" s="273">
        <f t="shared" si="1333"/>
        <v>5339.7172711295398</v>
      </c>
      <c r="T868" s="273">
        <f t="shared" si="1333"/>
        <v>5438.9859096209038</v>
      </c>
      <c r="U868" s="273">
        <f t="shared" si="1333"/>
        <v>5540.2292235180075</v>
      </c>
      <c r="V868" s="273">
        <f t="shared" si="1333"/>
        <v>5643.4890487123248</v>
      </c>
    </row>
    <row r="869" spans="10:23">
      <c r="J869" s="286" t="s">
        <v>414</v>
      </c>
      <c r="K869" s="274"/>
      <c r="L869" s="274">
        <f>L863-L865-L868</f>
        <v>46207.199999999997</v>
      </c>
      <c r="M869" s="274">
        <f t="shared" ref="M869:V869" si="1334">M863-M865-M868</f>
        <v>47388.553254720013</v>
      </c>
      <c r="N869" s="274">
        <f t="shared" si="1334"/>
        <v>48599.780519495282</v>
      </c>
      <c r="O869" s="274">
        <f t="shared" si="1334"/>
        <v>49841.632516414014</v>
      </c>
      <c r="P869" s="274">
        <f t="shared" si="1334"/>
        <v>51114.878764141089</v>
      </c>
      <c r="Q869" s="274">
        <f t="shared" si="1334"/>
        <v>52420.308047540573</v>
      </c>
      <c r="R869" s="274">
        <f t="shared" si="1334"/>
        <v>53758.728899016671</v>
      </c>
      <c r="S869" s="274">
        <f t="shared" si="1334"/>
        <v>55130.970091865463</v>
      </c>
      <c r="T869" s="274">
        <f t="shared" si="1334"/>
        <v>56537.881145936641</v>
      </c>
      <c r="U869" s="274">
        <f t="shared" si="1334"/>
        <v>57980.332845912548</v>
      </c>
      <c r="V869" s="274">
        <f t="shared" si="1334"/>
        <v>59459.217772518779</v>
      </c>
    </row>
    <row r="870" spans="10:23">
      <c r="J870" s="286" t="s">
        <v>415</v>
      </c>
      <c r="K870" s="274"/>
      <c r="L870" s="274">
        <f>L869*$G$13</f>
        <v>18482.88</v>
      </c>
      <c r="M870" s="274">
        <f t="shared" ref="M870:Q870" si="1335">M869*$G$13</f>
        <v>18955.421301888007</v>
      </c>
      <c r="N870" s="274">
        <f t="shared" si="1335"/>
        <v>19439.912207798112</v>
      </c>
      <c r="O870" s="274">
        <f t="shared" si="1335"/>
        <v>19936.653006565608</v>
      </c>
      <c r="P870" s="274">
        <f t="shared" si="1335"/>
        <v>20445.951505656438</v>
      </c>
      <c r="Q870" s="274">
        <f t="shared" si="1335"/>
        <v>20968.12321901623</v>
      </c>
      <c r="R870" s="274">
        <f>R869*$G$13</f>
        <v>21503.491559606671</v>
      </c>
      <c r="S870" s="274">
        <f t="shared" ref="S870:V870" si="1336">S869*$G$13</f>
        <v>22052.388036746186</v>
      </c>
      <c r="T870" s="274">
        <f t="shared" si="1336"/>
        <v>22615.152458374658</v>
      </c>
      <c r="U870" s="274">
        <f t="shared" si="1336"/>
        <v>23192.133138365021</v>
      </c>
      <c r="V870" s="274">
        <f t="shared" si="1336"/>
        <v>23783.687109007515</v>
      </c>
    </row>
    <row r="871" spans="10:23" ht="15.5">
      <c r="J871" s="270" t="s">
        <v>358</v>
      </c>
      <c r="K871" s="272"/>
      <c r="L871" s="273">
        <f>L869-L870</f>
        <v>27724.319999999996</v>
      </c>
      <c r="M871" s="273">
        <f t="shared" ref="M871:V871" si="1337">M869-M870</f>
        <v>28433.131952832005</v>
      </c>
      <c r="N871" s="273">
        <f t="shared" si="1337"/>
        <v>29159.86831169717</v>
      </c>
      <c r="O871" s="273">
        <f t="shared" si="1337"/>
        <v>29904.979509848406</v>
      </c>
      <c r="P871" s="273">
        <f t="shared" si="1337"/>
        <v>30668.927258484651</v>
      </c>
      <c r="Q871" s="273">
        <f t="shared" si="1337"/>
        <v>31452.184828524343</v>
      </c>
      <c r="R871" s="273">
        <f t="shared" si="1337"/>
        <v>32255.23733941</v>
      </c>
      <c r="S871" s="273">
        <f t="shared" si="1337"/>
        <v>33078.582055119274</v>
      </c>
      <c r="T871" s="273">
        <f t="shared" si="1337"/>
        <v>33922.728687561983</v>
      </c>
      <c r="U871" s="273">
        <f t="shared" si="1337"/>
        <v>34788.199707547523</v>
      </c>
      <c r="V871" s="273">
        <f t="shared" si="1337"/>
        <v>35675.530663511265</v>
      </c>
    </row>
    <row r="872" spans="10:23" ht="15.5">
      <c r="J872" s="270" t="s">
        <v>419</v>
      </c>
      <c r="K872" s="272"/>
      <c r="L872" s="273">
        <f>M863*$G$14</f>
        <v>9661.4623093333357</v>
      </c>
      <c r="M872" s="273">
        <f t="shared" ref="M872:V872" si="1338">N863*$G$14</f>
        <v>9902.1061479492873</v>
      </c>
      <c r="N872" s="273">
        <f t="shared" si="1338"/>
        <v>10148.74384703995</v>
      </c>
      <c r="O872" s="273">
        <f t="shared" si="1338"/>
        <v>10401.524699284482</v>
      </c>
      <c r="P872" s="273">
        <f t="shared" si="1338"/>
        <v>10660.601715884382</v>
      </c>
      <c r="Q872" s="273">
        <f t="shared" si="1338"/>
        <v>10926.131719182944</v>
      </c>
      <c r="R872" s="273">
        <f t="shared" si="1338"/>
        <v>11198.275437591667</v>
      </c>
      <c r="S872" s="273">
        <f t="shared" si="1338"/>
        <v>11477.197602881026</v>
      </c>
      <c r="T872" s="273">
        <f t="shared" si="1338"/>
        <v>11763.067049894547</v>
      </c>
      <c r="U872" s="273">
        <f t="shared" si="1338"/>
        <v>12056.0568187465</v>
      </c>
      <c r="V872" s="273">
        <f t="shared" si="1338"/>
        <v>0</v>
      </c>
    </row>
    <row r="873" spans="10:23" ht="16" thickBot="1">
      <c r="J873" s="270" t="s">
        <v>416</v>
      </c>
      <c r="K873" s="290">
        <f>L863*$G$14</f>
        <v>9426.6666666666661</v>
      </c>
      <c r="L873" s="273">
        <f>L872-K873</f>
        <v>234.79564266666966</v>
      </c>
      <c r="M873" s="273">
        <f>M872-L872</f>
        <v>240.64383861595161</v>
      </c>
      <c r="N873" s="273">
        <f t="shared" ref="N873:V873" si="1339">N872-M872</f>
        <v>246.63769909066286</v>
      </c>
      <c r="O873" s="273">
        <f t="shared" si="1339"/>
        <v>252.78085224453207</v>
      </c>
      <c r="P873" s="273">
        <f t="shared" si="1339"/>
        <v>259.07701659990016</v>
      </c>
      <c r="Q873" s="273">
        <f t="shared" si="1339"/>
        <v>265.5300032985615</v>
      </c>
      <c r="R873" s="273">
        <f t="shared" si="1339"/>
        <v>272.14371840872263</v>
      </c>
      <c r="S873" s="273">
        <f t="shared" si="1339"/>
        <v>278.92216528935933</v>
      </c>
      <c r="T873" s="273">
        <f t="shared" si="1339"/>
        <v>285.86944701352149</v>
      </c>
      <c r="U873" s="273">
        <f t="shared" si="1339"/>
        <v>292.98976885195225</v>
      </c>
      <c r="V873" s="273">
        <f t="shared" si="1339"/>
        <v>-12056.0568187465</v>
      </c>
    </row>
    <row r="874" spans="10:23" ht="15.5">
      <c r="J874" s="271" t="s">
        <v>417</v>
      </c>
      <c r="K874" s="275">
        <f>K871-K873</f>
        <v>-9426.6666666666661</v>
      </c>
      <c r="L874" s="275">
        <f>L871-L873</f>
        <v>27489.524357333328</v>
      </c>
      <c r="M874" s="275">
        <f>M871-M873</f>
        <v>28192.488114216052</v>
      </c>
      <c r="N874" s="275">
        <f t="shared" ref="N874:V874" si="1340">N871-N873</f>
        <v>28913.230612606509</v>
      </c>
      <c r="O874" s="275">
        <f t="shared" si="1340"/>
        <v>29652.198657603876</v>
      </c>
      <c r="P874" s="275">
        <f t="shared" si="1340"/>
        <v>30409.850241884749</v>
      </c>
      <c r="Q874" s="275">
        <f t="shared" si="1340"/>
        <v>31186.654825225782</v>
      </c>
      <c r="R874" s="275">
        <f t="shared" si="1340"/>
        <v>31983.093621001277</v>
      </c>
      <c r="S874" s="275">
        <f t="shared" si="1340"/>
        <v>32799.659889829913</v>
      </c>
      <c r="T874" s="275">
        <f t="shared" si="1340"/>
        <v>33636.85924054846</v>
      </c>
      <c r="U874" s="275">
        <f t="shared" si="1340"/>
        <v>34495.209938695567</v>
      </c>
      <c r="V874" s="275">
        <f t="shared" si="1340"/>
        <v>47731.587482257761</v>
      </c>
      <c r="W874" s="295" t="s">
        <v>360</v>
      </c>
    </row>
    <row r="875" spans="10:23" ht="16" thickBot="1">
      <c r="J875" s="271" t="s">
        <v>367</v>
      </c>
      <c r="K875" s="291">
        <f>K874/(1+$G$16)^(K858-$G$15)</f>
        <v>-6154.9299558999173</v>
      </c>
      <c r="L875" s="291">
        <f>L874/(1+$G$16)^(L858-$G$15)</f>
        <v>16134.236963372081</v>
      </c>
      <c r="M875" s="291">
        <f t="shared" ref="M875:V875" si="1341">M874/(1+$G$16)^(M858-$G$15)</f>
        <v>14874.105338303134</v>
      </c>
      <c r="N875" s="291">
        <f t="shared" si="1341"/>
        <v>13712.300059264653</v>
      </c>
      <c r="O875" s="291">
        <f t="shared" si="1341"/>
        <v>12641.157144437131</v>
      </c>
      <c r="P875" s="291">
        <f t="shared" si="1341"/>
        <v>11653.609241812046</v>
      </c>
      <c r="Q875" s="291">
        <f t="shared" si="1341"/>
        <v>10743.139247532401</v>
      </c>
      <c r="R875" s="291">
        <f t="shared" si="1341"/>
        <v>9903.73752413691</v>
      </c>
      <c r="S875" s="291">
        <f t="shared" si="1341"/>
        <v>9129.8624398160446</v>
      </c>
      <c r="T875" s="291">
        <f t="shared" si="1341"/>
        <v>8416.4039713483453</v>
      </c>
      <c r="U875" s="291">
        <f t="shared" si="1341"/>
        <v>7758.6501332836251</v>
      </c>
      <c r="V875" s="291">
        <f t="shared" si="1341"/>
        <v>9650.4929024257381</v>
      </c>
      <c r="W875" s="294">
        <f>SUM(K875:V875)</f>
        <v>118462.7650098322</v>
      </c>
    </row>
  </sheetData>
  <mergeCells count="12">
    <mergeCell ref="A1:Y1"/>
    <mergeCell ref="E20:E22"/>
    <mergeCell ref="A199:A205"/>
    <mergeCell ref="A20:A22"/>
    <mergeCell ref="F18:G18"/>
    <mergeCell ref="F11:G11"/>
    <mergeCell ref="A12:A13"/>
    <mergeCell ref="A14:A15"/>
    <mergeCell ref="A16:A18"/>
    <mergeCell ref="E12:E13"/>
    <mergeCell ref="E14:E15"/>
    <mergeCell ref="E16:E18"/>
  </mergeCells>
  <pageMargins left="0.7" right="0.7" top="0.75" bottom="0.75" header="0.3" footer="0.3"/>
  <pageSetup paperSize="9" orientation="portrait"/>
  <headerFooter scaleWithDoc="0"/>
  <ignoredErrors>
    <ignoredError sqref="N208" formula="1"/>
  </ignoredError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86"/>
  <sheetViews>
    <sheetView showGridLines="0" zoomScale="50" zoomScaleNormal="50" zoomScalePageLayoutView="50" workbookViewId="0">
      <pane ySplit="1" topLeftCell="A12" activePane="bottomLeft" state="frozen"/>
      <selection activeCell="P1" sqref="P1"/>
      <selection pane="bottomLeft" activeCell="BA15" sqref="BA15"/>
    </sheetView>
  </sheetViews>
  <sheetFormatPr baseColWidth="10" defaultColWidth="11.453125" defaultRowHeight="14.5" outlineLevelRow="1" outlineLevelCol="1"/>
  <cols>
    <col min="1" max="1" width="19.1796875" bestFit="1" customWidth="1"/>
    <col min="2" max="2" width="21.453125" style="13" bestFit="1" customWidth="1"/>
    <col min="3" max="3" width="11.453125" hidden="1" customWidth="1" outlineLevel="1"/>
    <col min="4" max="6" width="11.453125" style="13" hidden="1" customWidth="1" outlineLevel="1"/>
    <col min="7" max="9" width="11.453125" hidden="1" customWidth="1" outlineLevel="1"/>
    <col min="10" max="12" width="11.453125" style="13" hidden="1" customWidth="1" outlineLevel="1"/>
    <col min="13" max="15" width="11.453125" hidden="1" customWidth="1" outlineLevel="1"/>
    <col min="16" max="16" width="33.7265625" bestFit="1" customWidth="1" collapsed="1"/>
    <col min="17" max="17" width="35.1796875" style="13" bestFit="1" customWidth="1"/>
    <col min="18" max="18" width="30.1796875" customWidth="1"/>
    <col min="19" max="19" width="27" customWidth="1"/>
    <col min="20" max="20" width="16.453125" bestFit="1" customWidth="1"/>
    <col min="22" max="22" width="14.81640625" bestFit="1" customWidth="1"/>
    <col min="24" max="24" width="12.26953125" bestFit="1" customWidth="1"/>
    <col min="25" max="25" width="26.26953125" bestFit="1" customWidth="1"/>
    <col min="26" max="27" width="14" customWidth="1"/>
    <col min="31" max="31" width="63.7265625" bestFit="1" customWidth="1"/>
    <col min="32" max="32" width="29.1796875" customWidth="1"/>
    <col min="33" max="33" width="24.1796875" bestFit="1" customWidth="1"/>
    <col min="34" max="34" width="14.26953125" customWidth="1"/>
    <col min="35" max="35" width="19.1796875" bestFit="1" customWidth="1"/>
    <col min="36" max="36" width="5.7265625" customWidth="1"/>
    <col min="37" max="37" width="7" customWidth="1"/>
    <col min="38" max="38" width="12" customWidth="1"/>
    <col min="39" max="39" width="13.81640625" bestFit="1" customWidth="1"/>
    <col min="40" max="40" width="15.453125" bestFit="1" customWidth="1"/>
    <col min="41" max="42" width="15.7265625" bestFit="1" customWidth="1"/>
    <col min="43" max="43" width="23.453125" bestFit="1" customWidth="1"/>
    <col min="44" max="53" width="16.453125" bestFit="1" customWidth="1"/>
    <col min="54" max="54" width="17.1796875" bestFit="1" customWidth="1"/>
    <col min="55" max="55" width="13.81640625" bestFit="1" customWidth="1"/>
    <col min="56" max="56" width="17.26953125" hidden="1" customWidth="1" outlineLevel="1"/>
    <col min="57" max="57" width="15.1796875" hidden="1" customWidth="1" outlineLevel="1"/>
    <col min="58" max="58" width="12.453125" hidden="1" customWidth="1" outlineLevel="1"/>
    <col min="59" max="59" width="11.453125" collapsed="1"/>
  </cols>
  <sheetData>
    <row r="1" spans="1:58" ht="69.75" customHeight="1">
      <c r="A1" s="947" t="s">
        <v>435</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9"/>
      <c r="AK1" s="325"/>
      <c r="AL1" s="950" t="s">
        <v>471</v>
      </c>
      <c r="AM1" s="951"/>
      <c r="AN1" s="951"/>
      <c r="AO1" s="951"/>
      <c r="AP1" s="951"/>
      <c r="AQ1" s="951"/>
      <c r="AR1" s="951"/>
      <c r="AS1" s="951"/>
      <c r="AT1" s="951"/>
      <c r="AU1" s="951"/>
      <c r="AV1" s="951"/>
      <c r="AW1" s="951"/>
      <c r="AX1" s="951"/>
      <c r="AY1" s="951"/>
      <c r="AZ1" s="951"/>
      <c r="BA1" s="951"/>
      <c r="BB1" s="951"/>
      <c r="BC1" s="951"/>
      <c r="BD1" s="952"/>
      <c r="BE1" s="325"/>
    </row>
    <row r="2" spans="1:58" ht="15.75" customHeight="1"/>
    <row r="3" spans="1:58" ht="21">
      <c r="AM3" s="356"/>
      <c r="AN3" s="356"/>
      <c r="AO3" s="356"/>
      <c r="AP3" s="356"/>
      <c r="AQ3" s="953" t="s">
        <v>444</v>
      </c>
      <c r="AR3" s="954"/>
      <c r="AS3" s="954"/>
      <c r="AT3" s="954"/>
      <c r="AU3" s="954"/>
      <c r="AV3" s="954"/>
      <c r="AW3" s="954"/>
      <c r="AX3" s="954"/>
      <c r="AY3" s="954"/>
      <c r="AZ3" s="954"/>
      <c r="BA3" s="954"/>
      <c r="BB3" s="955"/>
      <c r="BC3" s="356"/>
      <c r="BD3" s="356"/>
      <c r="BE3" s="356"/>
      <c r="BF3" s="356"/>
    </row>
    <row r="4" spans="1:58" ht="21">
      <c r="S4" s="13"/>
      <c r="T4" s="13"/>
      <c r="U4" s="13"/>
      <c r="V4" s="13"/>
      <c r="W4" s="13"/>
      <c r="X4" s="13"/>
      <c r="Y4" s="13"/>
      <c r="AM4" s="356"/>
      <c r="AN4" s="356"/>
      <c r="AO4" s="356"/>
      <c r="AP4" s="356"/>
      <c r="AQ4" s="356"/>
      <c r="AR4" s="356"/>
      <c r="AS4" s="356"/>
      <c r="AT4" s="356"/>
      <c r="AU4" s="356"/>
      <c r="AV4" s="356"/>
      <c r="AW4" s="356"/>
      <c r="AX4" s="356"/>
      <c r="AY4" s="356"/>
      <c r="AZ4" s="356"/>
      <c r="BA4" s="356"/>
      <c r="BB4" s="356"/>
      <c r="BC4" s="356"/>
      <c r="BD4" s="356"/>
      <c r="BE4" s="356"/>
      <c r="BF4" s="356"/>
    </row>
    <row r="5" spans="1:58" ht="21">
      <c r="S5" s="13"/>
      <c r="T5" s="13"/>
      <c r="U5" s="13"/>
      <c r="V5" s="13"/>
      <c r="W5" s="13"/>
      <c r="X5" s="13"/>
      <c r="Y5" s="13"/>
      <c r="AM5" s="956" t="s">
        <v>443</v>
      </c>
      <c r="AN5" s="957"/>
      <c r="AO5" s="957"/>
      <c r="AP5" s="957"/>
      <c r="AQ5" s="957"/>
      <c r="AR5" s="957"/>
      <c r="AS5" s="957"/>
      <c r="AT5" s="957"/>
      <c r="AU5" s="958"/>
      <c r="AV5" s="328"/>
      <c r="AW5" s="328"/>
      <c r="AX5" s="328"/>
      <c r="AY5" s="328"/>
      <c r="AZ5" s="328"/>
      <c r="BA5" s="328"/>
      <c r="BB5" s="328"/>
      <c r="BC5" s="328"/>
      <c r="BD5" s="328"/>
      <c r="BE5" s="356"/>
      <c r="BF5" s="356"/>
    </row>
    <row r="6" spans="1:58" ht="105">
      <c r="A6" s="351" t="s">
        <v>393</v>
      </c>
      <c r="B6" s="352" t="s">
        <v>421</v>
      </c>
      <c r="C6" s="352"/>
      <c r="D6" s="352" t="s">
        <v>34</v>
      </c>
      <c r="E6" s="352" t="s">
        <v>431</v>
      </c>
      <c r="F6" s="353" t="s">
        <v>427</v>
      </c>
      <c r="G6" s="352" t="s">
        <v>409</v>
      </c>
      <c r="H6" s="352" t="s">
        <v>432</v>
      </c>
      <c r="I6" s="353" t="s">
        <v>428</v>
      </c>
      <c r="J6" s="352" t="s">
        <v>397</v>
      </c>
      <c r="K6" s="352" t="s">
        <v>433</v>
      </c>
      <c r="L6" s="354" t="s">
        <v>429</v>
      </c>
      <c r="M6" s="352" t="s">
        <v>33</v>
      </c>
      <c r="N6" s="352" t="s">
        <v>434</v>
      </c>
      <c r="O6" s="354" t="s">
        <v>430</v>
      </c>
      <c r="P6" s="352" t="s">
        <v>461</v>
      </c>
      <c r="Q6" s="352" t="s">
        <v>436</v>
      </c>
      <c r="R6" s="352" t="s">
        <v>462</v>
      </c>
      <c r="S6" s="352" t="s">
        <v>422</v>
      </c>
      <c r="T6" s="352" t="s">
        <v>386</v>
      </c>
      <c r="U6" s="352" t="s">
        <v>423</v>
      </c>
      <c r="V6" s="352" t="s">
        <v>463</v>
      </c>
      <c r="W6" s="352" t="s">
        <v>424</v>
      </c>
      <c r="X6" s="352" t="s">
        <v>425</v>
      </c>
      <c r="Y6" s="355" t="s">
        <v>426</v>
      </c>
      <c r="Z6" s="959" t="s">
        <v>465</v>
      </c>
      <c r="AA6" s="960"/>
      <c r="AB6" s="356"/>
      <c r="AC6" s="356"/>
      <c r="AL6" s="323"/>
      <c r="AM6" s="328">
        <v>2009</v>
      </c>
      <c r="AN6" s="328">
        <v>2010</v>
      </c>
      <c r="AO6" s="328">
        <v>2011</v>
      </c>
      <c r="AP6" s="328">
        <v>2012</v>
      </c>
      <c r="AQ6" s="328">
        <v>2013</v>
      </c>
      <c r="AR6" s="328">
        <v>2014</v>
      </c>
      <c r="AS6" s="328">
        <v>2015</v>
      </c>
      <c r="AT6" s="328">
        <v>2016</v>
      </c>
      <c r="AU6" s="328">
        <v>2017</v>
      </c>
      <c r="AV6" s="328">
        <v>2018</v>
      </c>
      <c r="AW6" s="328">
        <v>2019</v>
      </c>
      <c r="AX6" s="328">
        <v>2020</v>
      </c>
      <c r="AY6" s="328">
        <v>2021</v>
      </c>
      <c r="AZ6" s="328">
        <v>2022</v>
      </c>
      <c r="BA6" s="328">
        <v>2023</v>
      </c>
      <c r="BB6" s="328">
        <v>2024</v>
      </c>
      <c r="BC6" s="394" t="s">
        <v>446</v>
      </c>
      <c r="BD6" s="961" t="s">
        <v>447</v>
      </c>
      <c r="BE6" s="961"/>
      <c r="BF6" s="961"/>
    </row>
    <row r="7" spans="1:58" s="324" customFormat="1" ht="30.75" customHeight="1">
      <c r="A7" s="357">
        <v>1</v>
      </c>
      <c r="B7" s="358">
        <v>1111111</v>
      </c>
      <c r="C7" s="327" t="str">
        <f>RIGHT(B7,4)</f>
        <v>1111</v>
      </c>
      <c r="D7" s="327" t="str">
        <f>LEFT(C7,1)</f>
        <v>1</v>
      </c>
      <c r="E7" s="327">
        <v>1</v>
      </c>
      <c r="F7" s="359">
        <f>IF(E7=$AF$16,$AG$16,IF(E7=$AF$17,$AG$17,IF(E7=$AF$18,$AG$18,0)))</f>
        <v>0.6</v>
      </c>
      <c r="G7" s="327">
        <f>(RIGHT(C7,3)-RIGHT(C7,2))/100</f>
        <v>1</v>
      </c>
      <c r="H7" s="327">
        <v>1</v>
      </c>
      <c r="I7" s="359">
        <f>IF(H7=$AF$12,$AG$12,IF(H7=$AF$13,$AG$13,IF(H7=$AF$14,$AG$14,0)))</f>
        <v>0.1</v>
      </c>
      <c r="J7" s="327">
        <f>(RIGHT(C7,2)-RIGHT(C7,1))/10</f>
        <v>1</v>
      </c>
      <c r="K7" s="327">
        <v>1</v>
      </c>
      <c r="L7" s="359">
        <f>IF(K7=$AF$10,$AG$10,IF(K7=$AF$11,$AG$11,0))</f>
        <v>0.4</v>
      </c>
      <c r="M7" s="327" t="str">
        <f>RIGHT(C7,1)</f>
        <v>1</v>
      </c>
      <c r="N7" s="360">
        <v>1</v>
      </c>
      <c r="O7" s="359">
        <f>IF(N7=$AF$8,$AG$8,IF(N7=$AF$9,$AG$9,0))</f>
        <v>0.7</v>
      </c>
      <c r="P7" s="361">
        <f>F7*I7*L7*O7</f>
        <v>1.6799999999999999E-2</v>
      </c>
      <c r="Q7" s="362">
        <f>'VAN d''exploitation '!W28</f>
        <v>577165.23633793893</v>
      </c>
      <c r="R7" s="363">
        <f>'Scénario 1'!$C$27</f>
        <v>-90276.297039525976</v>
      </c>
      <c r="S7" s="363">
        <f>Q7+R7</f>
        <v>486888.93929841294</v>
      </c>
      <c r="T7" s="363">
        <f>P7*S7</f>
        <v>8179.7341802133369</v>
      </c>
      <c r="U7" s="364">
        <f>IRR(AM7:BB7)</f>
        <v>0.31239311172357231</v>
      </c>
      <c r="V7" s="365">
        <f>U7*P7</f>
        <v>5.2482042769560148E-3</v>
      </c>
      <c r="W7" s="366">
        <f>1+(S7/-'Scénario 1'!$S$23)</f>
        <v>5.5233086148124588</v>
      </c>
      <c r="X7" s="367">
        <f>W7*P7</f>
        <v>9.2791584728849297E-2</v>
      </c>
      <c r="Y7" s="392">
        <f t="shared" ref="Y7:Y44" si="0">(S7-$AF$24)^2*P7</f>
        <v>1836267167.8187733</v>
      </c>
      <c r="Z7" s="964">
        <f>(-AR7/(AS7-AR7))*365+365</f>
        <v>5477.2372541756686</v>
      </c>
      <c r="AA7" s="965"/>
      <c r="AB7" s="327"/>
      <c r="AC7" s="327"/>
      <c r="AD7" s="327"/>
      <c r="AE7" s="328"/>
      <c r="AF7" s="329" t="s">
        <v>393</v>
      </c>
      <c r="AG7" s="330" t="s">
        <v>384</v>
      </c>
      <c r="AH7" s="331" t="s">
        <v>394</v>
      </c>
      <c r="AI7" s="327"/>
      <c r="AL7" s="328">
        <v>1</v>
      </c>
      <c r="AM7" s="395">
        <f>'Scénario 1'!C$25</f>
        <v>-4652.3076923076924</v>
      </c>
      <c r="AN7" s="395">
        <f>'Scénario 1'!D$25</f>
        <v>-16728.024760770848</v>
      </c>
      <c r="AO7" s="395">
        <f>'Scénario 1'!E$25</f>
        <v>-37460.238859854901</v>
      </c>
      <c r="AP7" s="395">
        <f>'Scénario 1'!F$25</f>
        <v>-29226.507530881718</v>
      </c>
      <c r="AQ7" s="395">
        <f>'Scénario 1'!G$25+'VAN d''exploitation '!K28</f>
        <v>-47954.058040352917</v>
      </c>
      <c r="AR7" s="395">
        <f>'Scénario 1'!H$25+'VAN d''exploitation '!L28</f>
        <v>80675.264339366578</v>
      </c>
      <c r="AS7" s="395">
        <f>'Scénario 1'!I$25+'VAN d''exploitation '!M28</f>
        <v>74915.267293099416</v>
      </c>
      <c r="AT7" s="395">
        <f>'Scénario 1'!J$25+'VAN d''exploitation '!N28</f>
        <v>68788.247527431362</v>
      </c>
      <c r="AU7" s="395">
        <f>'Scénario 1'!K$25+'VAN d''exploitation '!O28</f>
        <v>61973.340707691896</v>
      </c>
      <c r="AV7" s="395">
        <f>'Scénario 1'!L$25+'VAN d''exploitation '!P28</f>
        <v>56571.02344169993</v>
      </c>
      <c r="AW7" s="395">
        <f>'Scénario 1'!M$25+'VAN d''exploitation '!Q28</f>
        <v>52648.242200213164</v>
      </c>
      <c r="AX7" s="395">
        <f>'Scénario 1'!N$25+'VAN d''exploitation '!R28</f>
        <v>48997.230179935272</v>
      </c>
      <c r="AY7" s="395">
        <f>'Scénario 1'!O$25+'VAN d''exploitation '!S28</f>
        <v>45599.181012323497</v>
      </c>
      <c r="AZ7" s="395">
        <f>'Scénario 1'!P$25+'VAN d''exploitation '!T28</f>
        <v>42436.587808725235</v>
      </c>
      <c r="BA7" s="395">
        <f>'Scénario 1'!Q$25+'VAN d''exploitation '!U28</f>
        <v>39493.153538330444</v>
      </c>
      <c r="BB7" s="395">
        <f>'Scénario 1'!R$25+'VAN d''exploitation '!V28</f>
        <v>50812.538133764137</v>
      </c>
      <c r="BC7" s="396">
        <f>P7</f>
        <v>1.6799999999999999E-2</v>
      </c>
      <c r="BD7" s="397">
        <f>SUM(AM7:BB7)</f>
        <v>486888.93929841282</v>
      </c>
      <c r="BE7" s="398">
        <f>S7</f>
        <v>486888.93929841294</v>
      </c>
      <c r="BF7" s="399">
        <f>BE7-BD7</f>
        <v>0</v>
      </c>
    </row>
    <row r="8" spans="1:58" s="324" customFormat="1" ht="30.75" customHeight="1">
      <c r="A8" s="368">
        <v>2</v>
      </c>
      <c r="B8" s="369">
        <v>1111311</v>
      </c>
      <c r="C8" s="327" t="str">
        <f t="shared" ref="C8:C42" si="1">RIGHT(B8,4)</f>
        <v>1311</v>
      </c>
      <c r="D8" s="327" t="str">
        <f t="shared" ref="D8:D42" si="2">LEFT(C8,1)</f>
        <v>1</v>
      </c>
      <c r="E8" s="327">
        <v>1</v>
      </c>
      <c r="F8" s="359">
        <f t="shared" ref="F8:F42" si="3">IF(E8=$AF$16,$AG$16,IF(E8=$AF$17,$AG$17,IF(E8=$AF$18,$AG$18,0)))</f>
        <v>0.6</v>
      </c>
      <c r="G8" s="327">
        <f t="shared" ref="G8:G42" si="4">(RIGHT(C8,3)-RIGHT(C8,2))/100</f>
        <v>3</v>
      </c>
      <c r="H8" s="327">
        <v>3</v>
      </c>
      <c r="I8" s="359">
        <f t="shared" ref="I8:I42" si="5">IF(H8=$AF$12,$AG$12,IF(H8=$AF$13,$AG$13,IF(H8=$AF$14,$AG$14,0)))</f>
        <v>0.3</v>
      </c>
      <c r="J8" s="327">
        <f t="shared" ref="J8:J42" si="6">(RIGHT(C8,2)-RIGHT(C8,1))/10</f>
        <v>1</v>
      </c>
      <c r="K8" s="327">
        <v>1</v>
      </c>
      <c r="L8" s="359">
        <f t="shared" ref="L8:L42" si="7">IF(K8=$AF$10,$AG$10,IF(K8=$AF$11,$AG$11,0))</f>
        <v>0.4</v>
      </c>
      <c r="M8" s="327" t="str">
        <f t="shared" ref="M8:M42" si="8">RIGHT(C8,1)</f>
        <v>1</v>
      </c>
      <c r="N8" s="360">
        <v>1</v>
      </c>
      <c r="O8" s="359">
        <f t="shared" ref="O8:O42" si="9">IF(N8=$AF$8,$AG$8,IF(N8=$AF$9,$AG$9,0))</f>
        <v>0.7</v>
      </c>
      <c r="P8" s="370">
        <f t="shared" ref="P8:P42" si="10">F8*I8*L8*O8</f>
        <v>5.0399999999999993E-2</v>
      </c>
      <c r="Q8" s="371">
        <f>'VAN d''exploitation '!W52</f>
        <v>226274.2422328176</v>
      </c>
      <c r="R8" s="372">
        <f>'Scénario 1'!$C$27</f>
        <v>-90276.297039525976</v>
      </c>
      <c r="S8" s="372">
        <f t="shared" ref="S8:S42" si="11">Q8+R8</f>
        <v>135997.94519329164</v>
      </c>
      <c r="T8" s="372">
        <f t="shared" ref="T8:T42" si="12">P8*S8</f>
        <v>6854.2964377418975</v>
      </c>
      <c r="U8" s="373">
        <f t="shared" ref="U8:U42" si="13">IRR(AM8:BB8)</f>
        <v>0.13259904140595813</v>
      </c>
      <c r="V8" s="374">
        <f t="shared" ref="V8:V42" si="14">U8*P8</f>
        <v>6.6829916868602892E-3</v>
      </c>
      <c r="W8" s="375">
        <f>1+(S8/-'Scénario 1'!$S$23)</f>
        <v>2.2634517390681133</v>
      </c>
      <c r="X8" s="376">
        <f t="shared" ref="X8:X42" si="15">W8*P8</f>
        <v>0.1140779676490329</v>
      </c>
      <c r="Y8" s="393">
        <f t="shared" si="0"/>
        <v>20734653.024484176</v>
      </c>
      <c r="Z8" s="962">
        <f t="shared" ref="Z8:Z42" si="16">(-AQ8/AR8)*365</f>
        <v>307.40592400332315</v>
      </c>
      <c r="AA8" s="963"/>
      <c r="AB8" s="327"/>
      <c r="AC8" s="327"/>
      <c r="AD8" s="966"/>
      <c r="AE8" s="967" t="s">
        <v>33</v>
      </c>
      <c r="AF8" s="409">
        <v>1</v>
      </c>
      <c r="AG8" s="410">
        <v>0.7</v>
      </c>
      <c r="AH8" s="411">
        <v>0.02</v>
      </c>
      <c r="AI8" s="327"/>
      <c r="AL8" s="328">
        <v>2</v>
      </c>
      <c r="AM8" s="395">
        <f>'Scénario 1'!C$25</f>
        <v>-4652.3076923076924</v>
      </c>
      <c r="AN8" s="395">
        <f>'Scénario 1'!D$25</f>
        <v>-16728.024760770848</v>
      </c>
      <c r="AO8" s="395">
        <f>'Scénario 1'!E$25</f>
        <v>-37460.238859854901</v>
      </c>
      <c r="AP8" s="395">
        <f>'Scénario 1'!F$25</f>
        <v>-29226.507530881718</v>
      </c>
      <c r="AQ8" s="395">
        <f>'Scénario 1'!G$25+'VAN d''exploitation '!K52</f>
        <v>-29306.448470992771</v>
      </c>
      <c r="AR8" s="395">
        <f>'Scénario 1'!H$25+'VAN d''exploitation '!L52</f>
        <v>34797.161852341938</v>
      </c>
      <c r="AS8" s="395">
        <f>'Scénario 1'!I$25+'VAN d''exploitation '!M52</f>
        <v>32229.292860521145</v>
      </c>
      <c r="AT8" s="395">
        <f>'Scénario 1'!J$25+'VAN d''exploitation '!N52</f>
        <v>29072.297771792433</v>
      </c>
      <c r="AU8" s="395">
        <f>'Scénario 1'!K$25+'VAN d''exploitation '!O52</f>
        <v>25020.765864077999</v>
      </c>
      <c r="AV8" s="395">
        <f>'Scénario 1'!L$25+'VAN d''exploitation '!P52</f>
        <v>22189.552119110926</v>
      </c>
      <c r="AW8" s="395">
        <f>'Scénario 1'!M$25+'VAN d''exploitation '!Q52</f>
        <v>20658.980956343516</v>
      </c>
      <c r="AX8" s="395">
        <f>'Scénario 1'!N$25+'VAN d''exploitation '!R52</f>
        <v>19233.732704008115</v>
      </c>
      <c r="AY8" s="395">
        <f>'Scénario 1'!O$25+'VAN d''exploitation '!S52</f>
        <v>17906.582072756271</v>
      </c>
      <c r="AZ8" s="395">
        <f>'Scénario 1'!P$25+'VAN d''exploitation '!T52</f>
        <v>16670.7974593896</v>
      </c>
      <c r="BA8" s="395">
        <f>'Scénario 1'!Q$25+'VAN d''exploitation '!U52</f>
        <v>15520.107390705423</v>
      </c>
      <c r="BB8" s="395">
        <f>'Scénario 1'!R$23+'VAN d''exploitation '!V52</f>
        <v>20072.201457052164</v>
      </c>
      <c r="BC8" s="396">
        <f t="shared" ref="BC8:BC42" si="17">P8</f>
        <v>5.0399999999999993E-2</v>
      </c>
      <c r="BD8" s="397">
        <f t="shared" ref="BD8:BD42" si="18">SUM(AM8:BB8)</f>
        <v>135997.94519329158</v>
      </c>
      <c r="BE8" s="398">
        <f t="shared" ref="BE8:BE42" si="19">S8</f>
        <v>135997.94519329164</v>
      </c>
      <c r="BF8" s="399">
        <f t="shared" ref="BF8:BF42" si="20">BE8-BD8</f>
        <v>0</v>
      </c>
    </row>
    <row r="9" spans="1:58" s="324" customFormat="1" ht="30.75" customHeight="1">
      <c r="A9" s="368">
        <v>3</v>
      </c>
      <c r="B9" s="369">
        <v>1111312</v>
      </c>
      <c r="C9" s="327" t="str">
        <f t="shared" si="1"/>
        <v>1312</v>
      </c>
      <c r="D9" s="327" t="str">
        <f t="shared" si="2"/>
        <v>1</v>
      </c>
      <c r="E9" s="327">
        <v>1</v>
      </c>
      <c r="F9" s="359">
        <f t="shared" si="3"/>
        <v>0.6</v>
      </c>
      <c r="G9" s="327">
        <f t="shared" si="4"/>
        <v>3</v>
      </c>
      <c r="H9" s="327">
        <v>3</v>
      </c>
      <c r="I9" s="359">
        <f t="shared" si="5"/>
        <v>0.3</v>
      </c>
      <c r="J9" s="327">
        <f t="shared" si="6"/>
        <v>1</v>
      </c>
      <c r="K9" s="327">
        <v>1</v>
      </c>
      <c r="L9" s="359">
        <f t="shared" si="7"/>
        <v>0.4</v>
      </c>
      <c r="M9" s="327" t="str">
        <f t="shared" si="8"/>
        <v>2</v>
      </c>
      <c r="N9" s="360">
        <v>2</v>
      </c>
      <c r="O9" s="359">
        <f t="shared" si="9"/>
        <v>0.3</v>
      </c>
      <c r="P9" s="370">
        <f t="shared" si="10"/>
        <v>2.1599999999999998E-2</v>
      </c>
      <c r="Q9" s="371">
        <f>'VAN d''exploitation '!W76</f>
        <v>214506.69767518388</v>
      </c>
      <c r="R9" s="372">
        <f>'Scénario 1'!$C$27</f>
        <v>-90276.297039525976</v>
      </c>
      <c r="S9" s="372">
        <f t="shared" si="11"/>
        <v>124230.4006356579</v>
      </c>
      <c r="T9" s="372">
        <f t="shared" si="12"/>
        <v>2683.3766537302104</v>
      </c>
      <c r="U9" s="373">
        <f t="shared" si="13"/>
        <v>0.12557448155243023</v>
      </c>
      <c r="V9" s="374">
        <f t="shared" si="14"/>
        <v>2.7124088015324926E-3</v>
      </c>
      <c r="W9" s="375">
        <f>1+(S9/-'Scénario 1'!$S$23)</f>
        <v>2.154128582642679</v>
      </c>
      <c r="X9" s="376">
        <f t="shared" si="15"/>
        <v>4.652917738508186E-2</v>
      </c>
      <c r="Y9" s="393">
        <f t="shared" si="0"/>
        <v>22188387.938941408</v>
      </c>
      <c r="Z9" s="962">
        <f t="shared" si="16"/>
        <v>307.78656151308019</v>
      </c>
      <c r="AA9" s="963"/>
      <c r="AB9" s="327"/>
      <c r="AC9" s="327"/>
      <c r="AD9" s="966"/>
      <c r="AE9" s="968"/>
      <c r="AF9" s="409">
        <v>2</v>
      </c>
      <c r="AG9" s="410">
        <v>0.3</v>
      </c>
      <c r="AH9" s="411">
        <v>0.01</v>
      </c>
      <c r="AI9" s="327"/>
      <c r="AL9" s="328">
        <v>3</v>
      </c>
      <c r="AM9" s="395">
        <f>'Scénario 1'!C$25</f>
        <v>-4652.3076923076924</v>
      </c>
      <c r="AN9" s="395">
        <f>'Scénario 1'!D$25</f>
        <v>-16728.024760770848</v>
      </c>
      <c r="AO9" s="395">
        <f>'Scénario 1'!E$25</f>
        <v>-37460.238859854901</v>
      </c>
      <c r="AP9" s="395">
        <f>'Scénario 1'!F$25</f>
        <v>-29226.507530881718</v>
      </c>
      <c r="AQ9" s="395">
        <f>'Scénario 1'!G$25+'VAN d''exploitation '!K76</f>
        <v>-29184.568669885841</v>
      </c>
      <c r="AR9" s="395">
        <f>'Scénario 1'!H$25+'VAN d''exploitation '!L76</f>
        <v>34609.59280399132</v>
      </c>
      <c r="AS9" s="395">
        <f>'Scénario 1'!I$25+'VAN d''exploitation '!M76</f>
        <v>31777.492245669491</v>
      </c>
      <c r="AT9" s="395">
        <f>'Scénario 1'!J$25+'VAN d''exploitation '!N76</f>
        <v>28396.472605994568</v>
      </c>
      <c r="AU9" s="395">
        <f>'Scénario 1'!K$25+'VAN d''exploitation '!O76</f>
        <v>24156.608208773207</v>
      </c>
      <c r="AV9" s="395">
        <f>'Scénario 1'!L$25+'VAN d''exploitation '!P76</f>
        <v>21168.688385927355</v>
      </c>
      <c r="AW9" s="395">
        <f>'Scénario 1'!M$25+'VAN d''exploitation '!Q76</f>
        <v>19509.379312315956</v>
      </c>
      <c r="AX9" s="395">
        <f>'Scénario 1'!N$25+'VAN d''exploitation '!R76</f>
        <v>17980.072330131989</v>
      </c>
      <c r="AY9" s="395">
        <f>'Scénario 1'!O$25+'VAN d''exploitation '!S76</f>
        <v>16570.587701329641</v>
      </c>
      <c r="AZ9" s="395">
        <f>'Scénario 1'!P$25+'VAN d''exploitation '!T76</f>
        <v>15271.542316557794</v>
      </c>
      <c r="BA9" s="395">
        <f>'Scénario 1'!Q$25+'VAN d''exploitation '!U76</f>
        <v>14074.287397170672</v>
      </c>
      <c r="BB9" s="395">
        <f>'Scénario 1'!R$23+'VAN d''exploitation '!V76</f>
        <v>17967.324841496935</v>
      </c>
      <c r="BC9" s="396">
        <f t="shared" si="17"/>
        <v>2.1599999999999998E-2</v>
      </c>
      <c r="BD9" s="397">
        <f t="shared" si="18"/>
        <v>124230.40063565792</v>
      </c>
      <c r="BE9" s="398">
        <f t="shared" si="19"/>
        <v>124230.4006356579</v>
      </c>
      <c r="BF9" s="399">
        <f t="shared" si="20"/>
        <v>0</v>
      </c>
    </row>
    <row r="10" spans="1:58" s="324" customFormat="1" ht="30.75" customHeight="1">
      <c r="A10" s="368">
        <v>4</v>
      </c>
      <c r="B10" s="369">
        <v>1111321</v>
      </c>
      <c r="C10" s="327" t="str">
        <f t="shared" si="1"/>
        <v>1321</v>
      </c>
      <c r="D10" s="327" t="str">
        <f t="shared" si="2"/>
        <v>1</v>
      </c>
      <c r="E10" s="327">
        <v>1</v>
      </c>
      <c r="F10" s="359">
        <f t="shared" si="3"/>
        <v>0.6</v>
      </c>
      <c r="G10" s="327">
        <f t="shared" si="4"/>
        <v>3</v>
      </c>
      <c r="H10" s="327">
        <v>3</v>
      </c>
      <c r="I10" s="359">
        <f t="shared" si="5"/>
        <v>0.3</v>
      </c>
      <c r="J10" s="327">
        <f t="shared" si="6"/>
        <v>2</v>
      </c>
      <c r="K10" s="327">
        <v>2</v>
      </c>
      <c r="L10" s="359">
        <f t="shared" si="7"/>
        <v>0.6</v>
      </c>
      <c r="M10" s="327" t="str">
        <f t="shared" si="8"/>
        <v>1</v>
      </c>
      <c r="N10" s="360">
        <v>1</v>
      </c>
      <c r="O10" s="359">
        <f t="shared" si="9"/>
        <v>0.7</v>
      </c>
      <c r="P10" s="370">
        <f t="shared" si="10"/>
        <v>7.5600000000000001E-2</v>
      </c>
      <c r="Q10" s="371">
        <f>'VAN d''exploitation '!W100</f>
        <v>109310.57753111047</v>
      </c>
      <c r="R10" s="372">
        <f>'Scénario 1'!$C$27</f>
        <v>-90276.297039525976</v>
      </c>
      <c r="S10" s="372">
        <f t="shared" si="11"/>
        <v>19034.28049158449</v>
      </c>
      <c r="T10" s="372">
        <f t="shared" si="12"/>
        <v>1438.9916051637874</v>
      </c>
      <c r="U10" s="373">
        <f t="shared" si="13"/>
        <v>2.46092295643352E-2</v>
      </c>
      <c r="V10" s="374">
        <f t="shared" si="14"/>
        <v>1.8604577550637412E-3</v>
      </c>
      <c r="W10" s="375">
        <f>1+(S10/-'Scénario 1'!$S$23)</f>
        <v>1.1768327804866638</v>
      </c>
      <c r="X10" s="376">
        <f t="shared" si="15"/>
        <v>8.8968558204791784E-2</v>
      </c>
      <c r="Y10" s="393">
        <f t="shared" si="0"/>
        <v>1424051409.7219076</v>
      </c>
      <c r="Z10" s="962">
        <f t="shared" si="16"/>
        <v>432.10941251973873</v>
      </c>
      <c r="AA10" s="963"/>
      <c r="AB10" s="327"/>
      <c r="AC10" s="327"/>
      <c r="AD10" s="966"/>
      <c r="AE10" s="969" t="s">
        <v>397</v>
      </c>
      <c r="AF10" s="412">
        <v>1</v>
      </c>
      <c r="AG10" s="413">
        <v>0.4</v>
      </c>
      <c r="AH10" s="414">
        <v>1</v>
      </c>
      <c r="AI10" s="327"/>
      <c r="AL10" s="328">
        <v>4</v>
      </c>
      <c r="AM10" s="395">
        <f>'Scénario 1'!C$25</f>
        <v>-4652.3076923076924</v>
      </c>
      <c r="AN10" s="395">
        <f>'Scénario 1'!D$25</f>
        <v>-16728.024760770848</v>
      </c>
      <c r="AO10" s="395">
        <f>'Scénario 1'!E$25</f>
        <v>-37460.238859854901</v>
      </c>
      <c r="AP10" s="395">
        <f>'Scénario 1'!F$25</f>
        <v>-29226.507530881718</v>
      </c>
      <c r="AQ10" s="395">
        <f>'Scénario 1'!G$25+'VAN d''exploitation '!K100</f>
        <v>-23090.578614539387</v>
      </c>
      <c r="AR10" s="395">
        <f>'Scénario 1'!H$25+'VAN d''exploitation '!L100</f>
        <v>19504.461023333723</v>
      </c>
      <c r="AS10" s="395">
        <f>'Scénario 1'!I$25+'VAN d''exploitation '!M100</f>
        <v>18000.63471632839</v>
      </c>
      <c r="AT10" s="395">
        <f>'Scénario 1'!J$25+'VAN d''exploitation '!N100</f>
        <v>15833.647853246122</v>
      </c>
      <c r="AU10" s="395">
        <f>'Scénario 1'!K$25+'VAN d''exploitation '!O100</f>
        <v>12703.2409162067</v>
      </c>
      <c r="AV10" s="395">
        <f>'Scénario 1'!L$25+'VAN d''exploitation '!P100</f>
        <v>10729.061678247917</v>
      </c>
      <c r="AW10" s="395">
        <f>'Scénario 1'!M$25+'VAN d''exploitation '!Q100</f>
        <v>9995.8938750536345</v>
      </c>
      <c r="AX10" s="395">
        <f>'Scénario 1'!N$25+'VAN d''exploitation '!R100</f>
        <v>9312.5668786990573</v>
      </c>
      <c r="AY10" s="395">
        <f>'Scénario 1'!O$25+'VAN d''exploitation '!S100</f>
        <v>8675.7157595671997</v>
      </c>
      <c r="AZ10" s="395">
        <f>'Scénario 1'!P$25+'VAN d''exploitation '!T100</f>
        <v>8082.200676277721</v>
      </c>
      <c r="BA10" s="395">
        <f>'Scénario 1'!Q$25+'VAN d''exploitation '!U100</f>
        <v>7529.0920081637505</v>
      </c>
      <c r="BB10" s="395">
        <f>'Scénario 1'!R$23+'VAN d''exploitation '!V100</f>
        <v>9825.4225648148349</v>
      </c>
      <c r="BC10" s="396">
        <f t="shared" si="17"/>
        <v>7.5600000000000001E-2</v>
      </c>
      <c r="BD10" s="397">
        <f t="shared" si="18"/>
        <v>19034.280491584497</v>
      </c>
      <c r="BE10" s="398">
        <f t="shared" si="19"/>
        <v>19034.28049158449</v>
      </c>
      <c r="BF10" s="399">
        <f t="shared" si="20"/>
        <v>0</v>
      </c>
    </row>
    <row r="11" spans="1:58" s="324" customFormat="1" ht="30.75" customHeight="1">
      <c r="A11" s="368">
        <v>5</v>
      </c>
      <c r="B11" s="369">
        <v>1111322</v>
      </c>
      <c r="C11" s="327" t="str">
        <f t="shared" si="1"/>
        <v>1322</v>
      </c>
      <c r="D11" s="327" t="str">
        <f t="shared" si="2"/>
        <v>1</v>
      </c>
      <c r="E11" s="327">
        <v>1</v>
      </c>
      <c r="F11" s="359">
        <f t="shared" si="3"/>
        <v>0.6</v>
      </c>
      <c r="G11" s="327">
        <f t="shared" si="4"/>
        <v>3</v>
      </c>
      <c r="H11" s="327">
        <v>3</v>
      </c>
      <c r="I11" s="359">
        <f t="shared" si="5"/>
        <v>0.3</v>
      </c>
      <c r="J11" s="327">
        <f t="shared" si="6"/>
        <v>2</v>
      </c>
      <c r="K11" s="327">
        <v>2</v>
      </c>
      <c r="L11" s="359">
        <f t="shared" si="7"/>
        <v>0.6</v>
      </c>
      <c r="M11" s="327" t="str">
        <f t="shared" si="8"/>
        <v>2</v>
      </c>
      <c r="N11" s="360">
        <v>2</v>
      </c>
      <c r="O11" s="359">
        <f t="shared" si="9"/>
        <v>0.3</v>
      </c>
      <c r="P11" s="370">
        <f t="shared" si="10"/>
        <v>3.2399999999999998E-2</v>
      </c>
      <c r="Q11" s="371">
        <f>'VAN d''exploitation '!W124</f>
        <v>103426.80525229362</v>
      </c>
      <c r="R11" s="372">
        <f>'Scénario 1'!$C$27</f>
        <v>-90276.297039525976</v>
      </c>
      <c r="S11" s="372">
        <f t="shared" si="11"/>
        <v>13150.508212767643</v>
      </c>
      <c r="T11" s="372">
        <f t="shared" si="12"/>
        <v>426.07646609367163</v>
      </c>
      <c r="U11" s="373">
        <f t="shared" si="13"/>
        <v>1.75746954966296E-2</v>
      </c>
      <c r="V11" s="374">
        <f t="shared" si="14"/>
        <v>5.6942013409079896E-4</v>
      </c>
      <c r="W11" s="375">
        <f>1+(S11/-'Scénario 1'!$S$23)</f>
        <v>1.122171202273947</v>
      </c>
      <c r="X11" s="376">
        <f t="shared" si="15"/>
        <v>3.6358346953675881E-2</v>
      </c>
      <c r="Y11" s="393">
        <f t="shared" si="0"/>
        <v>663757234.13378239</v>
      </c>
      <c r="Z11" s="962">
        <f t="shared" si="16"/>
        <v>433.05127108626596</v>
      </c>
      <c r="AA11" s="963"/>
      <c r="AB11" s="327"/>
      <c r="AC11" s="327"/>
      <c r="AD11" s="966"/>
      <c r="AE11" s="969"/>
      <c r="AF11" s="412">
        <v>2</v>
      </c>
      <c r="AG11" s="413">
        <v>0.6</v>
      </c>
      <c r="AH11" s="414">
        <v>0.5</v>
      </c>
      <c r="AI11" s="327"/>
      <c r="AL11" s="328">
        <v>5</v>
      </c>
      <c r="AM11" s="395">
        <f>'Scénario 1'!C$25</f>
        <v>-4652.3076923076924</v>
      </c>
      <c r="AN11" s="395">
        <f>'Scénario 1'!D$25</f>
        <v>-16728.024760770848</v>
      </c>
      <c r="AO11" s="395">
        <f>'Scénario 1'!E$25</f>
        <v>-37460.238859854901</v>
      </c>
      <c r="AP11" s="395">
        <f>'Scénario 1'!F$25</f>
        <v>-29226.507530881718</v>
      </c>
      <c r="AQ11" s="395">
        <f>'Scénario 1'!G$25+'VAN d''exploitation '!K124</f>
        <v>-23029.638713985922</v>
      </c>
      <c r="AR11" s="395">
        <f>'Scénario 1'!H$25+'VAN d''exploitation '!L124</f>
        <v>19410.676499158413</v>
      </c>
      <c r="AS11" s="395">
        <f>'Scénario 1'!I$25+'VAN d''exploitation '!M124</f>
        <v>17774.734408902561</v>
      </c>
      <c r="AT11" s="395">
        <f>'Scénario 1'!J$25+'VAN d''exploitation '!N124</f>
        <v>15495.73527034719</v>
      </c>
      <c r="AU11" s="395">
        <f>'Scénario 1'!K$25+'VAN d''exploitation '!O124</f>
        <v>12271.162088554303</v>
      </c>
      <c r="AV11" s="395">
        <f>'Scénario 1'!L$25+'VAN d''exploitation '!P124</f>
        <v>10218.629811656132</v>
      </c>
      <c r="AW11" s="395">
        <f>'Scénario 1'!M$25+'VAN d''exploitation '!Q124</f>
        <v>9421.0930530398546</v>
      </c>
      <c r="AX11" s="395">
        <f>'Scénario 1'!N$25+'VAN d''exploitation '!R124</f>
        <v>8685.7366917609925</v>
      </c>
      <c r="AY11" s="395">
        <f>'Scénario 1'!O$25+'VAN d''exploitation '!S124</f>
        <v>8007.7185738538847</v>
      </c>
      <c r="AZ11" s="395">
        <f>'Scénario 1'!P$25+'VAN d''exploitation '!T124</f>
        <v>7382.5731048618209</v>
      </c>
      <c r="BA11" s="395">
        <f>'Scénario 1'!Q$25+'VAN d''exploitation '!U124</f>
        <v>6806.1820113963749</v>
      </c>
      <c r="BB11" s="395">
        <f>'Scénario 1'!R$25+'VAN d''exploitation '!V124</f>
        <v>8772.9842570372202</v>
      </c>
      <c r="BC11" s="396">
        <f t="shared" si="17"/>
        <v>3.2399999999999998E-2</v>
      </c>
      <c r="BD11" s="397">
        <f t="shared" si="18"/>
        <v>13150.508212767654</v>
      </c>
      <c r="BE11" s="398">
        <f t="shared" si="19"/>
        <v>13150.508212767643</v>
      </c>
      <c r="BF11" s="399">
        <f t="shared" si="20"/>
        <v>0</v>
      </c>
    </row>
    <row r="12" spans="1:58" s="324" customFormat="1" ht="30.75" customHeight="1">
      <c r="A12" s="368">
        <v>6</v>
      </c>
      <c r="B12" s="369">
        <v>1112111</v>
      </c>
      <c r="C12" s="327" t="str">
        <f t="shared" si="1"/>
        <v>2111</v>
      </c>
      <c r="D12" s="327" t="str">
        <f t="shared" si="2"/>
        <v>2</v>
      </c>
      <c r="E12" s="327">
        <v>2</v>
      </c>
      <c r="F12" s="359">
        <f t="shared" si="3"/>
        <v>0.3</v>
      </c>
      <c r="G12" s="327">
        <f t="shared" si="4"/>
        <v>1</v>
      </c>
      <c r="H12" s="327">
        <v>1</v>
      </c>
      <c r="I12" s="359">
        <f t="shared" si="5"/>
        <v>0.1</v>
      </c>
      <c r="J12" s="327">
        <f t="shared" si="6"/>
        <v>1</v>
      </c>
      <c r="K12" s="327">
        <v>1</v>
      </c>
      <c r="L12" s="359">
        <f t="shared" si="7"/>
        <v>0.4</v>
      </c>
      <c r="M12" s="327" t="str">
        <f t="shared" si="8"/>
        <v>1</v>
      </c>
      <c r="N12" s="360">
        <v>1</v>
      </c>
      <c r="O12" s="359">
        <f t="shared" si="9"/>
        <v>0.7</v>
      </c>
      <c r="P12" s="370">
        <f t="shared" si="10"/>
        <v>8.3999999999999995E-3</v>
      </c>
      <c r="Q12" s="371">
        <f>'VAN d''exploitation '!W148</f>
        <v>616746.22883777251</v>
      </c>
      <c r="R12" s="372">
        <f>'Scénario 1'!$C$27</f>
        <v>-90276.297039525976</v>
      </c>
      <c r="S12" s="372">
        <f t="shared" si="11"/>
        <v>526469.93179824657</v>
      </c>
      <c r="T12" s="372">
        <f t="shared" si="12"/>
        <v>4422.347427105271</v>
      </c>
      <c r="U12" s="373">
        <f t="shared" si="13"/>
        <v>0.3293998359018584</v>
      </c>
      <c r="V12" s="374">
        <f t="shared" si="14"/>
        <v>2.7669586215756103E-3</v>
      </c>
      <c r="W12" s="375">
        <f>1+(S12/-'Scénario 1'!$S$23)</f>
        <v>5.8910250074158927</v>
      </c>
      <c r="X12" s="376">
        <f t="shared" si="15"/>
        <v>4.9484610062293495E-2</v>
      </c>
      <c r="Y12" s="393">
        <f t="shared" si="0"/>
        <v>1151134771.4271667</v>
      </c>
      <c r="Z12" s="962">
        <f t="shared" si="16"/>
        <v>204.2288200660382</v>
      </c>
      <c r="AA12" s="963"/>
      <c r="AB12" s="327"/>
      <c r="AC12" s="327"/>
      <c r="AD12" s="966"/>
      <c r="AE12" s="968" t="s">
        <v>400</v>
      </c>
      <c r="AF12" s="409">
        <v>1</v>
      </c>
      <c r="AG12" s="410">
        <v>0.1</v>
      </c>
      <c r="AH12" s="411">
        <v>0.5</v>
      </c>
      <c r="AI12" s="327"/>
      <c r="AL12" s="328">
        <v>6</v>
      </c>
      <c r="AM12" s="395">
        <f>'Scénario 1'!C$25</f>
        <v>-4652.3076923076924</v>
      </c>
      <c r="AN12" s="395">
        <f>'Scénario 1'!D$25</f>
        <v>-16728.024760770848</v>
      </c>
      <c r="AO12" s="395">
        <f>'Scénario 1'!E$25</f>
        <v>-37460.238859854901</v>
      </c>
      <c r="AP12" s="395">
        <f>'Scénario 1'!F$25</f>
        <v>-29226.507530881718</v>
      </c>
      <c r="AQ12" s="395">
        <f>'Scénario 1'!G$25+'VAN d''exploitation '!K148</f>
        <v>-47954.058040352917</v>
      </c>
      <c r="AR12" s="395">
        <f>'Scénario 1'!H$25+'VAN d''exploitation '!L148</f>
        <v>85704.021494464279</v>
      </c>
      <c r="AS12" s="395">
        <f>'Scénario 1'!I$25+'VAN d''exploitation '!M148</f>
        <v>79594.131232837433</v>
      </c>
      <c r="AT12" s="395">
        <f>'Scénario 1'!J$25+'VAN d''exploitation '!N148</f>
        <v>73141.563285458964</v>
      </c>
      <c r="AU12" s="395">
        <f>'Scénario 1'!K$25+'VAN d''exploitation '!O148</f>
        <v>66023.759427530211</v>
      </c>
      <c r="AV12" s="395">
        <f>'Scénario 1'!L$25+'VAN d''exploitation '!P148</f>
        <v>60339.620235020986</v>
      </c>
      <c r="AW12" s="395">
        <f>'Scénario 1'!M$25+'VAN d''exploitation '!Q148</f>
        <v>56154.625804720228</v>
      </c>
      <c r="AX12" s="395">
        <f>'Scénario 1'!N$25+'VAN d''exploitation '!R148</f>
        <v>52259.644987416294</v>
      </c>
      <c r="AY12" s="395">
        <f>'Scénario 1'!O$25+'VAN d''exploitation '!S148</f>
        <v>48634.601997748614</v>
      </c>
      <c r="AZ12" s="395">
        <f>'Scénario 1'!P$25+'VAN d''exploitation '!T148</f>
        <v>45260.808854323477</v>
      </c>
      <c r="BA12" s="395">
        <f>'Scénario 1'!Q$25+'VAN d''exploitation '!U148</f>
        <v>42120.869612212358</v>
      </c>
      <c r="BB12" s="395">
        <f>'Scénario 1'!R$25+'VAN d''exploitation '!V148</f>
        <v>53257.421750681846</v>
      </c>
      <c r="BC12" s="396">
        <f t="shared" si="17"/>
        <v>8.3999999999999995E-3</v>
      </c>
      <c r="BD12" s="397">
        <f t="shared" si="18"/>
        <v>526469.93179824657</v>
      </c>
      <c r="BE12" s="398">
        <f t="shared" si="19"/>
        <v>526469.93179824657</v>
      </c>
      <c r="BF12" s="399">
        <f t="shared" si="20"/>
        <v>0</v>
      </c>
    </row>
    <row r="13" spans="1:58" s="324" customFormat="1" ht="30.75" customHeight="1">
      <c r="A13" s="368">
        <v>7</v>
      </c>
      <c r="B13" s="369">
        <v>1112112</v>
      </c>
      <c r="C13" s="327" t="str">
        <f t="shared" si="1"/>
        <v>2112</v>
      </c>
      <c r="D13" s="327" t="str">
        <f t="shared" si="2"/>
        <v>2</v>
      </c>
      <c r="E13" s="327">
        <v>2</v>
      </c>
      <c r="F13" s="359">
        <f t="shared" si="3"/>
        <v>0.3</v>
      </c>
      <c r="G13" s="327">
        <f t="shared" si="4"/>
        <v>1</v>
      </c>
      <c r="H13" s="327">
        <v>1</v>
      </c>
      <c r="I13" s="359">
        <f t="shared" si="5"/>
        <v>0.1</v>
      </c>
      <c r="J13" s="327">
        <f t="shared" si="6"/>
        <v>1</v>
      </c>
      <c r="K13" s="327">
        <v>1</v>
      </c>
      <c r="L13" s="359">
        <f t="shared" si="7"/>
        <v>0.4</v>
      </c>
      <c r="M13" s="327" t="str">
        <f t="shared" si="8"/>
        <v>2</v>
      </c>
      <c r="N13" s="360">
        <v>2</v>
      </c>
      <c r="O13" s="359">
        <f t="shared" si="9"/>
        <v>0.3</v>
      </c>
      <c r="P13" s="370">
        <f t="shared" si="10"/>
        <v>3.5999999999999999E-3</v>
      </c>
      <c r="Q13" s="371">
        <f>'VAN d''exploitation '!W172</f>
        <v>585336.27433770115</v>
      </c>
      <c r="R13" s="372">
        <f>'Scénario 1'!$C$27</f>
        <v>-90276.297039525976</v>
      </c>
      <c r="S13" s="372">
        <f t="shared" si="11"/>
        <v>495059.97729817516</v>
      </c>
      <c r="T13" s="372">
        <f t="shared" si="12"/>
        <v>1782.2159182734306</v>
      </c>
      <c r="U13" s="373">
        <f t="shared" si="13"/>
        <v>0.3224010835559068</v>
      </c>
      <c r="V13" s="374">
        <f t="shared" si="14"/>
        <v>1.1606439008012644E-3</v>
      </c>
      <c r="W13" s="375">
        <f>1+(S13/-'Scénario 1'!$S$23)</f>
        <v>5.5992194100536539</v>
      </c>
      <c r="X13" s="376">
        <f t="shared" si="15"/>
        <v>2.0157189876193152E-2</v>
      </c>
      <c r="Y13" s="393">
        <f t="shared" si="0"/>
        <v>413176331.70749313</v>
      </c>
      <c r="Z13" s="962">
        <f t="shared" si="16"/>
        <v>204.16567562620679</v>
      </c>
      <c r="AA13" s="963"/>
      <c r="AB13" s="327"/>
      <c r="AC13" s="327"/>
      <c r="AD13" s="966"/>
      <c r="AE13" s="968"/>
      <c r="AF13" s="409">
        <v>2</v>
      </c>
      <c r="AG13" s="410">
        <v>0.6</v>
      </c>
      <c r="AH13" s="411">
        <v>0.33</v>
      </c>
      <c r="AI13" s="327"/>
      <c r="AL13" s="328">
        <v>7</v>
      </c>
      <c r="AM13" s="395">
        <f>'Scénario 1'!C$25</f>
        <v>-4652.3076923076924</v>
      </c>
      <c r="AN13" s="395">
        <f>'Scénario 1'!D$25</f>
        <v>-16728.024760770848</v>
      </c>
      <c r="AO13" s="395">
        <f>'Scénario 1'!E$25</f>
        <v>-37460.238859854901</v>
      </c>
      <c r="AP13" s="395">
        <f>'Scénario 1'!F$25</f>
        <v>-29226.507530881718</v>
      </c>
      <c r="AQ13" s="395">
        <f>'Scénario 1'!G$25+'VAN d''exploitation '!K172</f>
        <v>-47649.358537585591</v>
      </c>
      <c r="AR13" s="395">
        <f>'Scénario 1'!H$25+'VAN d''exploitation '!L172</f>
        <v>85185.797332851449</v>
      </c>
      <c r="AS13" s="395">
        <f>'Scénario 1'!I$25+'VAN d''exploitation '!M172</f>
        <v>78373.336983312402</v>
      </c>
      <c r="AT13" s="395">
        <f>'Scénario 1'!J$25+'VAN d''exploitation '!N172</f>
        <v>71325.212851332573</v>
      </c>
      <c r="AU13" s="395">
        <f>'Scénario 1'!K$25+'VAN d''exploitation '!O172</f>
        <v>63706.845991304828</v>
      </c>
      <c r="AV13" s="395">
        <f>'Scénario 1'!L$25+'VAN d''exploitation '!P172</f>
        <v>57606.312684130819</v>
      </c>
      <c r="AW13" s="395">
        <f>'Scénario 1'!M$25+'VAN d''exploitation '!Q172</f>
        <v>53079.353576375615</v>
      </c>
      <c r="AX13" s="395">
        <f>'Scénario 1'!N$25+'VAN d''exploitation '!R172</f>
        <v>48908.081326184772</v>
      </c>
      <c r="AY13" s="395">
        <f>'Scénario 1'!O$25+'VAN d''exploitation '!S172</f>
        <v>45064.554748662333</v>
      </c>
      <c r="AZ13" s="395">
        <f>'Scénario 1'!P$25+'VAN d''exploitation '!T172</f>
        <v>41523.027117862024</v>
      </c>
      <c r="BA13" s="395">
        <f>'Scénario 1'!Q$25+'VAN d''exploitation '!U172</f>
        <v>38259.773859211695</v>
      </c>
      <c r="BB13" s="395">
        <f>'Scénario 1'!R$25+'VAN d''exploitation '!V172</f>
        <v>47744.118208347383</v>
      </c>
      <c r="BC13" s="396">
        <f t="shared" si="17"/>
        <v>3.5999999999999999E-3</v>
      </c>
      <c r="BD13" s="397">
        <f t="shared" si="18"/>
        <v>495059.97729817522</v>
      </c>
      <c r="BE13" s="398">
        <f t="shared" si="19"/>
        <v>495059.97729817516</v>
      </c>
      <c r="BF13" s="399">
        <f t="shared" si="20"/>
        <v>0</v>
      </c>
    </row>
    <row r="14" spans="1:58" s="324" customFormat="1" ht="30.75" customHeight="1">
      <c r="A14" s="368">
        <v>8</v>
      </c>
      <c r="B14" s="369">
        <v>1112121</v>
      </c>
      <c r="C14" s="327" t="str">
        <f t="shared" si="1"/>
        <v>2121</v>
      </c>
      <c r="D14" s="327" t="str">
        <f t="shared" si="2"/>
        <v>2</v>
      </c>
      <c r="E14" s="327">
        <v>2</v>
      </c>
      <c r="F14" s="359">
        <f t="shared" si="3"/>
        <v>0.3</v>
      </c>
      <c r="G14" s="327">
        <f t="shared" si="4"/>
        <v>1</v>
      </c>
      <c r="H14" s="327">
        <v>1</v>
      </c>
      <c r="I14" s="359">
        <f t="shared" si="5"/>
        <v>0.1</v>
      </c>
      <c r="J14" s="327">
        <f t="shared" si="6"/>
        <v>2</v>
      </c>
      <c r="K14" s="327">
        <v>2</v>
      </c>
      <c r="L14" s="359">
        <f t="shared" si="7"/>
        <v>0.6</v>
      </c>
      <c r="M14" s="327" t="str">
        <f t="shared" si="8"/>
        <v>1</v>
      </c>
      <c r="N14" s="360">
        <v>1</v>
      </c>
      <c r="O14" s="359">
        <f t="shared" si="9"/>
        <v>0.7</v>
      </c>
      <c r="P14" s="370">
        <f t="shared" si="10"/>
        <v>1.2599999999999998E-2</v>
      </c>
      <c r="Q14" s="371">
        <f>'VAN d''exploitation '!W196</f>
        <v>304546.57083358796</v>
      </c>
      <c r="R14" s="372">
        <f>'Scénario 1'!$C$27</f>
        <v>-90276.297039525976</v>
      </c>
      <c r="S14" s="372">
        <f t="shared" si="11"/>
        <v>214270.27379406197</v>
      </c>
      <c r="T14" s="372">
        <f t="shared" si="12"/>
        <v>2699.8054498051806</v>
      </c>
      <c r="U14" s="373">
        <f t="shared" si="13"/>
        <v>0.18520063585195845</v>
      </c>
      <c r="V14" s="374">
        <f t="shared" si="14"/>
        <v>2.3335280117346762E-3</v>
      </c>
      <c r="W14" s="375">
        <f>1+(S14/-'Scénario 1'!$S$23)</f>
        <v>2.990619414660554</v>
      </c>
      <c r="X14" s="376">
        <f t="shared" si="15"/>
        <v>3.7681804624722974E-2</v>
      </c>
      <c r="Y14" s="393">
        <f t="shared" si="0"/>
        <v>42370740.834429272</v>
      </c>
      <c r="Z14" s="962">
        <f t="shared" si="16"/>
        <v>263.16292242588958</v>
      </c>
      <c r="AA14" s="963"/>
      <c r="AB14" s="327"/>
      <c r="AC14" s="327"/>
      <c r="AD14" s="966"/>
      <c r="AE14" s="968"/>
      <c r="AF14" s="409">
        <v>3</v>
      </c>
      <c r="AG14" s="410">
        <v>0.3</v>
      </c>
      <c r="AH14" s="411">
        <v>0.2</v>
      </c>
      <c r="AI14" s="327"/>
      <c r="AL14" s="328">
        <v>8</v>
      </c>
      <c r="AM14" s="395">
        <f>'Scénario 1'!C$25</f>
        <v>-4652.3076923076924</v>
      </c>
      <c r="AN14" s="395">
        <f>'Scénario 1'!D$25</f>
        <v>-16728.024760770848</v>
      </c>
      <c r="AO14" s="395">
        <f>'Scénario 1'!E$25</f>
        <v>-37460.238859854901</v>
      </c>
      <c r="AP14" s="395">
        <f>'Scénario 1'!F$25</f>
        <v>-29226.507530881718</v>
      </c>
      <c r="AQ14" s="395">
        <f>'Scénario 1'!G$25+'VAN d''exploitation '!K196</f>
        <v>-32414.383399219463</v>
      </c>
      <c r="AR14" s="395">
        <f>'Scénario 1'!H$25+'VAN d''exploitation '!L196</f>
        <v>44957.890844394889</v>
      </c>
      <c r="AS14" s="395">
        <f>'Scénario 1'!I$25+'VAN d''exploitation '!M196</f>
        <v>41683.053902486536</v>
      </c>
      <c r="AT14" s="395">
        <f>'Scénario 1'!J$25+'VAN d''exploitation '!N196</f>
        <v>37868.280610079382</v>
      </c>
      <c r="AU14" s="395">
        <f>'Scénario 1'!K$25+'VAN d''exploitation '!O196</f>
        <v>33204.737697932804</v>
      </c>
      <c r="AV14" s="395">
        <f>'Scénario 1'!L$25+'VAN d''exploitation '!P196</f>
        <v>29804.09573620294</v>
      </c>
      <c r="AW14" s="395">
        <f>'Scénario 1'!M$25+'VAN d''exploitation '!Q196</f>
        <v>27743.716299241991</v>
      </c>
      <c r="AX14" s="395">
        <f>'Scénario 1'!N$25+'VAN d''exploitation '!R196</f>
        <v>25825.52302040314</v>
      </c>
      <c r="AY14" s="395">
        <f>'Scénario 1'!O$25+'VAN d''exploitation '!S196</f>
        <v>24039.725722063373</v>
      </c>
      <c r="AZ14" s="395">
        <f>'Scénario 1'!P$25+'VAN d''exploitation '!T196</f>
        <v>22377.206373744662</v>
      </c>
      <c r="BA14" s="395">
        <f>'Scénario 1'!Q$25+'VAN d''exploitation '!U196</f>
        <v>20829.47311891722</v>
      </c>
      <c r="BB14" s="395">
        <f>'Scénario 1'!R$25+'VAN d''exploitation '!V196</f>
        <v>26418.032711629672</v>
      </c>
      <c r="BC14" s="396">
        <f t="shared" si="17"/>
        <v>1.2599999999999998E-2</v>
      </c>
      <c r="BD14" s="397">
        <f t="shared" si="18"/>
        <v>214270.273794062</v>
      </c>
      <c r="BE14" s="398">
        <f t="shared" si="19"/>
        <v>214270.27379406197</v>
      </c>
      <c r="BF14" s="399">
        <f t="shared" si="20"/>
        <v>0</v>
      </c>
    </row>
    <row r="15" spans="1:58" s="324" customFormat="1" ht="30.75" customHeight="1">
      <c r="A15" s="368">
        <v>9</v>
      </c>
      <c r="B15" s="369">
        <v>1112122</v>
      </c>
      <c r="C15" s="327" t="str">
        <f t="shared" si="1"/>
        <v>2122</v>
      </c>
      <c r="D15" s="327" t="str">
        <f t="shared" si="2"/>
        <v>2</v>
      </c>
      <c r="E15" s="327">
        <v>2</v>
      </c>
      <c r="F15" s="359">
        <f t="shared" si="3"/>
        <v>0.3</v>
      </c>
      <c r="G15" s="327">
        <f t="shared" si="4"/>
        <v>1</v>
      </c>
      <c r="H15" s="327">
        <v>1</v>
      </c>
      <c r="I15" s="359">
        <f t="shared" si="5"/>
        <v>0.1</v>
      </c>
      <c r="J15" s="327">
        <f t="shared" si="6"/>
        <v>2</v>
      </c>
      <c r="K15" s="327">
        <v>2</v>
      </c>
      <c r="L15" s="359">
        <f t="shared" si="7"/>
        <v>0.6</v>
      </c>
      <c r="M15" s="327" t="str">
        <f t="shared" si="8"/>
        <v>2</v>
      </c>
      <c r="N15" s="360">
        <v>2</v>
      </c>
      <c r="O15" s="359">
        <f t="shared" si="9"/>
        <v>0.3</v>
      </c>
      <c r="P15" s="370">
        <f t="shared" si="10"/>
        <v>5.3999999999999994E-3</v>
      </c>
      <c r="Q15" s="371">
        <f>'VAN d''exploitation '!W220</f>
        <v>288841.59358355223</v>
      </c>
      <c r="R15" s="372">
        <f>'Scénario 1'!$C$27</f>
        <v>-90276.297039525976</v>
      </c>
      <c r="S15" s="372">
        <f t="shared" si="11"/>
        <v>198565.29654402623</v>
      </c>
      <c r="T15" s="372">
        <f t="shared" si="12"/>
        <v>1072.2526013377415</v>
      </c>
      <c r="U15" s="373">
        <f t="shared" si="13"/>
        <v>0.17814645423002418</v>
      </c>
      <c r="V15" s="374">
        <f t="shared" si="14"/>
        <v>9.6199085284213049E-4</v>
      </c>
      <c r="W15" s="375">
        <f>1+(S15/-'Scénario 1'!$S$23)</f>
        <v>2.8447166159794341</v>
      </c>
      <c r="X15" s="376">
        <f t="shared" si="15"/>
        <v>1.5361469726288943E-2</v>
      </c>
      <c r="Y15" s="393">
        <f t="shared" si="0"/>
        <v>9654998.6171673145</v>
      </c>
      <c r="Z15" s="962">
        <f t="shared" si="16"/>
        <v>263.44438499631849</v>
      </c>
      <c r="AA15" s="963"/>
      <c r="AB15" s="327"/>
      <c r="AC15" s="327"/>
      <c r="AD15" s="327"/>
      <c r="AE15" s="557" t="s">
        <v>402</v>
      </c>
      <c r="AF15" s="412">
        <v>1</v>
      </c>
      <c r="AG15" s="413">
        <v>1</v>
      </c>
      <c r="AH15" s="417">
        <v>1</v>
      </c>
      <c r="AI15" s="327"/>
      <c r="AL15" s="328">
        <v>9</v>
      </c>
      <c r="AM15" s="395">
        <f>'Scénario 1'!C$25</f>
        <v>-4652.3076923076924</v>
      </c>
      <c r="AN15" s="395">
        <f>'Scénario 1'!D$25</f>
        <v>-16728.024760770848</v>
      </c>
      <c r="AO15" s="395">
        <f>'Scénario 1'!E$25</f>
        <v>-37460.238859854901</v>
      </c>
      <c r="AP15" s="395">
        <f>'Scénario 1'!F$25</f>
        <v>-29226.507530881718</v>
      </c>
      <c r="AQ15" s="395">
        <f>'Scénario 1'!G$25+'VAN d''exploitation '!K220</f>
        <v>-32262.0336478358</v>
      </c>
      <c r="AR15" s="395">
        <f>'Scénario 1'!H$25+'VAN d''exploitation '!L220</f>
        <v>44698.778763588482</v>
      </c>
      <c r="AS15" s="395">
        <f>'Scénario 1'!I$25+'VAN d''exploitation '!M220</f>
        <v>41072.656777724012</v>
      </c>
      <c r="AT15" s="395">
        <f>'Scénario 1'!J$25+'VAN d''exploitation '!N220</f>
        <v>36960.105393016187</v>
      </c>
      <c r="AU15" s="395">
        <f>'Scénario 1'!K$25+'VAN d''exploitation '!O220</f>
        <v>32046.280979820116</v>
      </c>
      <c r="AV15" s="395">
        <f>'Scénario 1'!L$25+'VAN d''exploitation '!P220</f>
        <v>28437.44196075786</v>
      </c>
      <c r="AW15" s="395">
        <f>'Scénario 1'!M$25+'VAN d''exploitation '!Q220</f>
        <v>26206.080185069684</v>
      </c>
      <c r="AX15" s="395">
        <f>'Scénario 1'!N$25+'VAN d''exploitation '!R220</f>
        <v>24149.741189787379</v>
      </c>
      <c r="AY15" s="395">
        <f>'Scénario 1'!O$25+'VAN d''exploitation '!S220</f>
        <v>22254.702097520229</v>
      </c>
      <c r="AZ15" s="395">
        <f>'Scénario 1'!P$25+'VAN d''exploitation '!T220</f>
        <v>20508.315505513936</v>
      </c>
      <c r="BA15" s="395">
        <f>'Scénario 1'!Q$25+'VAN d''exploitation '!U220</f>
        <v>18898.925242416888</v>
      </c>
      <c r="BB15" s="395">
        <f>'Scénario 1'!R$25+'VAN d''exploitation '!V220</f>
        <v>23661.380940462441</v>
      </c>
      <c r="BC15" s="396">
        <f t="shared" si="17"/>
        <v>5.3999999999999994E-3</v>
      </c>
      <c r="BD15" s="397">
        <f t="shared" si="18"/>
        <v>198565.29654402623</v>
      </c>
      <c r="BE15" s="398">
        <f t="shared" si="19"/>
        <v>198565.29654402623</v>
      </c>
      <c r="BF15" s="399">
        <f t="shared" si="20"/>
        <v>0</v>
      </c>
    </row>
    <row r="16" spans="1:58" s="324" customFormat="1" ht="30.75" customHeight="1">
      <c r="A16" s="368">
        <v>10</v>
      </c>
      <c r="B16" s="369">
        <v>1112211</v>
      </c>
      <c r="C16" s="327" t="str">
        <f t="shared" si="1"/>
        <v>2211</v>
      </c>
      <c r="D16" s="327" t="str">
        <f t="shared" si="2"/>
        <v>2</v>
      </c>
      <c r="E16" s="327">
        <v>2</v>
      </c>
      <c r="F16" s="359">
        <f t="shared" si="3"/>
        <v>0.3</v>
      </c>
      <c r="G16" s="327">
        <f t="shared" si="4"/>
        <v>2</v>
      </c>
      <c r="H16" s="327">
        <v>2</v>
      </c>
      <c r="I16" s="359">
        <f t="shared" si="5"/>
        <v>0.6</v>
      </c>
      <c r="J16" s="327">
        <f t="shared" si="6"/>
        <v>1</v>
      </c>
      <c r="K16" s="327">
        <v>1</v>
      </c>
      <c r="L16" s="359">
        <f t="shared" si="7"/>
        <v>0.4</v>
      </c>
      <c r="M16" s="327" t="str">
        <f t="shared" si="8"/>
        <v>1</v>
      </c>
      <c r="N16" s="360">
        <v>1</v>
      </c>
      <c r="O16" s="359">
        <f t="shared" si="9"/>
        <v>0.7</v>
      </c>
      <c r="P16" s="370">
        <f t="shared" si="10"/>
        <v>5.0399999999999993E-2</v>
      </c>
      <c r="Q16" s="371">
        <f>'VAN d''exploitation '!W244</f>
        <v>404450.46139492712</v>
      </c>
      <c r="R16" s="372">
        <f>'Scénario 1'!$C$27</f>
        <v>-90276.297039525976</v>
      </c>
      <c r="S16" s="372">
        <f t="shared" si="11"/>
        <v>314174.16435540112</v>
      </c>
      <c r="T16" s="372">
        <f t="shared" si="12"/>
        <v>15834.377883512214</v>
      </c>
      <c r="U16" s="373">
        <f t="shared" si="13"/>
        <v>0.23951787883192632</v>
      </c>
      <c r="V16" s="374">
        <f t="shared" si="14"/>
        <v>1.2071701093129085E-2</v>
      </c>
      <c r="W16" s="375">
        <f>1+(S16/-'Scénario 1'!$S$23)</f>
        <v>3.9187492043422631</v>
      </c>
      <c r="X16" s="376">
        <f t="shared" si="15"/>
        <v>0.19750495989885003</v>
      </c>
      <c r="Y16" s="393">
        <f t="shared" si="0"/>
        <v>1256484851.1006348</v>
      </c>
      <c r="Z16" s="962">
        <f t="shared" si="16"/>
        <v>235.29433708155159</v>
      </c>
      <c r="AA16" s="963"/>
      <c r="AB16" s="327"/>
      <c r="AC16" s="327"/>
      <c r="AD16" s="966"/>
      <c r="AE16" s="968" t="s">
        <v>403</v>
      </c>
      <c r="AF16" s="409">
        <v>1</v>
      </c>
      <c r="AG16" s="410">
        <v>0.6</v>
      </c>
      <c r="AH16" s="415">
        <v>0.2</v>
      </c>
      <c r="AI16" s="327"/>
      <c r="AL16" s="328">
        <v>10</v>
      </c>
      <c r="AM16" s="395">
        <f>'Scénario 1'!C$25</f>
        <v>-4652.3076923076924</v>
      </c>
      <c r="AN16" s="395">
        <f>'Scénario 1'!D$25</f>
        <v>-16728.024760770848</v>
      </c>
      <c r="AO16" s="395">
        <f>'Scénario 1'!E$25</f>
        <v>-37460.238859854901</v>
      </c>
      <c r="AP16" s="395">
        <f>'Scénario 1'!F$25</f>
        <v>-29226.507530881718</v>
      </c>
      <c r="AQ16" s="395">
        <f>'Scénario 1'!G$25+'VAN d''exploitation '!K244</f>
        <v>-37387.079284382169</v>
      </c>
      <c r="AR16" s="395">
        <f>'Scénario 1'!H$25+'VAN d''exploitation '!L244</f>
        <v>57996.652652417099</v>
      </c>
      <c r="AS16" s="395">
        <f>'Scénario 1'!I$25+'VAN d''exploitation '!M244</f>
        <v>53814.598648198822</v>
      </c>
      <c r="AT16" s="395">
        <f>'Scénario 1'!J$25+'VAN d''exploitation '!N244</f>
        <v>49155.731066200853</v>
      </c>
      <c r="AU16" s="395">
        <f>'Scénario 1'!K$25+'VAN d''exploitation '!O244</f>
        <v>43706.824651403978</v>
      </c>
      <c r="AV16" s="395">
        <f>'Scénario 1'!L$25+'VAN d''exploitation '!P244</f>
        <v>39575.46357582471</v>
      </c>
      <c r="AW16" s="395">
        <f>'Scénario 1'!M$25+'VAN d''exploitation '!Q244</f>
        <v>36835.207340995032</v>
      </c>
      <c r="AX16" s="395">
        <f>'Scénario 1'!N$25+'VAN d''exploitation '!R244</f>
        <v>34284.442049847341</v>
      </c>
      <c r="AY16" s="395">
        <f>'Scénario 1'!O$25+'VAN d''exploitation '!S244</f>
        <v>31910.08613028266</v>
      </c>
      <c r="AZ16" s="395">
        <f>'Scénario 1'!P$25+'VAN d''exploitation '!T244</f>
        <v>29699.959167529873</v>
      </c>
      <c r="BA16" s="395">
        <f>'Scénario 1'!Q$25+'VAN d''exploitation '!U244</f>
        <v>27642.719996771662</v>
      </c>
      <c r="BB16" s="395">
        <f>'Scénario 1'!R$25+'VAN d''exploitation '!V244</f>
        <v>35006.637204126375</v>
      </c>
      <c r="BC16" s="396">
        <f t="shared" si="17"/>
        <v>5.0399999999999993E-2</v>
      </c>
      <c r="BD16" s="397">
        <f t="shared" si="18"/>
        <v>314174.16435540107</v>
      </c>
      <c r="BE16" s="398">
        <f t="shared" si="19"/>
        <v>314174.16435540112</v>
      </c>
      <c r="BF16" s="399">
        <f t="shared" si="20"/>
        <v>0</v>
      </c>
    </row>
    <row r="17" spans="1:58" s="324" customFormat="1" ht="30.75" customHeight="1">
      <c r="A17" s="368">
        <v>11</v>
      </c>
      <c r="B17" s="369">
        <v>1112212</v>
      </c>
      <c r="C17" s="327" t="str">
        <f t="shared" si="1"/>
        <v>2212</v>
      </c>
      <c r="D17" s="327" t="str">
        <f t="shared" si="2"/>
        <v>2</v>
      </c>
      <c r="E17" s="327">
        <v>2</v>
      </c>
      <c r="F17" s="359">
        <f t="shared" si="3"/>
        <v>0.3</v>
      </c>
      <c r="G17" s="327">
        <f t="shared" si="4"/>
        <v>2</v>
      </c>
      <c r="H17" s="327">
        <v>2</v>
      </c>
      <c r="I17" s="359">
        <f t="shared" si="5"/>
        <v>0.6</v>
      </c>
      <c r="J17" s="327">
        <f t="shared" si="6"/>
        <v>1</v>
      </c>
      <c r="K17" s="327">
        <v>1</v>
      </c>
      <c r="L17" s="359">
        <f t="shared" si="7"/>
        <v>0.4</v>
      </c>
      <c r="M17" s="327" t="str">
        <f t="shared" si="8"/>
        <v>2</v>
      </c>
      <c r="N17" s="360">
        <v>2</v>
      </c>
      <c r="O17" s="359">
        <f t="shared" si="9"/>
        <v>0.3</v>
      </c>
      <c r="P17" s="370">
        <f t="shared" si="10"/>
        <v>2.1599999999999998E-2</v>
      </c>
      <c r="Q17" s="371">
        <f>'VAN d''exploitation '!W268</f>
        <v>383719.89142487996</v>
      </c>
      <c r="R17" s="372">
        <f>'Scénario 1'!$C$27</f>
        <v>-90276.297039525976</v>
      </c>
      <c r="S17" s="372">
        <f t="shared" si="11"/>
        <v>293443.59438535396</v>
      </c>
      <c r="T17" s="372">
        <f t="shared" si="12"/>
        <v>6338.3816387236448</v>
      </c>
      <c r="U17" s="373">
        <f t="shared" si="13"/>
        <v>0.23247853229223026</v>
      </c>
      <c r="V17" s="374">
        <f t="shared" si="14"/>
        <v>5.0215362975121729E-3</v>
      </c>
      <c r="W17" s="375">
        <f>1+(S17/-'Scénario 1'!$S$23)</f>
        <v>3.7261575100831852</v>
      </c>
      <c r="X17" s="376">
        <f t="shared" si="15"/>
        <v>8.0485002217796794E-2</v>
      </c>
      <c r="Y17" s="393">
        <f t="shared" si="0"/>
        <v>406373337.79889572</v>
      </c>
      <c r="Z17" s="962">
        <f t="shared" si="16"/>
        <v>235.41705280111859</v>
      </c>
      <c r="AA17" s="963"/>
      <c r="AB17" s="327"/>
      <c r="AC17" s="327"/>
      <c r="AD17" s="966"/>
      <c r="AE17" s="968"/>
      <c r="AF17" s="409">
        <v>2</v>
      </c>
      <c r="AG17" s="410">
        <v>0.3</v>
      </c>
      <c r="AH17" s="415">
        <v>0.15</v>
      </c>
      <c r="AI17" s="327"/>
      <c r="AL17" s="328">
        <v>11</v>
      </c>
      <c r="AM17" s="395">
        <f>'Scénario 1'!C$25</f>
        <v>-4652.3076923076924</v>
      </c>
      <c r="AN17" s="395">
        <f>'Scénario 1'!D$25</f>
        <v>-16728.024760770848</v>
      </c>
      <c r="AO17" s="395">
        <f>'Scénario 1'!E$25</f>
        <v>-37460.238859854901</v>
      </c>
      <c r="AP17" s="395">
        <f>'Scénario 1'!F$25</f>
        <v>-29226.507530881718</v>
      </c>
      <c r="AQ17" s="395">
        <f>'Scénario 1'!G$25+'VAN d''exploitation '!K268</f>
        <v>-37185.97761255574</v>
      </c>
      <c r="AR17" s="395">
        <f>'Scénario 1'!H$25+'VAN d''exploitation '!L268</f>
        <v>57654.624705752642</v>
      </c>
      <c r="AS17" s="395">
        <f>'Scénario 1'!I$25+'VAN d''exploitation '!M268</f>
        <v>53008.874443512301</v>
      </c>
      <c r="AT17" s="395">
        <f>'Scénario 1'!J$25+'VAN d''exploitation '!N268</f>
        <v>47956.939779677443</v>
      </c>
      <c r="AU17" s="395">
        <f>'Scénario 1'!K$25+'VAN d''exploitation '!O268</f>
        <v>42177.661783495234</v>
      </c>
      <c r="AV17" s="395">
        <f>'Scénario 1'!L$25+'VAN d''exploitation '!P268</f>
        <v>37771.480592237211</v>
      </c>
      <c r="AW17" s="395">
        <f>'Scénario 1'!M$25+'VAN d''exploitation '!Q268</f>
        <v>34805.527670287585</v>
      </c>
      <c r="AX17" s="395">
        <f>'Scénario 1'!N$25+'VAN d''exploitation '!R268</f>
        <v>32072.410033434549</v>
      </c>
      <c r="AY17" s="395">
        <f>'Scénario 1'!O$25+'VAN d''exploitation '!S268</f>
        <v>29553.854945885694</v>
      </c>
      <c r="AZ17" s="395">
        <f>'Scénario 1'!P$25+'VAN d''exploitation '!T268</f>
        <v>27233.02322146533</v>
      </c>
      <c r="BA17" s="395">
        <f>'Scénario 1'!Q$25+'VAN d''exploitation '!U268</f>
        <v>25094.39679979123</v>
      </c>
      <c r="BB17" s="395">
        <f>'Scénario 1'!R$25+'VAN d''exploitation '!V268</f>
        <v>31367.856866185622</v>
      </c>
      <c r="BC17" s="396">
        <f t="shared" si="17"/>
        <v>2.1599999999999998E-2</v>
      </c>
      <c r="BD17" s="397">
        <f t="shared" si="18"/>
        <v>293443.59438535391</v>
      </c>
      <c r="BE17" s="398">
        <f t="shared" si="19"/>
        <v>293443.59438535396</v>
      </c>
      <c r="BF17" s="399">
        <f t="shared" si="20"/>
        <v>0</v>
      </c>
    </row>
    <row r="18" spans="1:58" s="324" customFormat="1" ht="30.75" customHeight="1">
      <c r="A18" s="368">
        <v>12</v>
      </c>
      <c r="B18" s="369">
        <v>1112221</v>
      </c>
      <c r="C18" s="327" t="str">
        <f t="shared" si="1"/>
        <v>2221</v>
      </c>
      <c r="D18" s="327" t="str">
        <f t="shared" si="2"/>
        <v>2</v>
      </c>
      <c r="E18" s="327">
        <v>2</v>
      </c>
      <c r="F18" s="359">
        <f t="shared" si="3"/>
        <v>0.3</v>
      </c>
      <c r="G18" s="327">
        <f t="shared" si="4"/>
        <v>2</v>
      </c>
      <c r="H18" s="327">
        <v>2</v>
      </c>
      <c r="I18" s="359">
        <f t="shared" si="5"/>
        <v>0.6</v>
      </c>
      <c r="J18" s="327">
        <f t="shared" si="6"/>
        <v>2</v>
      </c>
      <c r="K18" s="327">
        <v>2</v>
      </c>
      <c r="L18" s="359">
        <f t="shared" si="7"/>
        <v>0.6</v>
      </c>
      <c r="M18" s="327" t="str">
        <f t="shared" si="8"/>
        <v>1</v>
      </c>
      <c r="N18" s="360">
        <v>1</v>
      </c>
      <c r="O18" s="359">
        <f t="shared" si="9"/>
        <v>0.7</v>
      </c>
      <c r="P18" s="370">
        <f t="shared" si="10"/>
        <v>7.5600000000000001E-2</v>
      </c>
      <c r="Q18" s="371">
        <f>'VAN d''exploitation '!W293</f>
        <v>198398.68711216521</v>
      </c>
      <c r="R18" s="372">
        <f>'Scénario 1'!$C$27</f>
        <v>-90276.297039525976</v>
      </c>
      <c r="S18" s="372">
        <f t="shared" si="11"/>
        <v>108122.39007263923</v>
      </c>
      <c r="T18" s="372">
        <f t="shared" si="12"/>
        <v>8174.0526894915256</v>
      </c>
      <c r="U18" s="373">
        <f t="shared" si="13"/>
        <v>0.11175004361151752</v>
      </c>
      <c r="V18" s="374">
        <f t="shared" si="14"/>
        <v>8.4483032970307254E-3</v>
      </c>
      <c r="W18" s="375">
        <f>1+(S18/-'Scénario 1'!$S$23)</f>
        <v>2.0044815131237392</v>
      </c>
      <c r="X18" s="376">
        <f t="shared" si="15"/>
        <v>0.1515388023921547</v>
      </c>
      <c r="Y18" s="393">
        <f t="shared" si="0"/>
        <v>175335345.53768173</v>
      </c>
      <c r="Z18" s="962">
        <f t="shared" si="16"/>
        <v>318.37418331655692</v>
      </c>
      <c r="AA18" s="963"/>
      <c r="AB18" s="327"/>
      <c r="AC18" s="327"/>
      <c r="AD18" s="966"/>
      <c r="AE18" s="968"/>
      <c r="AF18" s="409">
        <v>3</v>
      </c>
      <c r="AG18" s="410">
        <v>0.1</v>
      </c>
      <c r="AH18" s="415">
        <v>0.1</v>
      </c>
      <c r="AI18" s="327"/>
      <c r="AL18" s="328">
        <v>12</v>
      </c>
      <c r="AM18" s="395">
        <f>'Scénario 1'!C$25</f>
        <v>-4652.3076923076924</v>
      </c>
      <c r="AN18" s="395">
        <f>'Scénario 1'!D$25</f>
        <v>-16728.024760770848</v>
      </c>
      <c r="AO18" s="395">
        <f>'Scénario 1'!E$25</f>
        <v>-37460.238859854901</v>
      </c>
      <c r="AP18" s="395">
        <f>'Scénario 1'!F$25</f>
        <v>-29226.507530881718</v>
      </c>
      <c r="AQ18" s="395">
        <f>'Scénario 1'!G$25+'VAN d''exploitation '!K293</f>
        <v>-27130.894021234089</v>
      </c>
      <c r="AR18" s="395">
        <f>'Scénario 1'!H$25+'VAN d''exploitation '!L293</f>
        <v>31104.206423371303</v>
      </c>
      <c r="AS18" s="395">
        <f>'Scénario 1'!I$25+'VAN d''exploitation '!M293</f>
        <v>28793.287610167226</v>
      </c>
      <c r="AT18" s="395">
        <f>'Scénario 1'!J$25+'VAN d''exploitation '!N293</f>
        <v>25875.364500450327</v>
      </c>
      <c r="AU18" s="395">
        <f>'Scénario 1'!K$25+'VAN d''exploitation '!O293</f>
        <v>22046.270309869691</v>
      </c>
      <c r="AV18" s="395">
        <f>'Scénario 1'!L$25+'VAN d''exploitation '!P293</f>
        <v>19422.017406604809</v>
      </c>
      <c r="AW18" s="395">
        <f>'Scénario 1'!M$25+'VAN d''exploitation '!Q293</f>
        <v>18084.007067379393</v>
      </c>
      <c r="AX18" s="395">
        <f>'Scénario 1'!N$25+'VAN d''exploitation '!R293</f>
        <v>16837.921551618674</v>
      </c>
      <c r="AY18" s="395">
        <f>'Scénario 1'!O$25+'VAN d''exploitation '!S293</f>
        <v>15677.467788330394</v>
      </c>
      <c r="AZ18" s="395">
        <f>'Scénario 1'!P$25+'VAN d''exploitation '!T293</f>
        <v>14596.781530347862</v>
      </c>
      <c r="BA18" s="395">
        <f>'Scénario 1'!Q$25+'VAN d''exploitation '!U293</f>
        <v>13590.39831119687</v>
      </c>
      <c r="BB18" s="395">
        <f>'Scénario 1'!R$25+'VAN d''exploitation '!V293</f>
        <v>17292.64043835194</v>
      </c>
      <c r="BC18" s="396">
        <f t="shared" si="17"/>
        <v>7.5600000000000001E-2</v>
      </c>
      <c r="BD18" s="397">
        <f t="shared" si="18"/>
        <v>108122.39007263923</v>
      </c>
      <c r="BE18" s="398">
        <f t="shared" si="19"/>
        <v>108122.39007263923</v>
      </c>
      <c r="BF18" s="399">
        <f t="shared" si="20"/>
        <v>0</v>
      </c>
    </row>
    <row r="19" spans="1:58" s="324" customFormat="1" ht="30.75" customHeight="1">
      <c r="A19" s="368">
        <v>13</v>
      </c>
      <c r="B19" s="369">
        <v>1112222</v>
      </c>
      <c r="C19" s="327" t="str">
        <f t="shared" si="1"/>
        <v>2222</v>
      </c>
      <c r="D19" s="327" t="str">
        <f t="shared" si="2"/>
        <v>2</v>
      </c>
      <c r="E19" s="327">
        <v>2</v>
      </c>
      <c r="F19" s="359">
        <f t="shared" si="3"/>
        <v>0.3</v>
      </c>
      <c r="G19" s="327">
        <f t="shared" si="4"/>
        <v>2</v>
      </c>
      <c r="H19" s="327">
        <v>2</v>
      </c>
      <c r="I19" s="359">
        <f t="shared" si="5"/>
        <v>0.6</v>
      </c>
      <c r="J19" s="327">
        <f t="shared" si="6"/>
        <v>2</v>
      </c>
      <c r="K19" s="327">
        <v>2</v>
      </c>
      <c r="L19" s="359">
        <f t="shared" si="7"/>
        <v>0.6</v>
      </c>
      <c r="M19" s="327" t="str">
        <f t="shared" si="8"/>
        <v>2</v>
      </c>
      <c r="N19" s="360">
        <v>2</v>
      </c>
      <c r="O19" s="359">
        <f t="shared" si="9"/>
        <v>0.3</v>
      </c>
      <c r="P19" s="370">
        <f t="shared" si="10"/>
        <v>3.2399999999999998E-2</v>
      </c>
      <c r="Q19" s="371">
        <f>'VAN d''exploitation '!W317</f>
        <v>188033.40212714166</v>
      </c>
      <c r="R19" s="372">
        <f>'Scénario 1'!$C$27</f>
        <v>-90276.297039525976</v>
      </c>
      <c r="S19" s="372">
        <f t="shared" si="11"/>
        <v>97757.105087615681</v>
      </c>
      <c r="T19" s="372">
        <f t="shared" si="12"/>
        <v>3167.3302048387477</v>
      </c>
      <c r="U19" s="373">
        <f t="shared" si="13"/>
        <v>0.10468933303189276</v>
      </c>
      <c r="V19" s="374">
        <f t="shared" si="14"/>
        <v>3.3919343902333253E-3</v>
      </c>
      <c r="W19" s="375">
        <f>1+(S19/-'Scénario 1'!$S$23)</f>
        <v>1.9081856659942003</v>
      </c>
      <c r="X19" s="376">
        <f t="shared" si="15"/>
        <v>6.1825215578212085E-2</v>
      </c>
      <c r="Y19" s="393">
        <f t="shared" si="0"/>
        <v>110971455.71577565</v>
      </c>
      <c r="Z19" s="962">
        <f t="shared" si="16"/>
        <v>318.94785119825724</v>
      </c>
      <c r="AA19" s="963"/>
      <c r="AB19" s="327"/>
      <c r="AC19" s="327"/>
      <c r="AD19" s="327"/>
      <c r="AE19" s="418" t="s">
        <v>405</v>
      </c>
      <c r="AF19" s="419">
        <v>1</v>
      </c>
      <c r="AG19" s="420">
        <v>1</v>
      </c>
      <c r="AH19" s="421">
        <v>3000</v>
      </c>
      <c r="AI19" s="327"/>
      <c r="AL19" s="328">
        <v>13</v>
      </c>
      <c r="AM19" s="395">
        <f>'Scénario 1'!C$25</f>
        <v>-4652.3076923076924</v>
      </c>
      <c r="AN19" s="395">
        <f>'Scénario 1'!D$25</f>
        <v>-16728.024760770848</v>
      </c>
      <c r="AO19" s="395">
        <f>'Scénario 1'!E$25</f>
        <v>-37460.238859854901</v>
      </c>
      <c r="AP19" s="395">
        <f>'Scénario 1'!F$25</f>
        <v>-29226.507530881718</v>
      </c>
      <c r="AQ19" s="395">
        <f>'Scénario 1'!G$25+'VAN d''exploitation '!K317</f>
        <v>-27030.343185320871</v>
      </c>
      <c r="AR19" s="395">
        <f>'Scénario 1'!H$25+'VAN d''exploitation '!L317</f>
        <v>30933.192450039078</v>
      </c>
      <c r="AS19" s="395">
        <f>'Scénario 1'!I$25+'VAN d''exploitation '!M317</f>
        <v>28390.425507823966</v>
      </c>
      <c r="AT19" s="395">
        <f>'Scénario 1'!J$25+'VAN d''exploitation '!N317</f>
        <v>25275.968857188622</v>
      </c>
      <c r="AU19" s="395">
        <f>'Scénario 1'!K$25+'VAN d''exploitation '!O317</f>
        <v>21281.688875915319</v>
      </c>
      <c r="AV19" s="395">
        <f>'Scénario 1'!L$25+'VAN d''exploitation '!P317</f>
        <v>18520.02591481106</v>
      </c>
      <c r="AW19" s="395">
        <f>'Scénario 1'!M$25+'VAN d''exploitation '!Q317</f>
        <v>17069.167232025669</v>
      </c>
      <c r="AX19" s="395">
        <f>'Scénario 1'!N$25+'VAN d''exploitation '!R317</f>
        <v>15731.905543412273</v>
      </c>
      <c r="AY19" s="395">
        <f>'Scénario 1'!O$25+'VAN d''exploitation '!S317</f>
        <v>14499.352196131913</v>
      </c>
      <c r="AZ19" s="395">
        <f>'Scénario 1'!P$25+'VAN d''exploitation '!T317</f>
        <v>13363.313557315589</v>
      </c>
      <c r="BA19" s="395">
        <f>'Scénario 1'!Q$25+'VAN d''exploitation '!U317</f>
        <v>12316.236712706652</v>
      </c>
      <c r="BB19" s="395">
        <f>'Scénario 1'!R$25+'VAN d''exploitation '!V317</f>
        <v>15473.250269381566</v>
      </c>
      <c r="BC19" s="396">
        <f t="shared" si="17"/>
        <v>3.2399999999999998E-2</v>
      </c>
      <c r="BD19" s="397">
        <f t="shared" si="18"/>
        <v>97757.105087615666</v>
      </c>
      <c r="BE19" s="398">
        <f t="shared" si="19"/>
        <v>97757.105087615681</v>
      </c>
      <c r="BF19" s="399">
        <f t="shared" si="20"/>
        <v>0</v>
      </c>
    </row>
    <row r="20" spans="1:58" s="324" customFormat="1" ht="30.75" customHeight="1">
      <c r="A20" s="368">
        <v>14</v>
      </c>
      <c r="B20" s="369">
        <v>1112311</v>
      </c>
      <c r="C20" s="327" t="str">
        <f t="shared" si="1"/>
        <v>2311</v>
      </c>
      <c r="D20" s="327" t="str">
        <f t="shared" si="2"/>
        <v>2</v>
      </c>
      <c r="E20" s="327">
        <v>2</v>
      </c>
      <c r="F20" s="359">
        <f t="shared" si="3"/>
        <v>0.3</v>
      </c>
      <c r="G20" s="327">
        <f t="shared" si="4"/>
        <v>3</v>
      </c>
      <c r="H20" s="327">
        <v>3</v>
      </c>
      <c r="I20" s="359">
        <f t="shared" si="5"/>
        <v>0.3</v>
      </c>
      <c r="J20" s="327">
        <f t="shared" si="6"/>
        <v>1</v>
      </c>
      <c r="K20" s="327">
        <v>1</v>
      </c>
      <c r="L20" s="359">
        <f t="shared" si="7"/>
        <v>0.4</v>
      </c>
      <c r="M20" s="327" t="str">
        <f t="shared" si="8"/>
        <v>1</v>
      </c>
      <c r="N20" s="360">
        <v>1</v>
      </c>
      <c r="O20" s="359">
        <f t="shared" si="9"/>
        <v>0.7</v>
      </c>
      <c r="P20" s="370">
        <f t="shared" si="10"/>
        <v>2.5199999999999997E-2</v>
      </c>
      <c r="Q20" s="371">
        <f>'VAN d''exploitation '!W341</f>
        <v>242106.63923275104</v>
      </c>
      <c r="R20" s="372">
        <f>'Scénario 1'!$C$27</f>
        <v>-90276.297039525976</v>
      </c>
      <c r="S20" s="372">
        <f t="shared" si="11"/>
        <v>151830.34219322505</v>
      </c>
      <c r="T20" s="372">
        <f t="shared" si="12"/>
        <v>3826.1246232692706</v>
      </c>
      <c r="U20" s="373">
        <f t="shared" si="13"/>
        <v>0.14464605264264385</v>
      </c>
      <c r="V20" s="374">
        <f t="shared" si="14"/>
        <v>3.6450805265946244E-3</v>
      </c>
      <c r="W20" s="375">
        <f>1+(S20/-'Scénario 1'!$S$23)</f>
        <v>2.4105382961094861</v>
      </c>
      <c r="X20" s="376">
        <f t="shared" si="15"/>
        <v>6.0745565061959043E-2</v>
      </c>
      <c r="Y20" s="393">
        <f t="shared" si="0"/>
        <v>499167.96388959914</v>
      </c>
      <c r="Z20" s="962">
        <f t="shared" si="16"/>
        <v>290.60694743792595</v>
      </c>
      <c r="AA20" s="963"/>
      <c r="AB20" s="327"/>
      <c r="AC20" s="327"/>
      <c r="AD20" s="327"/>
      <c r="AE20" s="327"/>
      <c r="AF20" s="327"/>
      <c r="AG20" s="327"/>
      <c r="AH20" s="327"/>
      <c r="AI20" s="327"/>
      <c r="AL20" s="328">
        <v>14</v>
      </c>
      <c r="AM20" s="395">
        <f>'Scénario 1'!C$25</f>
        <v>-4652.3076923076924</v>
      </c>
      <c r="AN20" s="395">
        <f>'Scénario 1'!D$25</f>
        <v>-16728.024760770848</v>
      </c>
      <c r="AO20" s="395">
        <f>'Scénario 1'!E$25</f>
        <v>-37460.238859854901</v>
      </c>
      <c r="AP20" s="395">
        <f>'Scénario 1'!F$25</f>
        <v>-29226.507530881718</v>
      </c>
      <c r="AQ20" s="395">
        <f>'Scénario 1'!G$25+'VAN d''exploitation '!K341</f>
        <v>-29306.448470992771</v>
      </c>
      <c r="AR20" s="395">
        <f>'Scénario 1'!H$25+'VAN d''exploitation '!L341</f>
        <v>36808.664714381011</v>
      </c>
      <c r="AS20" s="395">
        <f>'Scénario 1'!I$25+'VAN d''exploitation '!M341</f>
        <v>34100.83843641635</v>
      </c>
      <c r="AT20" s="395">
        <f>'Scénario 1'!J$25+'VAN d''exploitation '!N341</f>
        <v>30813.62407500347</v>
      </c>
      <c r="AU20" s="395">
        <f>'Scénario 1'!K$25+'VAN d''exploitation '!O341</f>
        <v>26640.93335201333</v>
      </c>
      <c r="AV20" s="395">
        <f>'Scénario 1'!L$25+'VAN d''exploitation '!P341</f>
        <v>23696.990836439338</v>
      </c>
      <c r="AW20" s="395">
        <f>'Scénario 1'!M$25+'VAN d''exploitation '!Q341</f>
        <v>22061.534398146345</v>
      </c>
      <c r="AX20" s="395">
        <f>'Scénario 1'!N$25+'VAN d''exploitation '!R341</f>
        <v>20538.698627000522</v>
      </c>
      <c r="AY20" s="395">
        <f>'Scénario 1'!O$25+'VAN d''exploitation '!S341</f>
        <v>19120.750466926322</v>
      </c>
      <c r="AZ20" s="395">
        <f>'Scénario 1'!P$25+'VAN d''exploitation '!T341</f>
        <v>17800.485877628897</v>
      </c>
      <c r="BA20" s="395">
        <f>'Scénario 1'!Q$25+'VAN d''exploitation '!U341</f>
        <v>16571.193820258188</v>
      </c>
      <c r="BB20" s="395">
        <f>'Scénario 1'!R$25+'VAN d''exploitation '!V341</f>
        <v>21050.154903819242</v>
      </c>
      <c r="BC20" s="396">
        <f t="shared" si="17"/>
        <v>2.5199999999999997E-2</v>
      </c>
      <c r="BD20" s="397">
        <f t="shared" si="18"/>
        <v>151830.34219322508</v>
      </c>
      <c r="BE20" s="398">
        <f t="shared" si="19"/>
        <v>151830.34219322505</v>
      </c>
      <c r="BF20" s="399">
        <f t="shared" si="20"/>
        <v>0</v>
      </c>
    </row>
    <row r="21" spans="1:58" s="324" customFormat="1" ht="30.75" customHeight="1" thickBot="1">
      <c r="A21" s="368">
        <v>15</v>
      </c>
      <c r="B21" s="369">
        <v>1112312</v>
      </c>
      <c r="C21" s="327" t="str">
        <f t="shared" si="1"/>
        <v>2312</v>
      </c>
      <c r="D21" s="327" t="str">
        <f t="shared" si="2"/>
        <v>2</v>
      </c>
      <c r="E21" s="327">
        <v>2</v>
      </c>
      <c r="F21" s="359">
        <f t="shared" si="3"/>
        <v>0.3</v>
      </c>
      <c r="G21" s="327">
        <f t="shared" si="4"/>
        <v>3</v>
      </c>
      <c r="H21" s="327">
        <v>3</v>
      </c>
      <c r="I21" s="359">
        <f t="shared" si="5"/>
        <v>0.3</v>
      </c>
      <c r="J21" s="327">
        <f t="shared" si="6"/>
        <v>1</v>
      </c>
      <c r="K21" s="327">
        <v>1</v>
      </c>
      <c r="L21" s="359">
        <f t="shared" si="7"/>
        <v>0.4</v>
      </c>
      <c r="M21" s="327" t="str">
        <f t="shared" si="8"/>
        <v>2</v>
      </c>
      <c r="N21" s="360">
        <v>2</v>
      </c>
      <c r="O21" s="359">
        <f t="shared" si="9"/>
        <v>0.3</v>
      </c>
      <c r="P21" s="370">
        <f t="shared" si="10"/>
        <v>1.0799999999999999E-2</v>
      </c>
      <c r="Q21" s="371">
        <f>'VAN d''exploitation '!W365</f>
        <v>239658.01446409081</v>
      </c>
      <c r="R21" s="372">
        <f>'Scénario 1'!$C$27</f>
        <v>-90276.297039525976</v>
      </c>
      <c r="S21" s="372">
        <f t="shared" si="11"/>
        <v>149381.71742456482</v>
      </c>
      <c r="T21" s="372">
        <f t="shared" si="12"/>
        <v>1613.3225481852999</v>
      </c>
      <c r="U21" s="373">
        <f t="shared" si="13"/>
        <v>0.14291604518932988</v>
      </c>
      <c r="V21" s="374">
        <f t="shared" si="14"/>
        <v>1.5434932880447625E-3</v>
      </c>
      <c r="W21" s="375">
        <f>1+(S21/-'Scénario 1'!$S$23)</f>
        <v>2.3877900169506212</v>
      </c>
      <c r="X21" s="376">
        <f t="shared" si="15"/>
        <v>2.5788132183066706E-2</v>
      </c>
      <c r="Y21" s="393">
        <f t="shared" si="0"/>
        <v>514079.36660847929</v>
      </c>
      <c r="Z21" s="962">
        <f t="shared" si="16"/>
        <v>291.93296890519088</v>
      </c>
      <c r="AA21" s="963"/>
      <c r="AB21" s="327"/>
      <c r="AC21" s="327"/>
      <c r="AD21" s="327"/>
      <c r="AE21" s="327"/>
      <c r="AF21" s="327"/>
      <c r="AG21" s="327"/>
      <c r="AH21" s="327"/>
      <c r="AI21" s="327"/>
      <c r="AL21" s="328">
        <v>15</v>
      </c>
      <c r="AM21" s="395">
        <f>'Scénario 1'!C$25</f>
        <v>-4652.3076923076924</v>
      </c>
      <c r="AN21" s="395">
        <f>'Scénario 1'!D$25</f>
        <v>-16728.024760770848</v>
      </c>
      <c r="AO21" s="395">
        <f>'Scénario 1'!E$25</f>
        <v>-37460.238859854901</v>
      </c>
      <c r="AP21" s="395">
        <f>'Scénario 1'!F$25</f>
        <v>-29226.507530881718</v>
      </c>
      <c r="AQ21" s="395">
        <f>'Scénario 1'!G$25+'VAN d''exploitation '!K365</f>
        <v>-29184.568669885841</v>
      </c>
      <c r="AR21" s="395">
        <f>'Scénario 1'!H$25+'VAN d''exploitation '!L365</f>
        <v>36489.087219086345</v>
      </c>
      <c r="AS21" s="395">
        <f>'Scénario 1'!I$25+'VAN d''exploitation '!M365</f>
        <v>33803.496653433212</v>
      </c>
      <c r="AT21" s="395">
        <f>'Scénario 1'!J$25+'VAN d''exploitation '!N365</f>
        <v>30536.970877549516</v>
      </c>
      <c r="AU21" s="395">
        <f>'Scénario 1'!K$25+'VAN d''exploitation '!O365</f>
        <v>26383.529260016483</v>
      </c>
      <c r="AV21" s="395">
        <f>'Scénario 1'!L$25+'VAN d''exploitation '!P365</f>
        <v>23457.496526644685</v>
      </c>
      <c r="AW21" s="395">
        <f>'Scénario 1'!M$25+'VAN d''exploitation '!Q365</f>
        <v>21838.703735358278</v>
      </c>
      <c r="AX21" s="395">
        <f>'Scénario 1'!N$25+'VAN d''exploitation '!R365</f>
        <v>20331.372180200415</v>
      </c>
      <c r="AY21" s="395">
        <f>'Scénario 1'!O$25+'VAN d''exploitation '!S365</f>
        <v>18927.849476528798</v>
      </c>
      <c r="AZ21" s="395">
        <f>'Scénario 1'!P$25+'VAN d''exploitation '!T365</f>
        <v>17621.0066424871</v>
      </c>
      <c r="BA21" s="395">
        <f>'Scénario 1'!Q$25+'VAN d''exploitation '!U365</f>
        <v>16404.202475212736</v>
      </c>
      <c r="BB21" s="395">
        <f>'Scénario 1'!R$25+'VAN d''exploitation '!V365</f>
        <v>20839.649891748253</v>
      </c>
      <c r="BC21" s="396">
        <f t="shared" si="17"/>
        <v>1.0799999999999999E-2</v>
      </c>
      <c r="BD21" s="397">
        <f t="shared" si="18"/>
        <v>149381.71742456482</v>
      </c>
      <c r="BE21" s="398">
        <f t="shared" si="19"/>
        <v>149381.71742456482</v>
      </c>
      <c r="BF21" s="399">
        <f t="shared" si="20"/>
        <v>0</v>
      </c>
    </row>
    <row r="22" spans="1:58" s="324" customFormat="1" ht="30.75" customHeight="1">
      <c r="A22" s="368">
        <v>16</v>
      </c>
      <c r="B22" s="369">
        <v>1111112</v>
      </c>
      <c r="C22" s="327" t="str">
        <f t="shared" si="1"/>
        <v>1112</v>
      </c>
      <c r="D22" s="327" t="str">
        <f t="shared" si="2"/>
        <v>1</v>
      </c>
      <c r="E22" s="327">
        <v>1</v>
      </c>
      <c r="F22" s="359">
        <f t="shared" si="3"/>
        <v>0.6</v>
      </c>
      <c r="G22" s="327">
        <f t="shared" si="4"/>
        <v>1</v>
      </c>
      <c r="H22" s="327">
        <v>1</v>
      </c>
      <c r="I22" s="359">
        <f t="shared" si="5"/>
        <v>0.1</v>
      </c>
      <c r="J22" s="327">
        <f t="shared" si="6"/>
        <v>1</v>
      </c>
      <c r="K22" s="327">
        <v>1</v>
      </c>
      <c r="L22" s="359">
        <f t="shared" si="7"/>
        <v>0.4</v>
      </c>
      <c r="M22" s="327" t="str">
        <f t="shared" si="8"/>
        <v>2</v>
      </c>
      <c r="N22" s="360">
        <v>2</v>
      </c>
      <c r="O22" s="359">
        <f t="shared" si="9"/>
        <v>0.3</v>
      </c>
      <c r="P22" s="370">
        <f t="shared" si="10"/>
        <v>7.1999999999999998E-3</v>
      </c>
      <c r="Q22" s="371">
        <f>'VAN d''exploitation '!W388</f>
        <v>547746.37494385464</v>
      </c>
      <c r="R22" s="372">
        <f>'Scénario 1'!$C$27</f>
        <v>-90276.297039525976</v>
      </c>
      <c r="S22" s="372">
        <f t="shared" si="11"/>
        <v>457470.07790432865</v>
      </c>
      <c r="T22" s="372">
        <f t="shared" si="12"/>
        <v>3293.784560911166</v>
      </c>
      <c r="U22" s="373">
        <f t="shared" si="13"/>
        <v>0.30543955884608009</v>
      </c>
      <c r="V22" s="374">
        <f t="shared" si="14"/>
        <v>2.1991648236917767E-3</v>
      </c>
      <c r="W22" s="375">
        <f>1+(S22/-'Scénario 1'!$S$23)</f>
        <v>5.2500007237488742</v>
      </c>
      <c r="X22" s="376">
        <f t="shared" si="15"/>
        <v>3.7800005210991895E-2</v>
      </c>
      <c r="Y22" s="393">
        <f t="shared" si="0"/>
        <v>653147046.55489445</v>
      </c>
      <c r="Z22" s="962">
        <f t="shared" si="16"/>
        <v>216.84090676098427</v>
      </c>
      <c r="AA22" s="963"/>
      <c r="AB22" s="327"/>
      <c r="AC22" s="327"/>
      <c r="AD22" s="327"/>
      <c r="AE22" s="970" t="s">
        <v>445</v>
      </c>
      <c r="AF22" s="971"/>
      <c r="AG22" s="327"/>
      <c r="AH22" s="327"/>
      <c r="AI22" s="327"/>
      <c r="AL22" s="328">
        <v>16</v>
      </c>
      <c r="AM22" s="395">
        <f>'Scénario 1'!C$25</f>
        <v>-4652.3076923076924</v>
      </c>
      <c r="AN22" s="395">
        <f>'Scénario 1'!D$25</f>
        <v>-16728.024760770848</v>
      </c>
      <c r="AO22" s="395">
        <f>'Scénario 1'!E$25</f>
        <v>-37460.238859854901</v>
      </c>
      <c r="AP22" s="395">
        <f>'Scénario 1'!F$25</f>
        <v>-29226.507530881718</v>
      </c>
      <c r="AQ22" s="395">
        <f>'Scénario 1'!G$25+'VAN d''exploitation '!K388</f>
        <v>-47649.358537585591</v>
      </c>
      <c r="AR22" s="395">
        <f>'Scénario 1'!H$25+'VAN d''exploitation '!L388</f>
        <v>80206.341718490032</v>
      </c>
      <c r="AS22" s="395">
        <f>'Scénario 1'!I$25+'VAN d''exploitation '!M388</f>
        <v>73785.765755970264</v>
      </c>
      <c r="AT22" s="395">
        <f>'Scénario 1'!J$25+'VAN d''exploitation '!N388</f>
        <v>67098.684612936719</v>
      </c>
      <c r="AU22" s="395">
        <f>'Scénario 1'!K$25+'VAN d''exploitation '!O388</f>
        <v>59812.9465694299</v>
      </c>
      <c r="AV22" s="395">
        <f>'Scénario 1'!L$25+'VAN d''exploitation '!P388</f>
        <v>54018.864108741036</v>
      </c>
      <c r="AW22" s="395">
        <f>'Scénario 1'!M$25+'VAN d''exploitation '!Q388</f>
        <v>49774.238090144252</v>
      </c>
      <c r="AX22" s="395">
        <f>'Scénario 1'!N$25+'VAN d''exploitation '!R388</f>
        <v>45863.079245244968</v>
      </c>
      <c r="AY22" s="395">
        <f>'Scénario 1'!O$25+'VAN d''exploitation '!S388</f>
        <v>42259.195083756917</v>
      </c>
      <c r="AZ22" s="395">
        <f>'Scénario 1'!P$25+'VAN d''exploitation '!T388</f>
        <v>38938.449951645714</v>
      </c>
      <c r="BA22" s="395">
        <f>'Scénario 1'!Q$25+'VAN d''exploitation '!U388</f>
        <v>35878.603554493566</v>
      </c>
      <c r="BB22" s="395">
        <f>'Scénario 1'!R$25+'VAN d''exploitation '!V388</f>
        <v>45550.346594876079</v>
      </c>
      <c r="BC22" s="396">
        <f t="shared" si="17"/>
        <v>7.1999999999999998E-3</v>
      </c>
      <c r="BD22" s="397">
        <f t="shared" si="18"/>
        <v>457470.0779043287</v>
      </c>
      <c r="BE22" s="398">
        <f t="shared" si="19"/>
        <v>457470.07790432865</v>
      </c>
      <c r="BF22" s="399">
        <f t="shared" si="20"/>
        <v>0</v>
      </c>
    </row>
    <row r="23" spans="1:58" s="324" customFormat="1" ht="30.75" customHeight="1" thickBot="1">
      <c r="A23" s="368">
        <v>17</v>
      </c>
      <c r="B23" s="369">
        <v>1111121</v>
      </c>
      <c r="C23" s="327" t="str">
        <f t="shared" si="1"/>
        <v>1121</v>
      </c>
      <c r="D23" s="327" t="str">
        <f t="shared" si="2"/>
        <v>1</v>
      </c>
      <c r="E23" s="327">
        <v>1</v>
      </c>
      <c r="F23" s="359">
        <f t="shared" si="3"/>
        <v>0.6</v>
      </c>
      <c r="G23" s="327">
        <f t="shared" si="4"/>
        <v>1</v>
      </c>
      <c r="H23" s="327">
        <v>1</v>
      </c>
      <c r="I23" s="359">
        <f t="shared" si="5"/>
        <v>0.1</v>
      </c>
      <c r="J23" s="327">
        <f t="shared" si="6"/>
        <v>2</v>
      </c>
      <c r="K23" s="327">
        <v>2</v>
      </c>
      <c r="L23" s="359">
        <f t="shared" si="7"/>
        <v>0.6</v>
      </c>
      <c r="M23" s="327" t="str">
        <f t="shared" si="8"/>
        <v>1</v>
      </c>
      <c r="N23" s="360">
        <v>1</v>
      </c>
      <c r="O23" s="359">
        <f t="shared" si="9"/>
        <v>0.7</v>
      </c>
      <c r="P23" s="370">
        <f t="shared" si="10"/>
        <v>2.5199999999999997E-2</v>
      </c>
      <c r="Q23" s="371">
        <f>'VAN d''exploitation '!W412</f>
        <v>284756.07458367106</v>
      </c>
      <c r="R23" s="372">
        <f>'Scénario 1'!$C$27</f>
        <v>-90276.297039525976</v>
      </c>
      <c r="S23" s="372">
        <f t="shared" si="11"/>
        <v>194479.77754414506</v>
      </c>
      <c r="T23" s="372">
        <f t="shared" si="12"/>
        <v>4900.8903941124554</v>
      </c>
      <c r="U23" s="373">
        <f t="shared" si="13"/>
        <v>0.17211827732171359</v>
      </c>
      <c r="V23" s="374">
        <f t="shared" si="14"/>
        <v>4.3373805885071814E-3</v>
      </c>
      <c r="W23" s="375">
        <f>1+(S23/-'Scénario 1'!$S$23)</f>
        <v>2.8067612183588362</v>
      </c>
      <c r="X23" s="376">
        <f t="shared" si="15"/>
        <v>7.0730382702642661E-2</v>
      </c>
      <c r="Y23" s="393">
        <f t="shared" si="0"/>
        <v>36770516.610613786</v>
      </c>
      <c r="Z23" s="962">
        <f t="shared" si="16"/>
        <v>278.7528484054526</v>
      </c>
      <c r="AA23" s="963"/>
      <c r="AB23" s="327"/>
      <c r="AC23" s="327"/>
      <c r="AD23" s="327"/>
      <c r="AE23" s="972"/>
      <c r="AF23" s="973"/>
      <c r="AG23" s="327"/>
      <c r="AH23" s="327"/>
      <c r="AI23" s="327"/>
      <c r="AL23" s="328">
        <v>17</v>
      </c>
      <c r="AM23" s="395">
        <f>'Scénario 1'!C$25</f>
        <v>-4652.3076923076924</v>
      </c>
      <c r="AN23" s="395">
        <f>'Scénario 1'!D$25</f>
        <v>-16728.024760770848</v>
      </c>
      <c r="AO23" s="395">
        <f>'Scénario 1'!E$25</f>
        <v>-37460.238859854901</v>
      </c>
      <c r="AP23" s="395">
        <f>'Scénario 1'!F$25</f>
        <v>-29226.507530881718</v>
      </c>
      <c r="AQ23" s="395">
        <f>'Scénario 1'!G$25+'VAN d''exploitation '!K412</f>
        <v>-32414.383399219463</v>
      </c>
      <c r="AR23" s="395">
        <f>'Scénario 1'!H$25+'VAN d''exploitation '!L412</f>
        <v>42443.512266846046</v>
      </c>
      <c r="AS23" s="395">
        <f>'Scénario 1'!I$25+'VAN d''exploitation '!M412</f>
        <v>39343.621932617527</v>
      </c>
      <c r="AT23" s="395">
        <f>'Scénario 1'!J$25+'VAN d''exploitation '!N412</f>
        <v>35691.622731065581</v>
      </c>
      <c r="AU23" s="395">
        <f>'Scénario 1'!K$25+'VAN d''exploitation '!O412</f>
        <v>31179.528338013646</v>
      </c>
      <c r="AV23" s="395">
        <f>'Scénario 1'!L$25+'VAN d''exploitation '!P412</f>
        <v>27919.797339542416</v>
      </c>
      <c r="AW23" s="395">
        <f>'Scénario 1'!M$25+'VAN d''exploitation '!Q412</f>
        <v>25990.524496988459</v>
      </c>
      <c r="AX23" s="395">
        <f>'Scénario 1'!N$25+'VAN d''exploitation '!R412</f>
        <v>24194.31561666264</v>
      </c>
      <c r="AY23" s="395">
        <f>'Scénario 1'!O$25+'VAN d''exploitation '!S412</f>
        <v>22522.015229350814</v>
      </c>
      <c r="AZ23" s="395">
        <f>'Scénario 1'!P$25+'VAN d''exploitation '!T412</f>
        <v>20965.095850945534</v>
      </c>
      <c r="BA23" s="395">
        <f>'Scénario 1'!Q$25+'VAN d''exploitation '!U412</f>
        <v>19515.615081976259</v>
      </c>
      <c r="BB23" s="395">
        <f>'Scénario 1'!R$25+'VAN d''exploitation '!V412</f>
        <v>25195.590903170818</v>
      </c>
      <c r="BC23" s="396">
        <f t="shared" si="17"/>
        <v>2.5199999999999997E-2</v>
      </c>
      <c r="BD23" s="397">
        <f t="shared" si="18"/>
        <v>194479.77754414512</v>
      </c>
      <c r="BE23" s="398">
        <f t="shared" si="19"/>
        <v>194479.77754414506</v>
      </c>
      <c r="BF23" s="399">
        <f t="shared" si="20"/>
        <v>0</v>
      </c>
    </row>
    <row r="24" spans="1:58" s="324" customFormat="1" ht="30.75" customHeight="1">
      <c r="A24" s="368">
        <v>18</v>
      </c>
      <c r="B24" s="369">
        <v>1111122</v>
      </c>
      <c r="C24" s="327" t="str">
        <f t="shared" si="1"/>
        <v>1122</v>
      </c>
      <c r="D24" s="327" t="str">
        <f t="shared" si="2"/>
        <v>1</v>
      </c>
      <c r="E24" s="327">
        <v>1</v>
      </c>
      <c r="F24" s="359">
        <f t="shared" si="3"/>
        <v>0.6</v>
      </c>
      <c r="G24" s="327">
        <f t="shared" si="4"/>
        <v>1</v>
      </c>
      <c r="H24" s="327">
        <v>1</v>
      </c>
      <c r="I24" s="359">
        <f t="shared" si="5"/>
        <v>0.1</v>
      </c>
      <c r="J24" s="327">
        <f t="shared" si="6"/>
        <v>2</v>
      </c>
      <c r="K24" s="327">
        <v>2</v>
      </c>
      <c r="L24" s="359">
        <f t="shared" si="7"/>
        <v>0.6</v>
      </c>
      <c r="M24" s="327" t="str">
        <f t="shared" si="8"/>
        <v>2</v>
      </c>
      <c r="N24" s="360">
        <v>2</v>
      </c>
      <c r="O24" s="359">
        <f t="shared" si="9"/>
        <v>0.3</v>
      </c>
      <c r="P24" s="370">
        <f t="shared" si="10"/>
        <v>1.0799999999999999E-2</v>
      </c>
      <c r="Q24" s="371">
        <f>'VAN d''exploitation '!W436</f>
        <v>270046.64388662903</v>
      </c>
      <c r="R24" s="372">
        <f>'Scénario 1'!$C$27</f>
        <v>-90276.297039525976</v>
      </c>
      <c r="S24" s="372">
        <f t="shared" si="11"/>
        <v>179770.34684710304</v>
      </c>
      <c r="T24" s="372">
        <f t="shared" si="12"/>
        <v>1941.5197459487126</v>
      </c>
      <c r="U24" s="373">
        <f t="shared" si="13"/>
        <v>0.16510124954131622</v>
      </c>
      <c r="V24" s="374">
        <f t="shared" si="14"/>
        <v>1.7830934950462149E-3</v>
      </c>
      <c r="W24" s="375">
        <f>1+(S24/-'Scénario 1'!$S$23)</f>
        <v>2.6701072728270447</v>
      </c>
      <c r="X24" s="376">
        <f t="shared" si="15"/>
        <v>2.8837158546532082E-2</v>
      </c>
      <c r="Y24" s="393">
        <f t="shared" si="0"/>
        <v>5958899.520757433</v>
      </c>
      <c r="Z24" s="962">
        <f t="shared" si="16"/>
        <v>278.98382016742318</v>
      </c>
      <c r="AA24" s="963"/>
      <c r="AB24" s="327"/>
      <c r="AC24" s="327"/>
      <c r="AD24" s="327"/>
      <c r="AE24" s="332" t="s">
        <v>437</v>
      </c>
      <c r="AF24" s="400">
        <f>SUM(T7:T42)</f>
        <v>156280.98849857235</v>
      </c>
      <c r="AG24" s="327"/>
      <c r="AH24" s="327"/>
      <c r="AI24" s="327"/>
      <c r="AL24" s="328">
        <v>18</v>
      </c>
      <c r="AM24" s="395">
        <f>'Scénario 1'!C$25</f>
        <v>-4652.3076923076924</v>
      </c>
      <c r="AN24" s="395">
        <f>'Scénario 1'!D$25</f>
        <v>-16728.024760770848</v>
      </c>
      <c r="AO24" s="395">
        <f>'Scénario 1'!E$25</f>
        <v>-37460.238859854901</v>
      </c>
      <c r="AP24" s="395">
        <f>'Scénario 1'!F$25</f>
        <v>-29226.507530881718</v>
      </c>
      <c r="AQ24" s="395">
        <f>'Scénario 1'!G$25+'VAN d''exploitation '!K436</f>
        <v>-32262.0336478358</v>
      </c>
      <c r="AR24" s="395">
        <f>'Scénario 1'!H$25+'VAN d''exploitation '!L436</f>
        <v>42209.050956407773</v>
      </c>
      <c r="AS24" s="395">
        <f>'Scénario 1'!I$25+'VAN d''exploitation '!M436</f>
        <v>38778.871164052951</v>
      </c>
      <c r="AT24" s="395">
        <f>'Scénario 1'!J$25+'VAN d''exploitation '!N436</f>
        <v>34846.84127381826</v>
      </c>
      <c r="AU24" s="395">
        <f>'Scénario 1'!K$25+'VAN d''exploitation '!O436</f>
        <v>30099.331268882652</v>
      </c>
      <c r="AV24" s="395">
        <f>'Scénario 1'!L$25+'VAN d''exploitation '!P436</f>
        <v>26643.71767306298</v>
      </c>
      <c r="AW24" s="395">
        <f>'Scénario 1'!M$25+'VAN d''exploitation '!Q436</f>
        <v>24553.522441954003</v>
      </c>
      <c r="AX24" s="395">
        <f>'Scénario 1'!N$25+'VAN d''exploitation '!R436</f>
        <v>22627.240149317488</v>
      </c>
      <c r="AY24" s="395">
        <f>'Scénario 1'!O$25+'VAN d''exploitation '!S436</f>
        <v>20852.022265067524</v>
      </c>
      <c r="AZ24" s="395">
        <f>'Scénario 1'!P$25+'VAN d''exploitation '!T436</f>
        <v>19216.026922405781</v>
      </c>
      <c r="BA24" s="395">
        <f>'Scénario 1'!Q$25+'VAN d''exploitation '!U436</f>
        <v>17708.34009005782</v>
      </c>
      <c r="BB24" s="395">
        <f>'Scénario 1'!R$25+'VAN d''exploitation '!V436</f>
        <v>22564.495133726796</v>
      </c>
      <c r="BC24" s="396">
        <f t="shared" si="17"/>
        <v>1.0799999999999999E-2</v>
      </c>
      <c r="BD24" s="397">
        <f t="shared" si="18"/>
        <v>179770.34684710304</v>
      </c>
      <c r="BE24" s="398">
        <f t="shared" si="19"/>
        <v>179770.34684710304</v>
      </c>
      <c r="BF24" s="399">
        <f t="shared" si="20"/>
        <v>0</v>
      </c>
    </row>
    <row r="25" spans="1:58" s="324" customFormat="1" ht="30.75" customHeight="1">
      <c r="A25" s="368">
        <v>19</v>
      </c>
      <c r="B25" s="369">
        <v>1111211</v>
      </c>
      <c r="C25" s="327" t="str">
        <f t="shared" si="1"/>
        <v>1211</v>
      </c>
      <c r="D25" s="327" t="str">
        <f t="shared" si="2"/>
        <v>1</v>
      </c>
      <c r="E25" s="327">
        <v>1</v>
      </c>
      <c r="F25" s="359">
        <f t="shared" si="3"/>
        <v>0.6</v>
      </c>
      <c r="G25" s="327">
        <f t="shared" si="4"/>
        <v>2</v>
      </c>
      <c r="H25" s="327">
        <v>2</v>
      </c>
      <c r="I25" s="359">
        <f t="shared" si="5"/>
        <v>0.6</v>
      </c>
      <c r="J25" s="327">
        <f t="shared" si="6"/>
        <v>1</v>
      </c>
      <c r="K25" s="327">
        <v>1</v>
      </c>
      <c r="L25" s="359">
        <f t="shared" si="7"/>
        <v>0.4</v>
      </c>
      <c r="M25" s="327" t="str">
        <f t="shared" si="8"/>
        <v>1</v>
      </c>
      <c r="N25" s="360">
        <v>1</v>
      </c>
      <c r="O25" s="359">
        <f t="shared" si="9"/>
        <v>0.7</v>
      </c>
      <c r="P25" s="370">
        <f t="shared" si="10"/>
        <v>0.10079999999999999</v>
      </c>
      <c r="Q25" s="371">
        <f>'VAN d''exploitation '!W460</f>
        <v>378327.6282637734</v>
      </c>
      <c r="R25" s="372">
        <f>'Scénario 1'!$C$27</f>
        <v>-90276.297039525976</v>
      </c>
      <c r="S25" s="372">
        <f t="shared" si="11"/>
        <v>288051.33122424741</v>
      </c>
      <c r="T25" s="372">
        <f t="shared" si="12"/>
        <v>29035.574187404134</v>
      </c>
      <c r="U25" s="373">
        <f t="shared" si="13"/>
        <v>0.22499428211154782</v>
      </c>
      <c r="V25" s="374">
        <f t="shared" si="14"/>
        <v>2.2679423636844016E-2</v>
      </c>
      <c r="W25" s="375">
        <f>1+(S25/-'Scénario 1'!$S$23)</f>
        <v>3.6760621629900361</v>
      </c>
      <c r="X25" s="376">
        <f t="shared" si="15"/>
        <v>0.37054706602939558</v>
      </c>
      <c r="Y25" s="393">
        <f t="shared" si="0"/>
        <v>1750233060.7818198</v>
      </c>
      <c r="Z25" s="962">
        <f t="shared" si="16"/>
        <v>249.57673034095319</v>
      </c>
      <c r="AA25" s="963"/>
      <c r="AB25" s="327"/>
      <c r="AC25" s="327"/>
      <c r="AD25" s="327"/>
      <c r="AE25" s="333" t="s">
        <v>458</v>
      </c>
      <c r="AF25" s="401">
        <f>AVERAGE(S7:S42)</f>
        <v>214111.18841025792</v>
      </c>
      <c r="AG25" s="327"/>
      <c r="AH25" s="327"/>
      <c r="AI25" s="327"/>
      <c r="AL25" s="328">
        <v>19</v>
      </c>
      <c r="AM25" s="395">
        <f>'Scénario 1'!C$25</f>
        <v>-4652.3076923076924</v>
      </c>
      <c r="AN25" s="395">
        <f>'Scénario 1'!D$25</f>
        <v>-16728.024760770848</v>
      </c>
      <c r="AO25" s="395">
        <f>'Scénario 1'!E$25</f>
        <v>-37460.238859854901</v>
      </c>
      <c r="AP25" s="395">
        <f>'Scénario 1'!F$25</f>
        <v>-29226.507530881718</v>
      </c>
      <c r="AQ25" s="395">
        <f>'Scénario 1'!G$25+'VAN d''exploitation '!K460</f>
        <v>-37387.115195394996</v>
      </c>
      <c r="AR25" s="395">
        <f>'Scénario 1'!H$25+'VAN d''exploitation '!L460</f>
        <v>54677.761935884875</v>
      </c>
      <c r="AS25" s="395">
        <f>'Scénario 1'!I$25+'VAN d''exploitation '!M460</f>
        <v>50726.629637131402</v>
      </c>
      <c r="AT25" s="395">
        <f>'Scénario 1'!J$25+'VAN d''exploitation '!N460</f>
        <v>46282.616724865773</v>
      </c>
      <c r="AU25" s="395">
        <f>'Scénario 1'!K$25+'VAN d''exploitation '!O460</f>
        <v>41033.615851265553</v>
      </c>
      <c r="AV25" s="395">
        <f>'Scénario 1'!L$25+'VAN d''exploitation '!P460</f>
        <v>37088.251314374647</v>
      </c>
      <c r="AW25" s="395">
        <f>'Scénario 1'!M$25+'VAN d''exploitation '!Q460</f>
        <v>34521.050372380792</v>
      </c>
      <c r="AX25" s="395">
        <f>'Scénario 1'!N$25+'VAN d''exploitation '!R460</f>
        <v>32131.299550762546</v>
      </c>
      <c r="AY25" s="395">
        <f>'Scénario 1'!O$25+'VAN d''exploitation '!S460</f>
        <v>29906.755050781063</v>
      </c>
      <c r="AZ25" s="395">
        <f>'Scénario 1'!P$25+'VAN d''exploitation '!T460</f>
        <v>27836.01594080064</v>
      </c>
      <c r="BA25" s="395">
        <f>'Scénario 1'!Q$25+'VAN d''exploitation '!U460</f>
        <v>25908.466304591973</v>
      </c>
      <c r="BB25" s="395">
        <f>'Scénario 1'!R$25+'VAN d''exploitation '!V460</f>
        <v>33393.062580618287</v>
      </c>
      <c r="BC25" s="396">
        <f t="shared" si="17"/>
        <v>0.10079999999999999</v>
      </c>
      <c r="BD25" s="397">
        <f t="shared" si="18"/>
        <v>288051.33122424741</v>
      </c>
      <c r="BE25" s="398">
        <f t="shared" si="19"/>
        <v>288051.33122424741</v>
      </c>
      <c r="BF25" s="399">
        <f t="shared" si="20"/>
        <v>0</v>
      </c>
    </row>
    <row r="26" spans="1:58" s="324" customFormat="1" ht="30.75" customHeight="1">
      <c r="A26" s="368">
        <v>20</v>
      </c>
      <c r="B26" s="369">
        <v>1111212</v>
      </c>
      <c r="C26" s="327" t="str">
        <f t="shared" si="1"/>
        <v>1212</v>
      </c>
      <c r="D26" s="327" t="str">
        <f t="shared" si="2"/>
        <v>1</v>
      </c>
      <c r="E26" s="327">
        <v>1</v>
      </c>
      <c r="F26" s="359">
        <f t="shared" si="3"/>
        <v>0.6</v>
      </c>
      <c r="G26" s="327">
        <f t="shared" si="4"/>
        <v>2</v>
      </c>
      <c r="H26" s="327">
        <v>2</v>
      </c>
      <c r="I26" s="359">
        <f t="shared" si="5"/>
        <v>0.6</v>
      </c>
      <c r="J26" s="327">
        <f t="shared" si="6"/>
        <v>1</v>
      </c>
      <c r="K26" s="327">
        <v>1</v>
      </c>
      <c r="L26" s="359">
        <f t="shared" si="7"/>
        <v>0.4</v>
      </c>
      <c r="M26" s="327" t="str">
        <f t="shared" si="8"/>
        <v>2</v>
      </c>
      <c r="N26" s="360">
        <v>2</v>
      </c>
      <c r="O26" s="359">
        <f t="shared" si="9"/>
        <v>0.3</v>
      </c>
      <c r="P26" s="370">
        <f t="shared" si="10"/>
        <v>4.3199999999999995E-2</v>
      </c>
      <c r="Q26" s="371">
        <f>'VAN d''exploitation '!W484</f>
        <v>297062.15262903419</v>
      </c>
      <c r="R26" s="372">
        <f>'Scénario 1'!$C$27</f>
        <v>-90276.297039525976</v>
      </c>
      <c r="S26" s="372">
        <f t="shared" si="11"/>
        <v>206785.8555895082</v>
      </c>
      <c r="T26" s="372">
        <f t="shared" si="12"/>
        <v>8933.1489614667535</v>
      </c>
      <c r="U26" s="373">
        <f t="shared" si="13"/>
        <v>0.1814065057623262</v>
      </c>
      <c r="V26" s="374">
        <f t="shared" si="14"/>
        <v>7.8367610489324911E-3</v>
      </c>
      <c r="W26" s="375">
        <f>1+(S26/-'Scénario 1'!$S$23)</f>
        <v>2.9210874729608718</v>
      </c>
      <c r="X26" s="376">
        <f t="shared" si="15"/>
        <v>0.12619097883190966</v>
      </c>
      <c r="Y26" s="393">
        <f t="shared" si="0"/>
        <v>110192037.11451769</v>
      </c>
      <c r="Z26" s="962">
        <f t="shared" si="16"/>
        <v>249.64751128186325</v>
      </c>
      <c r="AA26" s="963"/>
      <c r="AB26" s="327"/>
      <c r="AC26" s="327"/>
      <c r="AD26" s="327"/>
      <c r="AE26" s="333" t="s">
        <v>441</v>
      </c>
      <c r="AF26" s="401">
        <f>SUM(Y7:Y42)</f>
        <v>13672185531.224257</v>
      </c>
      <c r="AG26" s="327"/>
      <c r="AH26" s="327"/>
      <c r="AI26" s="327"/>
      <c r="AL26" s="328">
        <v>20</v>
      </c>
      <c r="AM26" s="395">
        <f>'Scénario 1'!C$25</f>
        <v>-4652.3076923076924</v>
      </c>
      <c r="AN26" s="395">
        <f>'Scénario 1'!D$25</f>
        <v>-16728.024760770848</v>
      </c>
      <c r="AO26" s="395">
        <f>'Scénario 1'!E$25</f>
        <v>-37460.238859854901</v>
      </c>
      <c r="AP26" s="395">
        <f>'Scénario 1'!F$25</f>
        <v>-29226.507530881718</v>
      </c>
      <c r="AQ26" s="395">
        <f>'Scénario 1'!G$25+'VAN d''exploitation '!K484</f>
        <v>-37185.97761255574</v>
      </c>
      <c r="AR26" s="395">
        <f>'Scénario 1'!H$25+'VAN d''exploitation '!L484</f>
        <v>54368.184000274101</v>
      </c>
      <c r="AS26" s="395">
        <f>'Scénario 1'!I$25+'VAN d''exploitation '!M484</f>
        <v>33568.774021671648</v>
      </c>
      <c r="AT26" s="395">
        <f>'Scénario 1'!J$25+'VAN d''exploitation '!N484</f>
        <v>44799.964720186057</v>
      </c>
      <c r="AU26" s="395">
        <f>'Scénario 1'!K$25+'VAN d''exploitation '!O484</f>
        <v>26007.355325690907</v>
      </c>
      <c r="AV26" s="395">
        <f>'Scénario 1'!L$25+'VAN d''exploitation '!P484</f>
        <v>34794.934209823376</v>
      </c>
      <c r="AW26" s="395">
        <f>'Scénario 1'!M$25+'VAN d''exploitation '!Q484</f>
        <v>21347.191890292968</v>
      </c>
      <c r="AX26" s="395">
        <f>'Scénario 1'!N$25+'VAN d''exploitation '!R484</f>
        <v>29306.008666482256</v>
      </c>
      <c r="AY26" s="395">
        <f>'Scénario 1'!O$25+'VAN d''exploitation '!S484</f>
        <v>18346.185117429595</v>
      </c>
      <c r="AZ26" s="395">
        <f>'Scénario 1'!P$25+'VAN d''exploitation '!T484</f>
        <v>24691.048448838701</v>
      </c>
      <c r="BA26" s="395">
        <f>'Scénario 1'!Q$25+'VAN d''exploitation '!U484</f>
        <v>15755.675969831947</v>
      </c>
      <c r="BB26" s="395">
        <f>'Scénario 1'!R$25+'VAN d''exploitation '!V484</f>
        <v>29053.58967535754</v>
      </c>
      <c r="BC26" s="396">
        <f t="shared" si="17"/>
        <v>4.3199999999999995E-2</v>
      </c>
      <c r="BD26" s="397">
        <f t="shared" si="18"/>
        <v>206785.85558950817</v>
      </c>
      <c r="BE26" s="398">
        <f t="shared" si="19"/>
        <v>206785.8555895082</v>
      </c>
      <c r="BF26" s="399">
        <f t="shared" si="20"/>
        <v>0</v>
      </c>
    </row>
    <row r="27" spans="1:58" s="324" customFormat="1" ht="30.75" customHeight="1" thickBot="1">
      <c r="A27" s="368">
        <v>21</v>
      </c>
      <c r="B27" s="369">
        <v>1111221</v>
      </c>
      <c r="C27" s="327" t="str">
        <f t="shared" si="1"/>
        <v>1221</v>
      </c>
      <c r="D27" s="327" t="str">
        <f t="shared" si="2"/>
        <v>1</v>
      </c>
      <c r="E27" s="327">
        <v>1</v>
      </c>
      <c r="F27" s="359">
        <f t="shared" si="3"/>
        <v>0.6</v>
      </c>
      <c r="G27" s="327">
        <f t="shared" si="4"/>
        <v>2</v>
      </c>
      <c r="H27" s="327">
        <v>2</v>
      </c>
      <c r="I27" s="359">
        <f t="shared" si="5"/>
        <v>0.6</v>
      </c>
      <c r="J27" s="327">
        <f t="shared" si="6"/>
        <v>2</v>
      </c>
      <c r="K27" s="327">
        <v>2</v>
      </c>
      <c r="L27" s="359">
        <f t="shared" si="7"/>
        <v>0.6</v>
      </c>
      <c r="M27" s="327" t="str">
        <f t="shared" si="8"/>
        <v>1</v>
      </c>
      <c r="N27" s="360">
        <v>1</v>
      </c>
      <c r="O27" s="359">
        <f t="shared" si="9"/>
        <v>0.7</v>
      </c>
      <c r="P27" s="370">
        <f t="shared" si="10"/>
        <v>0.1512</v>
      </c>
      <c r="Q27" s="371">
        <f>'VAN d''exploitation '!W508</f>
        <v>185336.95958722007</v>
      </c>
      <c r="R27" s="372">
        <f>'Scénario 1'!$C$27</f>
        <v>-90276.297039525976</v>
      </c>
      <c r="S27" s="372">
        <f t="shared" si="11"/>
        <v>95060.662547694097</v>
      </c>
      <c r="T27" s="372">
        <f t="shared" si="12"/>
        <v>14373.172177211347</v>
      </c>
      <c r="U27" s="373">
        <f t="shared" si="13"/>
        <v>0.10051012827586825</v>
      </c>
      <c r="V27" s="374">
        <f t="shared" si="14"/>
        <v>1.5197131395311279E-2</v>
      </c>
      <c r="W27" s="375">
        <f>1+(S27/-'Scénario 1'!$S$23)</f>
        <v>1.8831351035646053</v>
      </c>
      <c r="X27" s="376">
        <f t="shared" si="15"/>
        <v>0.28473002765896832</v>
      </c>
      <c r="Y27" s="393">
        <f t="shared" si="0"/>
        <v>566686760.40120471</v>
      </c>
      <c r="Z27" s="962">
        <f t="shared" si="16"/>
        <v>336.31759697313328</v>
      </c>
      <c r="AA27" s="963"/>
      <c r="AB27" s="327"/>
      <c r="AC27" s="327"/>
      <c r="AD27" s="327"/>
      <c r="AE27" s="334" t="s">
        <v>440</v>
      </c>
      <c r="AF27" s="402">
        <f>SQRT(AF26)</f>
        <v>116928.121216516</v>
      </c>
      <c r="AG27" s="327"/>
      <c r="AH27" s="327"/>
      <c r="AI27" s="327"/>
      <c r="AL27" s="328">
        <v>21</v>
      </c>
      <c r="AM27" s="395">
        <f>'Scénario 1'!C$25</f>
        <v>-4652.3076923076924</v>
      </c>
      <c r="AN27" s="395">
        <f>'Scénario 1'!D$25</f>
        <v>-16728.024760770848</v>
      </c>
      <c r="AO27" s="395">
        <f>'Scénario 1'!E$25</f>
        <v>-37460.238859854901</v>
      </c>
      <c r="AP27" s="395">
        <f>'Scénario 1'!F$25</f>
        <v>-29226.507530881718</v>
      </c>
      <c r="AQ27" s="395">
        <f>'Scénario 1'!G$25+'VAN d''exploitation '!K508</f>
        <v>-27130.894021234089</v>
      </c>
      <c r="AR27" s="395">
        <f>'Scénario 1'!H$25+'VAN d''exploitation '!L508</f>
        <v>29444.716562189064</v>
      </c>
      <c r="AS27" s="395">
        <f>'Scénario 1'!I$25+'VAN d''exploitation '!M508</f>
        <v>27249.262510053679</v>
      </c>
      <c r="AT27" s="395">
        <f>'Scénario 1'!J$25+'VAN d''exploitation '!N508</f>
        <v>24438.770300301225</v>
      </c>
      <c r="AU27" s="395">
        <f>'Scénario 1'!K$25+'VAN d''exploitation '!O508</f>
        <v>20709.632132323044</v>
      </c>
      <c r="AV27" s="395">
        <f>'Scénario 1'!L$25+'VAN d''exploitation '!P508</f>
        <v>18178.380464808866</v>
      </c>
      <c r="AW27" s="395">
        <f>'Scénario 1'!M$25+'VAN d''exploitation '!Q508</f>
        <v>16926.900477892061</v>
      </c>
      <c r="AX27" s="395">
        <f>'Scénario 1'!N$25+'VAN d''exploitation '!R508</f>
        <v>15761.324665149938</v>
      </c>
      <c r="AY27" s="395">
        <f>'Scénario 1'!O$25+'VAN d''exploitation '!S508</f>
        <v>14675.778863140104</v>
      </c>
      <c r="AZ27" s="395">
        <f>'Scénario 1'!P$25+'VAN d''exploitation '!T508</f>
        <v>13664.788585300441</v>
      </c>
      <c r="BA27" s="395">
        <f>'Scénario 1'!Q$25+'VAN d''exploitation '!U508</f>
        <v>12723.252006815839</v>
      </c>
      <c r="BB27" s="395">
        <f>'Scénario 1'!R$25+'VAN d''exploitation '!V508</f>
        <v>16485.828844769097</v>
      </c>
      <c r="BC27" s="396">
        <f t="shared" si="17"/>
        <v>0.1512</v>
      </c>
      <c r="BD27" s="397">
        <f t="shared" si="18"/>
        <v>95060.662547694097</v>
      </c>
      <c r="BE27" s="398">
        <f t="shared" si="19"/>
        <v>95060.662547694097</v>
      </c>
      <c r="BF27" s="399">
        <f t="shared" si="20"/>
        <v>0</v>
      </c>
    </row>
    <row r="28" spans="1:58" s="324" customFormat="1" ht="30.75" customHeight="1">
      <c r="A28" s="368">
        <v>22</v>
      </c>
      <c r="B28" s="369">
        <v>1111222</v>
      </c>
      <c r="C28" s="327" t="str">
        <f t="shared" si="1"/>
        <v>1222</v>
      </c>
      <c r="D28" s="327" t="str">
        <f t="shared" si="2"/>
        <v>1</v>
      </c>
      <c r="E28" s="327">
        <v>1</v>
      </c>
      <c r="F28" s="359">
        <f t="shared" si="3"/>
        <v>0.6</v>
      </c>
      <c r="G28" s="327">
        <f t="shared" si="4"/>
        <v>2</v>
      </c>
      <c r="H28" s="327">
        <v>2</v>
      </c>
      <c r="I28" s="359">
        <f t="shared" si="5"/>
        <v>0.6</v>
      </c>
      <c r="J28" s="327">
        <f t="shared" si="6"/>
        <v>2</v>
      </c>
      <c r="K28" s="327">
        <v>2</v>
      </c>
      <c r="L28" s="359">
        <f t="shared" si="7"/>
        <v>0.6</v>
      </c>
      <c r="M28" s="327" t="str">
        <f t="shared" si="8"/>
        <v>2</v>
      </c>
      <c r="N28" s="360">
        <v>2</v>
      </c>
      <c r="O28" s="359">
        <f t="shared" si="9"/>
        <v>0.3</v>
      </c>
      <c r="P28" s="370">
        <f t="shared" si="10"/>
        <v>6.4799999999999996E-2</v>
      </c>
      <c r="Q28" s="371">
        <f>'VAN d''exploitation '!W532</f>
        <v>175628.73532717227</v>
      </c>
      <c r="R28" s="372">
        <f>'Scénario 1'!$C$27</f>
        <v>-90276.297039525976</v>
      </c>
      <c r="S28" s="372">
        <f t="shared" si="11"/>
        <v>85352.438287646291</v>
      </c>
      <c r="T28" s="372">
        <f t="shared" si="12"/>
        <v>5530.8380010394794</v>
      </c>
      <c r="U28" s="373">
        <f t="shared" si="13"/>
        <v>9.3482455224655148E-2</v>
      </c>
      <c r="V28" s="374">
        <f t="shared" si="14"/>
        <v>6.0576630985576529E-3</v>
      </c>
      <c r="W28" s="375">
        <f>1+(S28/-'Scénario 1'!$S$23)</f>
        <v>1.7929434995136224</v>
      </c>
      <c r="X28" s="376">
        <f t="shared" si="15"/>
        <v>0.11618273876848273</v>
      </c>
      <c r="Y28" s="393">
        <f t="shared" si="0"/>
        <v>325999678.42954606</v>
      </c>
      <c r="Z28" s="962">
        <f t="shared" si="16"/>
        <v>336.84140189234444</v>
      </c>
      <c r="AA28" s="963"/>
      <c r="AB28" s="327"/>
      <c r="AC28" s="327"/>
      <c r="AD28" s="327"/>
      <c r="AE28" s="332" t="s">
        <v>459</v>
      </c>
      <c r="AF28" s="400">
        <f>AF25+AF27</f>
        <v>331039.30962677393</v>
      </c>
      <c r="AG28" s="327"/>
      <c r="AH28" s="327"/>
      <c r="AI28" s="327"/>
      <c r="AL28" s="328">
        <v>22</v>
      </c>
      <c r="AM28" s="395">
        <f>'Scénario 1'!C$25</f>
        <v>-4652.3076923076924</v>
      </c>
      <c r="AN28" s="395">
        <f>'Scénario 1'!D$25</f>
        <v>-16728.024760770848</v>
      </c>
      <c r="AO28" s="395">
        <f>'Scénario 1'!E$25</f>
        <v>-37460.238859854901</v>
      </c>
      <c r="AP28" s="395">
        <f>'Scénario 1'!F$25</f>
        <v>-29226.507530881718</v>
      </c>
      <c r="AQ28" s="395">
        <f>'Scénario 1'!G$25+'VAN d''exploitation '!K532</f>
        <v>-27030.343185320871</v>
      </c>
      <c r="AR28" s="395">
        <f>'Scénario 1'!H$25+'VAN d''exploitation '!L532</f>
        <v>29289.972097299804</v>
      </c>
      <c r="AS28" s="395">
        <f>'Scénario 1'!I$25+'VAN d''exploitation '!M532</f>
        <v>26876.52700280106</v>
      </c>
      <c r="AT28" s="395">
        <f>'Scénario 1'!J$25+'VAN d''exploitation '!N532</f>
        <v>23881.214538517987</v>
      </c>
      <c r="AU28" s="395">
        <f>'Scénario 1'!K$25+'VAN d''exploitation '!O532</f>
        <v>19996.702066696591</v>
      </c>
      <c r="AV28" s="395">
        <f>'Scénario 1'!L$25+'VAN d''exploitation '!P532</f>
        <v>17336.167884932427</v>
      </c>
      <c r="AW28" s="395">
        <f>'Scénario 1'!M$25+'VAN d''exploitation '!Q532</f>
        <v>15978.479121569319</v>
      </c>
      <c r="AX28" s="395">
        <f>'Scénario 1'!N$25+'VAN d''exploitation '!R532</f>
        <v>14727.054856702138</v>
      </c>
      <c r="AY28" s="395">
        <f>'Scénario 1'!O$25+'VAN d''exploitation '!S532</f>
        <v>13573.583506713132</v>
      </c>
      <c r="AZ28" s="395">
        <f>'Scénario 1'!P$25+'VAN d''exploitation '!T532</f>
        <v>12510.403092464205</v>
      </c>
      <c r="BA28" s="395">
        <f>'Scénario 1'!Q$25+'VAN d''exploitation '!U532</f>
        <v>11530.450512149668</v>
      </c>
      <c r="BB28" s="395">
        <f>'Scénario 1'!R$25+'VAN d''exploitation '!V532</f>
        <v>14749.305636936033</v>
      </c>
      <c r="BC28" s="396">
        <f t="shared" si="17"/>
        <v>6.4799999999999996E-2</v>
      </c>
      <c r="BD28" s="397">
        <f t="shared" si="18"/>
        <v>85352.438287646321</v>
      </c>
      <c r="BE28" s="398">
        <f t="shared" si="19"/>
        <v>85352.438287646291</v>
      </c>
      <c r="BF28" s="399">
        <f t="shared" si="20"/>
        <v>0</v>
      </c>
    </row>
    <row r="29" spans="1:58" s="324" customFormat="1" ht="30.75" customHeight="1">
      <c r="A29" s="368">
        <v>23</v>
      </c>
      <c r="B29" s="369">
        <v>1112321</v>
      </c>
      <c r="C29" s="327" t="str">
        <f t="shared" si="1"/>
        <v>2321</v>
      </c>
      <c r="D29" s="327" t="str">
        <f t="shared" si="2"/>
        <v>2</v>
      </c>
      <c r="E29" s="327">
        <v>2</v>
      </c>
      <c r="F29" s="359">
        <f t="shared" si="3"/>
        <v>0.3</v>
      </c>
      <c r="G29" s="327">
        <f t="shared" si="4"/>
        <v>3</v>
      </c>
      <c r="H29" s="327">
        <v>3</v>
      </c>
      <c r="I29" s="359">
        <f t="shared" si="5"/>
        <v>0.3</v>
      </c>
      <c r="J29" s="327">
        <f t="shared" si="6"/>
        <v>2</v>
      </c>
      <c r="K29" s="327">
        <v>2</v>
      </c>
      <c r="L29" s="359">
        <f t="shared" si="7"/>
        <v>0.6</v>
      </c>
      <c r="M29" s="327" t="str">
        <f t="shared" si="8"/>
        <v>1</v>
      </c>
      <c r="N29" s="360">
        <v>1</v>
      </c>
      <c r="O29" s="359">
        <f t="shared" si="9"/>
        <v>0.7</v>
      </c>
      <c r="P29" s="370">
        <f t="shared" si="10"/>
        <v>3.78E-2</v>
      </c>
      <c r="Q29" s="371">
        <f>'VAN d''exploitation '!W557</f>
        <v>117226.7760310772</v>
      </c>
      <c r="R29" s="372">
        <f>'Scénario 1'!$C$27</f>
        <v>-90276.297039525976</v>
      </c>
      <c r="S29" s="372">
        <f t="shared" si="11"/>
        <v>26950.478991551223</v>
      </c>
      <c r="T29" s="372">
        <f t="shared" si="12"/>
        <v>1018.7281058806362</v>
      </c>
      <c r="U29" s="373">
        <f t="shared" si="13"/>
        <v>3.409767044214318E-2</v>
      </c>
      <c r="V29" s="374">
        <f t="shared" si="14"/>
        <v>1.2888919427130122E-3</v>
      </c>
      <c r="W29" s="375">
        <f>1+(S29/-'Scénario 1'!$S$23)</f>
        <v>1.2503760590073507</v>
      </c>
      <c r="X29" s="376">
        <f t="shared" si="15"/>
        <v>4.7264215030477855E-2</v>
      </c>
      <c r="Y29" s="393">
        <f t="shared" si="0"/>
        <v>632257190.05726683</v>
      </c>
      <c r="Z29" s="962">
        <f t="shared" si="16"/>
        <v>410.92022879158583</v>
      </c>
      <c r="AA29" s="963"/>
      <c r="AB29" s="327"/>
      <c r="AC29" s="327"/>
      <c r="AD29" s="327"/>
      <c r="AE29" s="333" t="s">
        <v>460</v>
      </c>
      <c r="AF29" s="401">
        <f>AF25-AF27</f>
        <v>97183.067193741925</v>
      </c>
      <c r="AG29" s="327"/>
      <c r="AH29" s="327"/>
      <c r="AI29" s="327"/>
      <c r="AL29" s="328">
        <v>23</v>
      </c>
      <c r="AM29" s="395">
        <f>'Scénario 1'!C$25</f>
        <v>-4652.3076923076924</v>
      </c>
      <c r="AN29" s="395">
        <f>'Scénario 1'!D$25</f>
        <v>-16728.024760770848</v>
      </c>
      <c r="AO29" s="395">
        <f>'Scénario 1'!E$25</f>
        <v>-37460.238859854901</v>
      </c>
      <c r="AP29" s="395">
        <f>'Scénario 1'!F$25</f>
        <v>-29226.507530881718</v>
      </c>
      <c r="AQ29" s="395">
        <f>'Scénario 1'!G$25+'VAN d''exploitation '!K557</f>
        <v>-23090.578614539387</v>
      </c>
      <c r="AR29" s="395">
        <f>'Scénario 1'!H$25+'VAN d''exploitation '!L557</f>
        <v>20510.212454353263</v>
      </c>
      <c r="AS29" s="395">
        <f>'Scénario 1'!I$25+'VAN d''exploitation '!M557</f>
        <v>18936.407504275994</v>
      </c>
      <c r="AT29" s="395">
        <f>'Scénario 1'!J$25+'VAN d''exploitation '!N557</f>
        <v>16704.311004851639</v>
      </c>
      <c r="AU29" s="395">
        <f>'Scénario 1'!K$25+'VAN d''exploitation '!O557</f>
        <v>13513.324660174365</v>
      </c>
      <c r="AV29" s="395">
        <f>'Scénario 1'!L$25+'VAN d''exploitation '!P557</f>
        <v>11482.781036912127</v>
      </c>
      <c r="AW29" s="395">
        <f>'Scénario 1'!M$25+'VAN d''exploitation '!Q557</f>
        <v>10697.170595955049</v>
      </c>
      <c r="AX29" s="395">
        <f>'Scénario 1'!N$25+'VAN d''exploitation '!R557</f>
        <v>9965.0498401952591</v>
      </c>
      <c r="AY29" s="395">
        <f>'Scénario 1'!O$25+'VAN d''exploitation '!S557</f>
        <v>9282.7999566522249</v>
      </c>
      <c r="AZ29" s="395">
        <f>'Scénario 1'!P$25+'VAN d''exploitation '!T557</f>
        <v>8647.0448853973721</v>
      </c>
      <c r="BA29" s="395">
        <f>'Scénario 1'!Q$25+'VAN d''exploitation '!U557</f>
        <v>8054.6352229401318</v>
      </c>
      <c r="BB29" s="395">
        <f>'Scénario 1'!R$25+'VAN d''exploitation '!V557</f>
        <v>10314.399288198376</v>
      </c>
      <c r="BC29" s="396">
        <f t="shared" si="17"/>
        <v>3.78E-2</v>
      </c>
      <c r="BD29" s="397">
        <f t="shared" si="18"/>
        <v>26950.478991551252</v>
      </c>
      <c r="BE29" s="398">
        <f t="shared" si="19"/>
        <v>26950.478991551223</v>
      </c>
      <c r="BF29" s="399">
        <f t="shared" si="20"/>
        <v>-2.9103830456733704E-11</v>
      </c>
    </row>
    <row r="30" spans="1:58" s="324" customFormat="1" ht="30.75" customHeight="1" thickBot="1">
      <c r="A30" s="368">
        <v>24</v>
      </c>
      <c r="B30" s="369">
        <v>1112322</v>
      </c>
      <c r="C30" s="327" t="str">
        <f t="shared" si="1"/>
        <v>2322</v>
      </c>
      <c r="D30" s="327" t="str">
        <f t="shared" si="2"/>
        <v>2</v>
      </c>
      <c r="E30" s="360">
        <v>2</v>
      </c>
      <c r="F30" s="359">
        <f t="shared" si="3"/>
        <v>0.3</v>
      </c>
      <c r="G30" s="327">
        <f t="shared" si="4"/>
        <v>3</v>
      </c>
      <c r="H30" s="327">
        <v>3</v>
      </c>
      <c r="I30" s="359">
        <f t="shared" si="5"/>
        <v>0.3</v>
      </c>
      <c r="J30" s="327">
        <f t="shared" si="6"/>
        <v>2</v>
      </c>
      <c r="K30" s="327">
        <v>2</v>
      </c>
      <c r="L30" s="359">
        <f t="shared" si="7"/>
        <v>0.6</v>
      </c>
      <c r="M30" s="327" t="str">
        <f t="shared" si="8"/>
        <v>2</v>
      </c>
      <c r="N30" s="360">
        <v>2</v>
      </c>
      <c r="O30" s="359">
        <f t="shared" si="9"/>
        <v>0.3</v>
      </c>
      <c r="P30" s="370">
        <f t="shared" si="10"/>
        <v>1.6199999999999999E-2</v>
      </c>
      <c r="Q30" s="371">
        <f>'VAN d''exploitation '!W582</f>
        <v>110944.7851310629</v>
      </c>
      <c r="R30" s="372">
        <f>'Scénario 1'!$C$27</f>
        <v>-90276.297039525976</v>
      </c>
      <c r="S30" s="372">
        <f t="shared" si="11"/>
        <v>20668.488091536929</v>
      </c>
      <c r="T30" s="372">
        <f t="shared" si="12"/>
        <v>334.8295070828982</v>
      </c>
      <c r="U30" s="373">
        <f t="shared" si="13"/>
        <v>2.7037296026424906E-2</v>
      </c>
      <c r="V30" s="374">
        <f t="shared" si="14"/>
        <v>4.3800419562808348E-4</v>
      </c>
      <c r="W30" s="375">
        <f>1+(S30/-'Scénario 1'!$S$23)</f>
        <v>1.1920149395349027</v>
      </c>
      <c r="X30" s="376">
        <f t="shared" si="15"/>
        <v>1.9310642020465424E-2</v>
      </c>
      <c r="Y30" s="393">
        <f t="shared" si="0"/>
        <v>297930154.31970048</v>
      </c>
      <c r="Z30" s="962">
        <f t="shared" si="16"/>
        <v>411.91729477964901</v>
      </c>
      <c r="AA30" s="963"/>
      <c r="AB30" s="327"/>
      <c r="AC30" s="327"/>
      <c r="AD30" s="327"/>
      <c r="AE30" s="334" t="s">
        <v>469</v>
      </c>
      <c r="AF30" s="403">
        <f>AF27/AF24</f>
        <v>0.74819158964805343</v>
      </c>
      <c r="AG30" s="327"/>
      <c r="AH30" s="327"/>
      <c r="AI30" s="327"/>
      <c r="AL30" s="328">
        <v>24</v>
      </c>
      <c r="AM30" s="395">
        <f>'Scénario 1'!C$25</f>
        <v>-4652.3076923076924</v>
      </c>
      <c r="AN30" s="395">
        <f>'Scénario 1'!D$25</f>
        <v>-16728.024760770848</v>
      </c>
      <c r="AO30" s="395">
        <f>'Scénario 1'!E$25</f>
        <v>-37460.238859854901</v>
      </c>
      <c r="AP30" s="395">
        <f>'Scénario 1'!F$25</f>
        <v>-29226.507530881718</v>
      </c>
      <c r="AQ30" s="395">
        <f>'Scénario 1'!G$25+'VAN d''exploitation '!K582</f>
        <v>-23029.638713985922</v>
      </c>
      <c r="AR30" s="395">
        <f>'Scénario 1'!H$25+'VAN d''exploitation '!L582</f>
        <v>20406.5676220307</v>
      </c>
      <c r="AS30" s="395">
        <f>'Scénario 1'!I$25+'VAN d''exploitation '!M582</f>
        <v>18692.248654370989</v>
      </c>
      <c r="AT30" s="395">
        <f>'Scénario 1'!J$25+'VAN d''exploitation '!N582</f>
        <v>16341.04091802636</v>
      </c>
      <c r="AU30" s="395">
        <f>'Scénario 1'!K$25+'VAN d''exploitation '!O582</f>
        <v>13049.941972929291</v>
      </c>
      <c r="AV30" s="395">
        <f>'Scénario 1'!L$25+'VAN d''exploitation '!P582</f>
        <v>10936.11952673409</v>
      </c>
      <c r="AW30" s="395">
        <f>'Scénario 1'!M$25+'VAN d''exploitation '!Q582</f>
        <v>10082.116150286127</v>
      </c>
      <c r="AX30" s="395">
        <f>'Scénario 1'!N$25+'VAN d''exploitation '!R582</f>
        <v>9294.7371079489512</v>
      </c>
      <c r="AY30" s="395">
        <f>'Scénario 1'!O$25+'VAN d''exploitation '!S582</f>
        <v>8568.7905068349646</v>
      </c>
      <c r="AZ30" s="395">
        <f>'Scénario 1'!P$25+'VAN d''exploitation '!T582</f>
        <v>7899.4885381050826</v>
      </c>
      <c r="BA30" s="395">
        <f>'Scénario 1'!Q$25+'VAN d''exploitation '!U582</f>
        <v>7282.4160723400009</v>
      </c>
      <c r="BB30" s="395">
        <f>'Scénario 1'!R$25+'VAN d''exploitation '!V582</f>
        <v>9211.7385797314782</v>
      </c>
      <c r="BC30" s="396">
        <f t="shared" si="17"/>
        <v>1.6199999999999999E-2</v>
      </c>
      <c r="BD30" s="397">
        <f t="shared" si="18"/>
        <v>20668.488091536958</v>
      </c>
      <c r="BE30" s="398">
        <f t="shared" si="19"/>
        <v>20668.488091536929</v>
      </c>
      <c r="BF30" s="399">
        <f t="shared" si="20"/>
        <v>-2.9103830456733704E-11</v>
      </c>
    </row>
    <row r="31" spans="1:58" s="324" customFormat="1" ht="30.75" customHeight="1" thickBot="1">
      <c r="A31" s="368">
        <v>25</v>
      </c>
      <c r="B31" s="369">
        <v>1113111</v>
      </c>
      <c r="C31" s="327" t="str">
        <f t="shared" si="1"/>
        <v>3111</v>
      </c>
      <c r="D31" s="327" t="str">
        <f t="shared" si="2"/>
        <v>3</v>
      </c>
      <c r="E31" s="360">
        <v>3</v>
      </c>
      <c r="F31" s="359">
        <f t="shared" si="3"/>
        <v>0.1</v>
      </c>
      <c r="G31" s="327">
        <f t="shared" si="4"/>
        <v>1</v>
      </c>
      <c r="H31" s="327">
        <v>1</v>
      </c>
      <c r="I31" s="359">
        <f t="shared" si="5"/>
        <v>0.1</v>
      </c>
      <c r="J31" s="327">
        <f t="shared" si="6"/>
        <v>1</v>
      </c>
      <c r="K31" s="327">
        <v>1</v>
      </c>
      <c r="L31" s="359">
        <f t="shared" si="7"/>
        <v>0.4</v>
      </c>
      <c r="M31" s="327" t="str">
        <f t="shared" si="8"/>
        <v>1</v>
      </c>
      <c r="N31" s="360">
        <v>1</v>
      </c>
      <c r="O31" s="359">
        <f t="shared" si="9"/>
        <v>0.7</v>
      </c>
      <c r="P31" s="370">
        <f t="shared" si="10"/>
        <v>2.8000000000000004E-3</v>
      </c>
      <c r="Q31" s="371">
        <f>'VAN d''exploitation '!W606</f>
        <v>656327.22133760632</v>
      </c>
      <c r="R31" s="372">
        <f>'Scénario 1'!$C$27</f>
        <v>-90276.297039525976</v>
      </c>
      <c r="S31" s="372">
        <f t="shared" si="11"/>
        <v>566050.92429808038</v>
      </c>
      <c r="T31" s="372">
        <f t="shared" si="12"/>
        <v>1584.9425880346253</v>
      </c>
      <c r="U31" s="373">
        <f t="shared" si="13"/>
        <v>0.34577612331435525</v>
      </c>
      <c r="V31" s="374">
        <f t="shared" si="14"/>
        <v>9.681731452801949E-4</v>
      </c>
      <c r="W31" s="375">
        <f>1+(S31/-'Scénario 1'!$S$23)</f>
        <v>6.2587414000193284</v>
      </c>
      <c r="X31" s="376">
        <f t="shared" si="15"/>
        <v>1.7524475920054121E-2</v>
      </c>
      <c r="Y31" s="393">
        <f t="shared" si="0"/>
        <v>470151920.79837221</v>
      </c>
      <c r="Z31" s="962">
        <f t="shared" si="16"/>
        <v>192.90967878688812</v>
      </c>
      <c r="AA31" s="963"/>
      <c r="AB31" s="327"/>
      <c r="AC31" s="327"/>
      <c r="AD31" s="327"/>
      <c r="AE31" s="335" t="s">
        <v>438</v>
      </c>
      <c r="AF31" s="404">
        <f>SUM(V7:V42)</f>
        <v>0.13574309995927125</v>
      </c>
      <c r="AG31" s="327"/>
      <c r="AH31" s="327"/>
      <c r="AI31" s="327"/>
      <c r="AL31" s="328">
        <v>25</v>
      </c>
      <c r="AM31" s="395">
        <f>'Scénario 1'!C$25</f>
        <v>-4652.3076923076924</v>
      </c>
      <c r="AN31" s="395">
        <f>'Scénario 1'!D$25</f>
        <v>-16728.024760770848</v>
      </c>
      <c r="AO31" s="395">
        <f>'Scénario 1'!E$25</f>
        <v>-37460.238859854901</v>
      </c>
      <c r="AP31" s="395">
        <f>'Scénario 1'!F$25</f>
        <v>-29226.507530881718</v>
      </c>
      <c r="AQ31" s="395">
        <f>'Scénario 1'!G$25+'VAN d''exploitation '!K606</f>
        <v>-47954.058040352917</v>
      </c>
      <c r="AR31" s="395">
        <f>'Scénario 1'!H$25+'VAN d''exploitation '!L606</f>
        <v>90732.778649561951</v>
      </c>
      <c r="AS31" s="395">
        <f>'Scénario 1'!I$25+'VAN d''exploitation '!M606</f>
        <v>84272.995172575465</v>
      </c>
      <c r="AT31" s="395">
        <f>'Scénario 1'!J$25+'VAN d''exploitation '!N606</f>
        <v>77494.879043486551</v>
      </c>
      <c r="AU31" s="395">
        <f>'Scénario 1'!K$25+'VAN d''exploitation '!O606</f>
        <v>70074.178147368526</v>
      </c>
      <c r="AV31" s="395">
        <f>'Scénario 1'!L$25+'VAN d''exploitation '!P606</f>
        <v>64108.217028342013</v>
      </c>
      <c r="AW31" s="395">
        <f>'Scénario 1'!M$25+'VAN d''exploitation '!Q606</f>
        <v>59661.009409227321</v>
      </c>
      <c r="AX31" s="395">
        <f>'Scénario 1'!N$25+'VAN d''exploitation '!R606</f>
        <v>55522.059794897301</v>
      </c>
      <c r="AY31" s="395">
        <f>'Scénario 1'!O$25+'VAN d''exploitation '!S606</f>
        <v>51670.022983173745</v>
      </c>
      <c r="AZ31" s="395">
        <f>'Scénario 1'!P$25+'VAN d''exploitation '!T606</f>
        <v>48085.029899921712</v>
      </c>
      <c r="BA31" s="395">
        <f>'Scénario 1'!Q$25+'VAN d''exploitation '!U606</f>
        <v>44748.585686094259</v>
      </c>
      <c r="BB31" s="395">
        <f>'Scénario 1'!R$25+'VAN d''exploitation '!V606</f>
        <v>55702.305367599562</v>
      </c>
      <c r="BC31" s="396">
        <f t="shared" si="17"/>
        <v>2.8000000000000004E-3</v>
      </c>
      <c r="BD31" s="397">
        <f t="shared" si="18"/>
        <v>566050.92429808038</v>
      </c>
      <c r="BE31" s="398">
        <f t="shared" si="19"/>
        <v>566050.92429808038</v>
      </c>
      <c r="BF31" s="399">
        <f t="shared" si="20"/>
        <v>0</v>
      </c>
    </row>
    <row r="32" spans="1:58" s="324" customFormat="1" ht="30.75" customHeight="1" thickBot="1">
      <c r="A32" s="368">
        <v>26</v>
      </c>
      <c r="B32" s="369">
        <v>1113112</v>
      </c>
      <c r="C32" s="327" t="str">
        <f t="shared" si="1"/>
        <v>3112</v>
      </c>
      <c r="D32" s="327" t="str">
        <f t="shared" si="2"/>
        <v>3</v>
      </c>
      <c r="E32" s="360">
        <v>3</v>
      </c>
      <c r="F32" s="359">
        <f t="shared" si="3"/>
        <v>0.1</v>
      </c>
      <c r="G32" s="327">
        <f t="shared" si="4"/>
        <v>1</v>
      </c>
      <c r="H32" s="327">
        <v>1</v>
      </c>
      <c r="I32" s="359">
        <f t="shared" si="5"/>
        <v>0.1</v>
      </c>
      <c r="J32" s="327">
        <f t="shared" si="6"/>
        <v>1</v>
      </c>
      <c r="K32" s="327">
        <v>1</v>
      </c>
      <c r="L32" s="359">
        <f t="shared" si="7"/>
        <v>0.4</v>
      </c>
      <c r="M32" s="327" t="str">
        <f t="shared" si="8"/>
        <v>2</v>
      </c>
      <c r="N32" s="360">
        <v>2</v>
      </c>
      <c r="O32" s="359">
        <f t="shared" si="9"/>
        <v>0.3</v>
      </c>
      <c r="P32" s="370">
        <f t="shared" si="10"/>
        <v>1.2000000000000003E-3</v>
      </c>
      <c r="Q32" s="371">
        <f>'VAN d''exploitation '!W631</f>
        <v>622926.17373154743</v>
      </c>
      <c r="R32" s="372">
        <f>'Scénario 1'!$C$27</f>
        <v>-90276.297039525976</v>
      </c>
      <c r="S32" s="372">
        <f t="shared" si="11"/>
        <v>532649.8766920215</v>
      </c>
      <c r="T32" s="372">
        <f t="shared" si="12"/>
        <v>639.17985203042599</v>
      </c>
      <c r="U32" s="373">
        <f t="shared" si="13"/>
        <v>0.33873556909607094</v>
      </c>
      <c r="V32" s="374">
        <f t="shared" si="14"/>
        <v>4.0648268291528525E-4</v>
      </c>
      <c r="W32" s="375">
        <f>1+(S32/-'Scénario 1'!$S$23)</f>
        <v>5.9484380963584318</v>
      </c>
      <c r="X32" s="376">
        <f t="shared" si="15"/>
        <v>7.1381257156301198E-3</v>
      </c>
      <c r="Y32" s="393">
        <f t="shared" si="0"/>
        <v>169984247.99996763</v>
      </c>
      <c r="Z32" s="962">
        <f t="shared" si="16"/>
        <v>192.89044612785449</v>
      </c>
      <c r="AA32" s="963"/>
      <c r="AB32" s="327"/>
      <c r="AC32" s="327"/>
      <c r="AD32" s="327"/>
      <c r="AE32" s="335" t="s">
        <v>439</v>
      </c>
      <c r="AF32" s="405">
        <f>SUM(X7:X42)</f>
        <v>2.4518858091654816</v>
      </c>
      <c r="AG32" s="327"/>
      <c r="AH32" s="327"/>
      <c r="AI32" s="327"/>
      <c r="AL32" s="328">
        <v>26</v>
      </c>
      <c r="AM32" s="395">
        <f>'Scénario 1'!C$25</f>
        <v>-4652.3076923076924</v>
      </c>
      <c r="AN32" s="395">
        <f>'Scénario 1'!D$25</f>
        <v>-16728.024760770848</v>
      </c>
      <c r="AO32" s="395">
        <f>'Scénario 1'!E$25</f>
        <v>-37460.238859854901</v>
      </c>
      <c r="AP32" s="395">
        <f>'Scénario 1'!F$25</f>
        <v>-29226.507530881718</v>
      </c>
      <c r="AQ32" s="395">
        <f>'Scénario 1'!G$25+'VAN d''exploitation '!K631</f>
        <v>-47649.358537585591</v>
      </c>
      <c r="AR32" s="395">
        <f>'Scénario 1'!H$25+'VAN d''exploitation '!L631</f>
        <v>90165.252947212895</v>
      </c>
      <c r="AS32" s="395">
        <f>'Scénario 1'!I$25+'VAN d''exploitation '!M631</f>
        <v>82960.908210654525</v>
      </c>
      <c r="AT32" s="395">
        <f>'Scénario 1'!J$25+'VAN d''exploitation '!N631</f>
        <v>75551.741089728413</v>
      </c>
      <c r="AU32" s="395">
        <f>'Scénario 1'!K$25+'VAN d''exploitation '!O631</f>
        <v>67600.745413179757</v>
      </c>
      <c r="AV32" s="395">
        <f>'Scénario 1'!L$25+'VAN d''exploitation '!P631</f>
        <v>61193.761259520601</v>
      </c>
      <c r="AW32" s="395">
        <f>'Scénario 1'!M$25+'VAN d''exploitation '!Q631</f>
        <v>56384.469062606971</v>
      </c>
      <c r="AX32" s="395">
        <f>'Scénario 1'!N$25+'VAN d''exploitation '!R631</f>
        <v>51953.083407124563</v>
      </c>
      <c r="AY32" s="395">
        <f>'Scénario 1'!O$25+'VAN d''exploitation '!S631</f>
        <v>47869.91441356772</v>
      </c>
      <c r="AZ32" s="395">
        <f>'Scénario 1'!P$25+'VAN d''exploitation '!T631</f>
        <v>44107.604284078341</v>
      </c>
      <c r="BA32" s="395">
        <f>'Scénario 1'!Q$25+'VAN d''exploitation '!U631</f>
        <v>40640.944163929831</v>
      </c>
      <c r="BB32" s="395">
        <f>'Scénario 1'!R$25+'VAN d''exploitation '!V631</f>
        <v>49937.889821818673</v>
      </c>
      <c r="BC32" s="396">
        <f t="shared" si="17"/>
        <v>1.2000000000000003E-3</v>
      </c>
      <c r="BD32" s="397">
        <f t="shared" si="18"/>
        <v>532649.8766920215</v>
      </c>
      <c r="BE32" s="398">
        <f t="shared" si="19"/>
        <v>532649.8766920215</v>
      </c>
      <c r="BF32" s="399">
        <f t="shared" si="20"/>
        <v>0</v>
      </c>
    </row>
    <row r="33" spans="1:58" s="324" customFormat="1" ht="30.75" customHeight="1">
      <c r="A33" s="368">
        <v>27</v>
      </c>
      <c r="B33" s="369">
        <v>1113121</v>
      </c>
      <c r="C33" s="327" t="str">
        <f t="shared" si="1"/>
        <v>3121</v>
      </c>
      <c r="D33" s="327" t="str">
        <f t="shared" si="2"/>
        <v>3</v>
      </c>
      <c r="E33" s="360">
        <v>3</v>
      </c>
      <c r="F33" s="359">
        <f t="shared" si="3"/>
        <v>0.1</v>
      </c>
      <c r="G33" s="327">
        <f t="shared" si="4"/>
        <v>1</v>
      </c>
      <c r="H33" s="327">
        <v>1</v>
      </c>
      <c r="I33" s="359">
        <f t="shared" si="5"/>
        <v>0.1</v>
      </c>
      <c r="J33" s="327">
        <f t="shared" si="6"/>
        <v>2</v>
      </c>
      <c r="K33" s="327">
        <v>2</v>
      </c>
      <c r="L33" s="359">
        <f t="shared" si="7"/>
        <v>0.6</v>
      </c>
      <c r="M33" s="327" t="str">
        <f t="shared" si="8"/>
        <v>1</v>
      </c>
      <c r="N33" s="360">
        <v>1</v>
      </c>
      <c r="O33" s="359">
        <f t="shared" si="9"/>
        <v>0.7</v>
      </c>
      <c r="P33" s="370">
        <f t="shared" si="10"/>
        <v>4.2000000000000006E-3</v>
      </c>
      <c r="Q33" s="371">
        <f>'VAN d''exploitation '!W655</f>
        <v>324337.06708350487</v>
      </c>
      <c r="R33" s="372">
        <f>'Scénario 1'!$C$27</f>
        <v>-90276.297039525976</v>
      </c>
      <c r="S33" s="372">
        <f t="shared" si="11"/>
        <v>234060.77004397888</v>
      </c>
      <c r="T33" s="372">
        <f t="shared" si="12"/>
        <v>983.05523418471137</v>
      </c>
      <c r="U33" s="373">
        <f t="shared" si="13"/>
        <v>0.19780264118438384</v>
      </c>
      <c r="V33" s="374">
        <f t="shared" si="14"/>
        <v>8.3077109297441225E-4</v>
      </c>
      <c r="W33" s="375">
        <f>1+(S33/-'Scénario 1'!$S$23)</f>
        <v>3.1744776109622719</v>
      </c>
      <c r="X33" s="376">
        <f t="shared" si="15"/>
        <v>1.3332805966041543E-2</v>
      </c>
      <c r="Y33" s="393">
        <f t="shared" si="0"/>
        <v>25408716.552454881</v>
      </c>
      <c r="Z33" s="962">
        <f t="shared" si="16"/>
        <v>249.22444376013314</v>
      </c>
      <c r="AA33" s="963"/>
      <c r="AB33" s="327"/>
      <c r="AC33" s="327"/>
      <c r="AD33" s="327"/>
      <c r="AE33" s="332" t="s">
        <v>466</v>
      </c>
      <c r="AF33" s="406">
        <f>AVERAGE(Z7:AA42)</f>
        <v>433.99857036635257</v>
      </c>
      <c r="AG33" s="327"/>
      <c r="AH33" s="327"/>
      <c r="AI33" s="327"/>
      <c r="AL33" s="328">
        <v>27</v>
      </c>
      <c r="AM33" s="395">
        <f>'Scénario 1'!C$25</f>
        <v>-4652.3076923076924</v>
      </c>
      <c r="AN33" s="395">
        <f>'Scénario 1'!D$25</f>
        <v>-16728.024760770848</v>
      </c>
      <c r="AO33" s="395">
        <f>'Scénario 1'!E$25</f>
        <v>-37460.238859854901</v>
      </c>
      <c r="AP33" s="395">
        <f>'Scénario 1'!F$25</f>
        <v>-29226.507530881718</v>
      </c>
      <c r="AQ33" s="395">
        <f>'Scénario 1'!G$25+'VAN d''exploitation '!K655</f>
        <v>-32414.383399219463</v>
      </c>
      <c r="AR33" s="395">
        <f>'Scénario 1'!H$25+'VAN d''exploitation '!L655</f>
        <v>47472.269421943733</v>
      </c>
      <c r="AS33" s="395">
        <f>'Scénario 1'!I$25+'VAN d''exploitation '!M655</f>
        <v>44022.485872355544</v>
      </c>
      <c r="AT33" s="395">
        <f>'Scénario 1'!J$25+'VAN d''exploitation '!N655</f>
        <v>40044.938489093176</v>
      </c>
      <c r="AU33" s="395">
        <f>'Scénario 1'!K$25+'VAN d''exploitation '!O655</f>
        <v>35229.947057851969</v>
      </c>
      <c r="AV33" s="395">
        <f>'Scénario 1'!L$25+'VAN d''exploitation '!P655</f>
        <v>31688.394132863468</v>
      </c>
      <c r="AW33" s="395">
        <f>'Scénario 1'!M$25+'VAN d''exploitation '!Q655</f>
        <v>29496.908101495537</v>
      </c>
      <c r="AX33" s="395">
        <f>'Scénario 1'!N$25+'VAN d''exploitation '!R655</f>
        <v>27456.730424143654</v>
      </c>
      <c r="AY33" s="395">
        <f>'Scénario 1'!O$25+'VAN d''exploitation '!S655</f>
        <v>25557.436214775938</v>
      </c>
      <c r="AZ33" s="395">
        <f>'Scénario 1'!P$25+'VAN d''exploitation '!T655</f>
        <v>23789.31689654378</v>
      </c>
      <c r="BA33" s="395">
        <f>'Scénario 1'!Q$25+'VAN d''exploitation '!U655</f>
        <v>22143.33115585817</v>
      </c>
      <c r="BB33" s="395">
        <f>'Scénario 1'!R$25+'VAN d''exploitation '!V655</f>
        <v>27640.47452008853</v>
      </c>
      <c r="BC33" s="396">
        <f t="shared" si="17"/>
        <v>4.2000000000000006E-3</v>
      </c>
      <c r="BD33" s="397">
        <f t="shared" si="18"/>
        <v>234060.77004397888</v>
      </c>
      <c r="BE33" s="398">
        <f t="shared" si="19"/>
        <v>234060.77004397888</v>
      </c>
      <c r="BF33" s="399">
        <f t="shared" si="20"/>
        <v>0</v>
      </c>
    </row>
    <row r="34" spans="1:58" s="324" customFormat="1" ht="30.75" customHeight="1">
      <c r="A34" s="368">
        <v>28</v>
      </c>
      <c r="B34" s="369">
        <v>1113122</v>
      </c>
      <c r="C34" s="327" t="str">
        <f t="shared" si="1"/>
        <v>3122</v>
      </c>
      <c r="D34" s="327" t="str">
        <f t="shared" si="2"/>
        <v>3</v>
      </c>
      <c r="E34" s="360">
        <v>3</v>
      </c>
      <c r="F34" s="359">
        <f t="shared" si="3"/>
        <v>0.1</v>
      </c>
      <c r="G34" s="327">
        <f t="shared" si="4"/>
        <v>1</v>
      </c>
      <c r="H34" s="327">
        <v>1</v>
      </c>
      <c r="I34" s="359">
        <f t="shared" si="5"/>
        <v>0.1</v>
      </c>
      <c r="J34" s="327">
        <f t="shared" si="6"/>
        <v>2</v>
      </c>
      <c r="K34" s="327">
        <v>2</v>
      </c>
      <c r="L34" s="359">
        <f t="shared" si="7"/>
        <v>0.6</v>
      </c>
      <c r="M34" s="327" t="str">
        <f t="shared" si="8"/>
        <v>2</v>
      </c>
      <c r="N34" s="360">
        <v>2</v>
      </c>
      <c r="O34" s="359">
        <f t="shared" si="9"/>
        <v>0.3</v>
      </c>
      <c r="P34" s="370">
        <f t="shared" si="10"/>
        <v>1.8000000000000002E-3</v>
      </c>
      <c r="Q34" s="371">
        <f>'VAN d''exploitation '!W680</f>
        <v>307636.54328047542</v>
      </c>
      <c r="R34" s="372">
        <f>'Scénario 1'!$C$27</f>
        <v>-90276.297039525976</v>
      </c>
      <c r="S34" s="372">
        <f t="shared" si="11"/>
        <v>217360.24624094943</v>
      </c>
      <c r="T34" s="372">
        <f t="shared" si="12"/>
        <v>391.248443233709</v>
      </c>
      <c r="U34" s="373">
        <f t="shared" si="13"/>
        <v>0.19071417376016742</v>
      </c>
      <c r="V34" s="374">
        <f t="shared" si="14"/>
        <v>3.4328551276830137E-4</v>
      </c>
      <c r="W34" s="375">
        <f>1+(S34/-'Scénario 1'!$S$23)</f>
        <v>3.0193259591318236</v>
      </c>
      <c r="X34" s="376">
        <f t="shared" si="15"/>
        <v>5.4347867264372832E-3</v>
      </c>
      <c r="Y34" s="393">
        <f t="shared" si="0"/>
        <v>6715216.3074475164</v>
      </c>
      <c r="Z34" s="962">
        <f t="shared" si="16"/>
        <v>249.54471199040782</v>
      </c>
      <c r="AA34" s="963"/>
      <c r="AB34" s="327"/>
      <c r="AC34" s="327"/>
      <c r="AD34" s="327"/>
      <c r="AE34" s="336" t="s">
        <v>467</v>
      </c>
      <c r="AF34" s="407">
        <f>MIN(Z7:AA42)</f>
        <v>192.89044612785449</v>
      </c>
      <c r="AG34" s="327"/>
      <c r="AH34" s="327"/>
      <c r="AI34" s="327"/>
      <c r="AL34" s="328">
        <v>28</v>
      </c>
      <c r="AM34" s="395">
        <f>'Scénario 1'!C$25</f>
        <v>-4652.3076923076924</v>
      </c>
      <c r="AN34" s="395">
        <f>'Scénario 1'!D$25</f>
        <v>-16728.024760770848</v>
      </c>
      <c r="AO34" s="395">
        <f>'Scénario 1'!E$25</f>
        <v>-37460.238859854901</v>
      </c>
      <c r="AP34" s="395">
        <f>'Scénario 1'!F$25</f>
        <v>-29226.507530881718</v>
      </c>
      <c r="AQ34" s="395">
        <f>'Scénario 1'!G$25+'VAN d''exploitation '!K680</f>
        <v>-32262.0336478358</v>
      </c>
      <c r="AR34" s="395">
        <f>'Scénario 1'!H$25+'VAN d''exploitation '!L680</f>
        <v>47188.506570769197</v>
      </c>
      <c r="AS34" s="395">
        <f>'Scénario 1'!I$25+'VAN d''exploitation '!M680</f>
        <v>43366.442391395081</v>
      </c>
      <c r="AT34" s="395">
        <f>'Scénario 1'!J$25+'VAN d''exploitation '!N680</f>
        <v>39073.369512214107</v>
      </c>
      <c r="AU34" s="395">
        <f>'Scénario 1'!K$25+'VAN d''exploitation '!O680</f>
        <v>33993.230690757584</v>
      </c>
      <c r="AV34" s="395">
        <f>'Scénario 1'!L$25+'VAN d''exploitation '!P680</f>
        <v>30231.166248452762</v>
      </c>
      <c r="AW34" s="395">
        <f>'Scénario 1'!M$25+'VAN d''exploitation '!Q680</f>
        <v>27858.637928185362</v>
      </c>
      <c r="AX34" s="395">
        <f>'Scénario 1'!N$25+'VAN d''exploitation '!R680</f>
        <v>25672.242230257278</v>
      </c>
      <c r="AY34" s="395">
        <f>'Scénario 1'!O$25+'VAN d''exploitation '!S680</f>
        <v>23657.381929972922</v>
      </c>
      <c r="AZ34" s="395">
        <f>'Scénario 1'!P$25+'VAN d''exploitation '!T680</f>
        <v>21800.604088622094</v>
      </c>
      <c r="BA34" s="395">
        <f>'Scénario 1'!Q$25+'VAN d''exploitation '!U680</f>
        <v>20089.510394775953</v>
      </c>
      <c r="BB34" s="395">
        <f>'Scénario 1'!R$25+'VAN d''exploitation '!V680</f>
        <v>24758.266747198093</v>
      </c>
      <c r="BC34" s="396">
        <f t="shared" si="17"/>
        <v>1.8000000000000002E-3</v>
      </c>
      <c r="BD34" s="397">
        <f t="shared" si="18"/>
        <v>217360.24624094946</v>
      </c>
      <c r="BE34" s="398">
        <f t="shared" si="19"/>
        <v>217360.24624094943</v>
      </c>
      <c r="BF34" s="399">
        <f t="shared" si="20"/>
        <v>0</v>
      </c>
    </row>
    <row r="35" spans="1:58" s="324" customFormat="1" ht="30.75" customHeight="1" thickBot="1">
      <c r="A35" s="368">
        <v>29</v>
      </c>
      <c r="B35" s="369">
        <v>1113211</v>
      </c>
      <c r="C35" s="327" t="str">
        <f t="shared" si="1"/>
        <v>3211</v>
      </c>
      <c r="D35" s="327" t="str">
        <f t="shared" si="2"/>
        <v>3</v>
      </c>
      <c r="E35" s="360">
        <v>3</v>
      </c>
      <c r="F35" s="359">
        <f t="shared" si="3"/>
        <v>0.1</v>
      </c>
      <c r="G35" s="327">
        <f t="shared" si="4"/>
        <v>2</v>
      </c>
      <c r="H35" s="327">
        <v>2</v>
      </c>
      <c r="I35" s="359">
        <f t="shared" si="5"/>
        <v>0.6</v>
      </c>
      <c r="J35" s="327">
        <f t="shared" si="6"/>
        <v>1</v>
      </c>
      <c r="K35" s="327">
        <v>1</v>
      </c>
      <c r="L35" s="359">
        <f t="shared" si="7"/>
        <v>0.4</v>
      </c>
      <c r="M35" s="327" t="str">
        <f t="shared" si="8"/>
        <v>1</v>
      </c>
      <c r="N35" s="360">
        <v>1</v>
      </c>
      <c r="O35" s="359">
        <f t="shared" si="9"/>
        <v>0.7</v>
      </c>
      <c r="P35" s="370">
        <f t="shared" si="10"/>
        <v>1.6799999999999999E-2</v>
      </c>
      <c r="Q35" s="371">
        <f>'VAN d''exploitation '!W705</f>
        <v>430573.91644481727</v>
      </c>
      <c r="R35" s="372">
        <f>'Scénario 1'!$C$27</f>
        <v>-90276.297039525976</v>
      </c>
      <c r="S35" s="372">
        <f t="shared" si="11"/>
        <v>340297.61940529128</v>
      </c>
      <c r="T35" s="372">
        <f t="shared" si="12"/>
        <v>5717.0000060088933</v>
      </c>
      <c r="U35" s="373">
        <f t="shared" si="13"/>
        <v>0.25350975780163987</v>
      </c>
      <c r="V35" s="374">
        <f t="shared" si="14"/>
        <v>4.2589639310675496E-3</v>
      </c>
      <c r="W35" s="375">
        <f>1+(S35/-'Scénario 1'!$S$23)</f>
        <v>4.1614420234605287</v>
      </c>
      <c r="X35" s="376">
        <f t="shared" si="15"/>
        <v>6.9912225994136878E-2</v>
      </c>
      <c r="Y35" s="393">
        <f t="shared" si="0"/>
        <v>568883623.56436169</v>
      </c>
      <c r="Z35" s="962">
        <f t="shared" si="16"/>
        <v>222.55799068317296</v>
      </c>
      <c r="AA35" s="963"/>
      <c r="AB35" s="327"/>
      <c r="AC35" s="327"/>
      <c r="AD35" s="327"/>
      <c r="AE35" s="337" t="s">
        <v>468</v>
      </c>
      <c r="AF35" s="408">
        <f>MAX(Z7:AA42)</f>
        <v>5477.2372541756686</v>
      </c>
      <c r="AG35" s="327"/>
      <c r="AH35" s="327"/>
      <c r="AI35" s="327"/>
      <c r="AL35" s="328">
        <v>29</v>
      </c>
      <c r="AM35" s="395">
        <f>'Scénario 1'!C$25</f>
        <v>-4652.3076923076924</v>
      </c>
      <c r="AN35" s="395">
        <f>'Scénario 1'!D$25</f>
        <v>-16728.024760770848</v>
      </c>
      <c r="AO35" s="395">
        <f>'Scénario 1'!E$25</f>
        <v>-37460.238859854901</v>
      </c>
      <c r="AP35" s="395">
        <f>'Scénario 1'!F$25</f>
        <v>-29226.507530881718</v>
      </c>
      <c r="AQ35" s="395">
        <f>'Scénario 1'!G$25+'VAN d''exploitation '!K705</f>
        <v>-37387.079284382169</v>
      </c>
      <c r="AR35" s="395">
        <f>'Scénario 1'!H$25+'VAN d''exploitation '!L705</f>
        <v>61315.632374781555</v>
      </c>
      <c r="AS35" s="395">
        <f>'Scénario 1'!I$25+'VAN d''exploitation '!M705</f>
        <v>56902.648848425917</v>
      </c>
      <c r="AT35" s="395">
        <f>'Scénario 1'!J$25+'VAN d''exploitation '!N705</f>
        <v>52028.919466499065</v>
      </c>
      <c r="AU35" s="395">
        <f>'Scénario 1'!K$25+'VAN d''exploitation '!O705</f>
        <v>46380.101006497265</v>
      </c>
      <c r="AV35" s="395">
        <f>'Scénario 1'!L$25+'VAN d''exploitation '!P705</f>
        <v>42062.73745941661</v>
      </c>
      <c r="AW35" s="395">
        <f>'Scénario 1'!M$25+'VAN d''exploitation '!Q705</f>
        <v>39149.42051996971</v>
      </c>
      <c r="AX35" s="395">
        <f>'Scénario 1'!N$25+'VAN d''exploitation '!R705</f>
        <v>36437.635822784818</v>
      </c>
      <c r="AY35" s="395">
        <f>'Scénario 1'!O$25+'VAN d''exploitation '!S705</f>
        <v>33913.46398066324</v>
      </c>
      <c r="AZ35" s="395">
        <f>'Scénario 1'!P$25+'VAN d''exploitation '!T705</f>
        <v>31563.945057624718</v>
      </c>
      <c r="BA35" s="395">
        <f>'Scénario 1'!Q$25+'VAN d''exploitation '!U705</f>
        <v>29377.012605533724</v>
      </c>
      <c r="BB35" s="395">
        <f>'Scénario 1'!R$25+'VAN d''exploitation '!V705</f>
        <v>36620.260391292053</v>
      </c>
      <c r="BC35" s="396">
        <f t="shared" si="17"/>
        <v>1.6799999999999999E-2</v>
      </c>
      <c r="BD35" s="397">
        <f t="shared" si="18"/>
        <v>340297.61940529133</v>
      </c>
      <c r="BE35" s="398">
        <f t="shared" si="19"/>
        <v>340297.61940529128</v>
      </c>
      <c r="BF35" s="399">
        <f t="shared" si="20"/>
        <v>0</v>
      </c>
    </row>
    <row r="36" spans="1:58" s="324" customFormat="1" ht="30.75" customHeight="1">
      <c r="A36" s="368">
        <v>30</v>
      </c>
      <c r="B36" s="369">
        <v>1113212</v>
      </c>
      <c r="C36" s="327" t="str">
        <f t="shared" si="1"/>
        <v>3212</v>
      </c>
      <c r="D36" s="327" t="str">
        <f t="shared" si="2"/>
        <v>3</v>
      </c>
      <c r="E36" s="360">
        <v>3</v>
      </c>
      <c r="F36" s="359">
        <f t="shared" si="3"/>
        <v>0.1</v>
      </c>
      <c r="G36" s="327">
        <f t="shared" si="4"/>
        <v>2</v>
      </c>
      <c r="H36" s="327">
        <v>2</v>
      </c>
      <c r="I36" s="359">
        <f t="shared" si="5"/>
        <v>0.6</v>
      </c>
      <c r="J36" s="327">
        <f t="shared" si="6"/>
        <v>1</v>
      </c>
      <c r="K36" s="327">
        <v>1</v>
      </c>
      <c r="L36" s="359">
        <f t="shared" si="7"/>
        <v>0.4</v>
      </c>
      <c r="M36" s="327" t="str">
        <f t="shared" si="8"/>
        <v>2</v>
      </c>
      <c r="N36" s="360">
        <v>2</v>
      </c>
      <c r="O36" s="359">
        <f t="shared" si="9"/>
        <v>0.3</v>
      </c>
      <c r="P36" s="370">
        <f t="shared" si="10"/>
        <v>7.1999999999999998E-3</v>
      </c>
      <c r="Q36" s="371">
        <f>'VAN d''exploitation '!W729</f>
        <v>408529.22502481838</v>
      </c>
      <c r="R36" s="372">
        <f>'Scénario 1'!$C$27</f>
        <v>-90276.297039525976</v>
      </c>
      <c r="S36" s="372">
        <f t="shared" si="11"/>
        <v>318252.92798529239</v>
      </c>
      <c r="T36" s="372">
        <f t="shared" si="12"/>
        <v>2291.4210814941052</v>
      </c>
      <c r="U36" s="373">
        <f t="shared" si="13"/>
        <v>0.24643361454574686</v>
      </c>
      <c r="V36" s="374">
        <f t="shared" si="14"/>
        <v>1.7743220247293772E-3</v>
      </c>
      <c r="W36" s="375">
        <f>1+(S36/-'Scénario 1'!$S$23)</f>
        <v>3.9566418430443373</v>
      </c>
      <c r="X36" s="376">
        <f t="shared" si="15"/>
        <v>2.8487821269919229E-2</v>
      </c>
      <c r="Y36" s="393">
        <f t="shared" si="0"/>
        <v>188891346.10384583</v>
      </c>
      <c r="Z36" s="962">
        <f t="shared" si="16"/>
        <v>222.72143975483269</v>
      </c>
      <c r="AA36" s="963"/>
      <c r="AB36" s="327"/>
      <c r="AC36" s="327"/>
      <c r="AD36" s="327"/>
      <c r="AE36" s="327"/>
      <c r="AF36" s="327"/>
      <c r="AG36" s="327"/>
      <c r="AH36" s="327"/>
      <c r="AI36" s="327"/>
      <c r="AL36" s="328">
        <v>30</v>
      </c>
      <c r="AM36" s="395">
        <f>'Scénario 1'!C$25</f>
        <v>-4652.3076923076924</v>
      </c>
      <c r="AN36" s="395">
        <f>'Scénario 1'!D$25</f>
        <v>-16728.024760770848</v>
      </c>
      <c r="AO36" s="395">
        <f>'Scénario 1'!E$25</f>
        <v>-37460.238859854901</v>
      </c>
      <c r="AP36" s="395">
        <f>'Scénario 1'!F$25</f>
        <v>-29226.507530881718</v>
      </c>
      <c r="AQ36" s="395">
        <f>'Scénario 1'!G$25+'VAN d''exploitation '!K729</f>
        <v>-37185.97761255574</v>
      </c>
      <c r="AR36" s="395">
        <f>'Scénario 1'!H$25+'VAN d''exploitation '!L729</f>
        <v>60941.06541123119</v>
      </c>
      <c r="AS36" s="395">
        <f>'Scénario 1'!I$25+'VAN d''exploitation '!M729</f>
        <v>56036.671453558105</v>
      </c>
      <c r="AT36" s="395">
        <f>'Scénario 1'!J$25+'VAN d''exploitation '!N729</f>
        <v>50746.448417018692</v>
      </c>
      <c r="AU36" s="395">
        <f>'Scénario 1'!K$25+'VAN d''exploitation '!O729</f>
        <v>44747.635401932683</v>
      </c>
      <c r="AV36" s="395">
        <f>'Scénario 1'!L$25+'VAN d''exploitation '!P729</f>
        <v>40139.196651994469</v>
      </c>
      <c r="AW36" s="395">
        <f>'Scénario 1'!M$25+'VAN d''exploitation '!Q729</f>
        <v>36986.903891200272</v>
      </c>
      <c r="AX36" s="395">
        <f>'Scénario 1'!N$25+'VAN d''exploitation '!R729</f>
        <v>34082.11140685482</v>
      </c>
      <c r="AY36" s="395">
        <f>'Scénario 1'!O$25+'VAN d''exploitation '!S729</f>
        <v>31405.392324723267</v>
      </c>
      <c r="AZ36" s="395">
        <f>'Scénario 1'!P$25+'VAN d''exploitation '!T729</f>
        <v>28938.844151168094</v>
      </c>
      <c r="BA36" s="395">
        <f>'Scénario 1'!Q$25+'VAN d''exploitation '!U729</f>
        <v>26665.969200905198</v>
      </c>
      <c r="BB36" s="395">
        <f>'Scénario 1'!R$25+'VAN d''exploitation '!V729</f>
        <v>32815.746131076674</v>
      </c>
      <c r="BC36" s="396">
        <f t="shared" si="17"/>
        <v>7.1999999999999998E-3</v>
      </c>
      <c r="BD36" s="397">
        <f t="shared" si="18"/>
        <v>318252.92798529257</v>
      </c>
      <c r="BE36" s="398">
        <f t="shared" si="19"/>
        <v>318252.92798529239</v>
      </c>
      <c r="BF36" s="399">
        <f t="shared" si="20"/>
        <v>0</v>
      </c>
    </row>
    <row r="37" spans="1:58" s="324" customFormat="1" ht="30.75" customHeight="1">
      <c r="A37" s="368">
        <v>31</v>
      </c>
      <c r="B37" s="369">
        <v>1113221</v>
      </c>
      <c r="C37" s="327" t="str">
        <f t="shared" si="1"/>
        <v>3221</v>
      </c>
      <c r="D37" s="327" t="str">
        <f t="shared" si="2"/>
        <v>3</v>
      </c>
      <c r="E37" s="360">
        <v>3</v>
      </c>
      <c r="F37" s="359">
        <f t="shared" si="3"/>
        <v>0.1</v>
      </c>
      <c r="G37" s="327">
        <f t="shared" si="4"/>
        <v>2</v>
      </c>
      <c r="H37" s="327">
        <v>2</v>
      </c>
      <c r="I37" s="359">
        <f t="shared" si="5"/>
        <v>0.6</v>
      </c>
      <c r="J37" s="327">
        <f t="shared" si="6"/>
        <v>2</v>
      </c>
      <c r="K37" s="327">
        <v>2</v>
      </c>
      <c r="L37" s="359">
        <f t="shared" si="7"/>
        <v>0.6</v>
      </c>
      <c r="M37" s="327" t="str">
        <f t="shared" si="8"/>
        <v>1</v>
      </c>
      <c r="N37" s="360">
        <v>1</v>
      </c>
      <c r="O37" s="359">
        <f t="shared" si="9"/>
        <v>0.7</v>
      </c>
      <c r="P37" s="370">
        <f t="shared" si="10"/>
        <v>2.5199999999999997E-2</v>
      </c>
      <c r="Q37" s="371">
        <f>'VAN d''exploitation '!W754</f>
        <v>211460.41463711031</v>
      </c>
      <c r="R37" s="372">
        <f>'Scénario 1'!$C$27</f>
        <v>-90276.297039525976</v>
      </c>
      <c r="S37" s="372">
        <f t="shared" si="11"/>
        <v>121184.11759758434</v>
      </c>
      <c r="T37" s="372">
        <f t="shared" si="12"/>
        <v>3053.8397634591247</v>
      </c>
      <c r="U37" s="373">
        <f t="shared" si="13"/>
        <v>0.12256918026257346</v>
      </c>
      <c r="V37" s="374">
        <f t="shared" si="14"/>
        <v>3.0887433426168508E-3</v>
      </c>
      <c r="W37" s="375">
        <f>1+(S37/-'Scénario 1'!$S$23)</f>
        <v>2.1258279226828725</v>
      </c>
      <c r="X37" s="376">
        <f t="shared" si="15"/>
        <v>5.3570863651608382E-2</v>
      </c>
      <c r="Y37" s="393">
        <f t="shared" si="0"/>
        <v>31041116.745423596</v>
      </c>
      <c r="Z37" s="962">
        <f t="shared" si="16"/>
        <v>302.248446931768</v>
      </c>
      <c r="AA37" s="963"/>
      <c r="AB37" s="327"/>
      <c r="AC37" s="327"/>
      <c r="AD37" s="327"/>
      <c r="AE37" s="338" t="s">
        <v>448</v>
      </c>
      <c r="AF37" s="339" t="s">
        <v>448</v>
      </c>
      <c r="AG37" s="339" t="s">
        <v>449</v>
      </c>
      <c r="AH37" s="339" t="s">
        <v>360</v>
      </c>
      <c r="AI37" s="340" t="s">
        <v>470</v>
      </c>
      <c r="AL37" s="328">
        <v>31</v>
      </c>
      <c r="AM37" s="395">
        <f>'Scénario 1'!C$25</f>
        <v>-4652.3076923076924</v>
      </c>
      <c r="AN37" s="395">
        <f>'Scénario 1'!D$25</f>
        <v>-16728.024760770848</v>
      </c>
      <c r="AO37" s="395">
        <f>'Scénario 1'!E$25</f>
        <v>-37460.238859854901</v>
      </c>
      <c r="AP37" s="395">
        <f>'Scénario 1'!F$25</f>
        <v>-29226.507530881718</v>
      </c>
      <c r="AQ37" s="395">
        <f>'Scénario 1'!G$25+'VAN d''exploitation '!K754</f>
        <v>-27130.894021234089</v>
      </c>
      <c r="AR37" s="395">
        <f>'Scénario 1'!H$25+'VAN d''exploitation '!L754</f>
        <v>32763.696284553531</v>
      </c>
      <c r="AS37" s="395">
        <f>'Scénario 1'!I$25+'VAN d''exploitation '!M754</f>
        <v>30337.312710280774</v>
      </c>
      <c r="AT37" s="395">
        <f>'Scénario 1'!J$25+'VAN d''exploitation '!N754</f>
        <v>27311.958700599433</v>
      </c>
      <c r="AU37" s="395">
        <f>'Scénario 1'!K$25+'VAN d''exploitation '!O754</f>
        <v>23382.908487416338</v>
      </c>
      <c r="AV37" s="395">
        <f>'Scénario 1'!L$25+'VAN d''exploitation '!P754</f>
        <v>20665.654348400752</v>
      </c>
      <c r="AW37" s="395">
        <f>'Scénario 1'!M$25+'VAN d''exploitation '!Q754</f>
        <v>19241.113656866732</v>
      </c>
      <c r="AX37" s="395">
        <f>'Scénario 1'!N$25+'VAN d''exploitation '!R754</f>
        <v>17914.518438087405</v>
      </c>
      <c r="AY37" s="395">
        <f>'Scénario 1'!O$25+'VAN d''exploitation '!S754</f>
        <v>16679.156713520682</v>
      </c>
      <c r="AZ37" s="395">
        <f>'Scénario 1'!P$25+'VAN d''exploitation '!T754</f>
        <v>15528.774475395283</v>
      </c>
      <c r="BA37" s="395">
        <f>'Scénario 1'!Q$25+'VAN d''exploitation '!U754</f>
        <v>14457.544615577899</v>
      </c>
      <c r="BB37" s="395">
        <f>'Scénario 1'!R$25+'VAN d''exploitation '!V754</f>
        <v>18099.452031934787</v>
      </c>
      <c r="BC37" s="396">
        <f t="shared" si="17"/>
        <v>2.5199999999999997E-2</v>
      </c>
      <c r="BD37" s="397">
        <f t="shared" si="18"/>
        <v>121184.11759758435</v>
      </c>
      <c r="BE37" s="398">
        <f t="shared" si="19"/>
        <v>121184.11759758434</v>
      </c>
      <c r="BF37" s="399">
        <f t="shared" si="20"/>
        <v>0</v>
      </c>
    </row>
    <row r="38" spans="1:58" s="324" customFormat="1" ht="30.75" customHeight="1">
      <c r="A38" s="368">
        <v>32</v>
      </c>
      <c r="B38" s="369">
        <v>1113222</v>
      </c>
      <c r="C38" s="327" t="str">
        <f t="shared" si="1"/>
        <v>3222</v>
      </c>
      <c r="D38" s="327" t="str">
        <f t="shared" si="2"/>
        <v>3</v>
      </c>
      <c r="E38" s="360">
        <v>3</v>
      </c>
      <c r="F38" s="359">
        <f t="shared" si="3"/>
        <v>0.1</v>
      </c>
      <c r="G38" s="327">
        <f t="shared" si="4"/>
        <v>2</v>
      </c>
      <c r="H38" s="327">
        <v>2</v>
      </c>
      <c r="I38" s="359">
        <f t="shared" si="5"/>
        <v>0.6</v>
      </c>
      <c r="J38" s="327">
        <f t="shared" si="6"/>
        <v>2</v>
      </c>
      <c r="K38" s="327">
        <v>2</v>
      </c>
      <c r="L38" s="359">
        <f t="shared" si="7"/>
        <v>0.6</v>
      </c>
      <c r="M38" s="327" t="str">
        <f t="shared" si="8"/>
        <v>2</v>
      </c>
      <c r="N38" s="360">
        <v>2</v>
      </c>
      <c r="O38" s="359">
        <f t="shared" si="9"/>
        <v>0.3</v>
      </c>
      <c r="P38" s="370">
        <f t="shared" si="10"/>
        <v>1.0799999999999999E-2</v>
      </c>
      <c r="Q38" s="371">
        <f>'VAN d''exploitation '!W778</f>
        <v>200438.06892711093</v>
      </c>
      <c r="R38" s="372">
        <f>'Scénario 1'!$C$27</f>
        <v>-90276.297039525976</v>
      </c>
      <c r="S38" s="372">
        <f t="shared" si="11"/>
        <v>110161.77188758495</v>
      </c>
      <c r="T38" s="372">
        <f t="shared" si="12"/>
        <v>1189.7471363859174</v>
      </c>
      <c r="U38" s="373">
        <f t="shared" si="13"/>
        <v>0.11547778781088147</v>
      </c>
      <c r="V38" s="374">
        <f t="shared" si="14"/>
        <v>1.2471601083575198E-3</v>
      </c>
      <c r="W38" s="375">
        <f>1+(S38/-'Scénario 1'!$S$23)</f>
        <v>2.023427832474777</v>
      </c>
      <c r="X38" s="376">
        <f t="shared" si="15"/>
        <v>2.1853020590727589E-2</v>
      </c>
      <c r="Y38" s="393">
        <f t="shared" si="0"/>
        <v>22971407.120760694</v>
      </c>
      <c r="Z38" s="962">
        <f t="shared" si="16"/>
        <v>302.85947450299591</v>
      </c>
      <c r="AA38" s="963"/>
      <c r="AB38" s="327"/>
      <c r="AC38" s="327"/>
      <c r="AD38" s="341" t="s">
        <v>450</v>
      </c>
      <c r="AE38" s="341" t="s">
        <v>451</v>
      </c>
      <c r="AF38" s="342" t="s">
        <v>451</v>
      </c>
      <c r="AG38" s="343">
        <f>'Chances de réussites'!Q11</f>
        <v>0.4158</v>
      </c>
      <c r="AH38" s="344">
        <f>AF24</f>
        <v>156280.98849857235</v>
      </c>
      <c r="AI38" s="345">
        <f>AG38*AH38</f>
        <v>64981.63501770638</v>
      </c>
      <c r="AL38" s="328">
        <v>32</v>
      </c>
      <c r="AM38" s="395">
        <f>'Scénario 1'!C$25</f>
        <v>-4652.3076923076924</v>
      </c>
      <c r="AN38" s="395">
        <f>'Scénario 1'!D$25</f>
        <v>-16728.024760770848</v>
      </c>
      <c r="AO38" s="395">
        <f>'Scénario 1'!E$25</f>
        <v>-37460.238859854901</v>
      </c>
      <c r="AP38" s="395">
        <f>'Scénario 1'!F$25</f>
        <v>-29226.507530881718</v>
      </c>
      <c r="AQ38" s="395">
        <f>'Scénario 1'!G$25+'VAN d''exploitation '!K778</f>
        <v>-27030.343185320871</v>
      </c>
      <c r="AR38" s="395">
        <f>'Scénario 1'!H$25+'VAN d''exploitation '!L778</f>
        <v>32576.412802778348</v>
      </c>
      <c r="AS38" s="395">
        <f>'Scénario 1'!I$25+'VAN d''exploitation '!M778</f>
        <v>29904.324012846868</v>
      </c>
      <c r="AT38" s="395">
        <f>'Scénario 1'!J$25+'VAN d''exploitation '!N778</f>
        <v>26670.723175859246</v>
      </c>
      <c r="AU38" s="395">
        <f>'Scénario 1'!K$25+'VAN d''exploitation '!O778</f>
        <v>22566.675685134043</v>
      </c>
      <c r="AV38" s="395">
        <f>'Scénario 1'!L$25+'VAN d''exploitation '!P778</f>
        <v>19703.883944689689</v>
      </c>
      <c r="AW38" s="395">
        <f>'Scénario 1'!M$25+'VAN d''exploitation '!Q778</f>
        <v>18159.855342482013</v>
      </c>
      <c r="AX38" s="395">
        <f>'Scénario 1'!N$25+'VAN d''exploitation '!R778</f>
        <v>16736.756230122406</v>
      </c>
      <c r="AY38" s="395">
        <f>'Scénario 1'!O$25+'VAN d''exploitation '!S778</f>
        <v>15425.120885550694</v>
      </c>
      <c r="AZ38" s="395">
        <f>'Scénario 1'!P$25+'VAN d''exploitation '!T778</f>
        <v>14216.224022166971</v>
      </c>
      <c r="BA38" s="395">
        <f>'Scénario 1'!Q$25+'VAN d''exploitation '!U778</f>
        <v>13102.022913263636</v>
      </c>
      <c r="BB38" s="395">
        <f>'Scénario 1'!R$25+'VAN d''exploitation '!V778</f>
        <v>16197.194901827093</v>
      </c>
      <c r="BC38" s="396">
        <f t="shared" si="17"/>
        <v>1.0799999999999999E-2</v>
      </c>
      <c r="BD38" s="397">
        <f t="shared" si="18"/>
        <v>110161.77188758497</v>
      </c>
      <c r="BE38" s="398">
        <f t="shared" si="19"/>
        <v>110161.77188758495</v>
      </c>
      <c r="BF38" s="399">
        <f t="shared" si="20"/>
        <v>0</v>
      </c>
    </row>
    <row r="39" spans="1:58" s="324" customFormat="1" ht="30.75" customHeight="1">
      <c r="A39" s="368">
        <v>33</v>
      </c>
      <c r="B39" s="369">
        <v>1113311</v>
      </c>
      <c r="C39" s="327" t="str">
        <f t="shared" si="1"/>
        <v>3311</v>
      </c>
      <c r="D39" s="327" t="str">
        <f t="shared" si="2"/>
        <v>3</v>
      </c>
      <c r="E39" s="360">
        <v>3</v>
      </c>
      <c r="F39" s="359">
        <f t="shared" si="3"/>
        <v>0.1</v>
      </c>
      <c r="G39" s="327">
        <f t="shared" si="4"/>
        <v>3</v>
      </c>
      <c r="H39" s="327">
        <v>3</v>
      </c>
      <c r="I39" s="359">
        <f t="shared" si="5"/>
        <v>0.3</v>
      </c>
      <c r="J39" s="327">
        <f t="shared" si="6"/>
        <v>1</v>
      </c>
      <c r="K39" s="327">
        <v>1</v>
      </c>
      <c r="L39" s="359">
        <f t="shared" si="7"/>
        <v>0.4</v>
      </c>
      <c r="M39" s="327" t="str">
        <f t="shared" si="8"/>
        <v>1</v>
      </c>
      <c r="N39" s="360">
        <v>1</v>
      </c>
      <c r="O39" s="359">
        <f t="shared" si="9"/>
        <v>0.7</v>
      </c>
      <c r="P39" s="370">
        <f t="shared" si="10"/>
        <v>8.3999999999999995E-3</v>
      </c>
      <c r="Q39" s="371">
        <f>'VAN d''exploitation '!W802</f>
        <v>257939.03623268456</v>
      </c>
      <c r="R39" s="372">
        <f>'Scénario 1'!$C$27</f>
        <v>-90276.297039525976</v>
      </c>
      <c r="S39" s="372">
        <f t="shared" si="11"/>
        <v>167662.73919315857</v>
      </c>
      <c r="T39" s="372">
        <f t="shared" si="12"/>
        <v>1408.367009222532</v>
      </c>
      <c r="U39" s="373">
        <f t="shared" si="13"/>
        <v>0.1562471286233289</v>
      </c>
      <c r="V39" s="374">
        <f t="shared" si="14"/>
        <v>1.3124758804359626E-3</v>
      </c>
      <c r="W39" s="375">
        <f>1+(S39/-'Scénario 1'!$S$23)</f>
        <v>2.5576248531508607</v>
      </c>
      <c r="X39" s="376">
        <f t="shared" si="15"/>
        <v>2.1484048766467229E-2</v>
      </c>
      <c r="Y39" s="393">
        <f t="shared" si="0"/>
        <v>1088171.690539198</v>
      </c>
      <c r="Z39" s="962">
        <f t="shared" si="16"/>
        <v>275.54887986649959</v>
      </c>
      <c r="AA39" s="963"/>
      <c r="AB39" s="327"/>
      <c r="AC39" s="327"/>
      <c r="AD39" s="341" t="s">
        <v>452</v>
      </c>
      <c r="AE39" s="341" t="s">
        <v>451</v>
      </c>
      <c r="AF39" s="346" t="s">
        <v>453</v>
      </c>
      <c r="AG39" s="343">
        <f>'Chances de réussites'!Q15</f>
        <v>0.1242</v>
      </c>
      <c r="AH39" s="347">
        <f>'Scénario 2'!C28</f>
        <v>-86618.750547212971</v>
      </c>
      <c r="AI39" s="345">
        <f>AG39*AH39</f>
        <v>-10758.048817963851</v>
      </c>
      <c r="AL39" s="328">
        <v>33</v>
      </c>
      <c r="AM39" s="395">
        <f>'Scénario 1'!C$25</f>
        <v>-4652.3076923076924</v>
      </c>
      <c r="AN39" s="395">
        <f>'Scénario 1'!D$25</f>
        <v>-16728.024760770848</v>
      </c>
      <c r="AO39" s="395">
        <f>'Scénario 1'!E$25</f>
        <v>-37460.238859854901</v>
      </c>
      <c r="AP39" s="395">
        <f>'Scénario 1'!F$25</f>
        <v>-29226.507530881718</v>
      </c>
      <c r="AQ39" s="395">
        <f>'Scénario 1'!G$25+'VAN d''exploitation '!K802</f>
        <v>-29306.448470992771</v>
      </c>
      <c r="AR39" s="395">
        <f>'Scénario 1'!H$25+'VAN d''exploitation '!L802</f>
        <v>38820.167576420085</v>
      </c>
      <c r="AS39" s="395">
        <f>'Scénario 1'!I$25+'VAN d''exploitation '!M802</f>
        <v>35972.384012311559</v>
      </c>
      <c r="AT39" s="395">
        <f>'Scénario 1'!J$25+'VAN d''exploitation '!N802</f>
        <v>32554.950378214508</v>
      </c>
      <c r="AU39" s="395">
        <f>'Scénario 1'!K$25+'VAN d''exploitation '!O802</f>
        <v>28261.10083994866</v>
      </c>
      <c r="AV39" s="395">
        <f>'Scénario 1'!L$25+'VAN d''exploitation '!P802</f>
        <v>25204.429553767761</v>
      </c>
      <c r="AW39" s="395">
        <f>'Scénario 1'!M$25+'VAN d''exploitation '!Q802</f>
        <v>23464.08783994917</v>
      </c>
      <c r="AX39" s="395">
        <f>'Scénario 1'!N$25+'VAN d''exploitation '!R802</f>
        <v>21843.664549992929</v>
      </c>
      <c r="AY39" s="395">
        <f>'Scénario 1'!O$25+'VAN d''exploitation '!S802</f>
        <v>20334.918861096372</v>
      </c>
      <c r="AZ39" s="395">
        <f>'Scénario 1'!P$25+'VAN d''exploitation '!T802</f>
        <v>18930.174295868201</v>
      </c>
      <c r="BA39" s="395">
        <f>'Scénario 1'!Q$25+'VAN d''exploitation '!U802</f>
        <v>17622.280249810956</v>
      </c>
      <c r="BB39" s="395">
        <f>'Scénario 1'!R$25+'VAN d''exploitation '!V802</f>
        <v>22028.108350586328</v>
      </c>
      <c r="BC39" s="396">
        <f t="shared" si="17"/>
        <v>8.3999999999999995E-3</v>
      </c>
      <c r="BD39" s="397">
        <f t="shared" si="18"/>
        <v>167662.7391931586</v>
      </c>
      <c r="BE39" s="398">
        <f t="shared" si="19"/>
        <v>167662.73919315857</v>
      </c>
      <c r="BF39" s="399">
        <f t="shared" si="20"/>
        <v>0</v>
      </c>
    </row>
    <row r="40" spans="1:58" s="324" customFormat="1" ht="30.75" customHeight="1">
      <c r="A40" s="368">
        <v>34</v>
      </c>
      <c r="B40" s="369">
        <v>1113312</v>
      </c>
      <c r="C40" s="327" t="str">
        <f t="shared" si="1"/>
        <v>3312</v>
      </c>
      <c r="D40" s="327" t="str">
        <f t="shared" si="2"/>
        <v>3</v>
      </c>
      <c r="E40" s="360">
        <v>3</v>
      </c>
      <c r="F40" s="359">
        <f t="shared" si="3"/>
        <v>0.1</v>
      </c>
      <c r="G40" s="327">
        <f t="shared" si="4"/>
        <v>3</v>
      </c>
      <c r="H40" s="327">
        <v>3</v>
      </c>
      <c r="I40" s="359">
        <f t="shared" si="5"/>
        <v>0.3</v>
      </c>
      <c r="J40" s="327">
        <f t="shared" si="6"/>
        <v>1</v>
      </c>
      <c r="K40" s="327">
        <v>1</v>
      </c>
      <c r="L40" s="359">
        <f t="shared" si="7"/>
        <v>0.4</v>
      </c>
      <c r="M40" s="327" t="str">
        <f t="shared" si="8"/>
        <v>2</v>
      </c>
      <c r="N40" s="360">
        <v>2</v>
      </c>
      <c r="O40" s="359">
        <f t="shared" si="9"/>
        <v>0.3</v>
      </c>
      <c r="P40" s="370">
        <f t="shared" si="10"/>
        <v>3.5999999999999999E-3</v>
      </c>
      <c r="Q40" s="371">
        <f>'VAN d''exploitation '!W826</f>
        <v>244578.61719026105</v>
      </c>
      <c r="R40" s="372">
        <f>'Scénario 1'!$C$27</f>
        <v>-90276.297039525976</v>
      </c>
      <c r="S40" s="372">
        <f t="shared" si="11"/>
        <v>154302.32015073509</v>
      </c>
      <c r="T40" s="372">
        <f t="shared" si="12"/>
        <v>555.48835254264634</v>
      </c>
      <c r="U40" s="373">
        <f t="shared" si="13"/>
        <v>0.14915513262975177</v>
      </c>
      <c r="V40" s="374">
        <f t="shared" si="14"/>
        <v>5.3695847746710636E-4</v>
      </c>
      <c r="W40" s="375">
        <f>1+(S40/-'Scénario 1'!$S$23)</f>
        <v>2.4335035316865028</v>
      </c>
      <c r="X40" s="376">
        <f t="shared" si="15"/>
        <v>8.7606127140714106E-3</v>
      </c>
      <c r="Y40" s="393">
        <f t="shared" si="0"/>
        <v>14094.462350638885</v>
      </c>
      <c r="Z40" s="962">
        <f t="shared" si="16"/>
        <v>276.01700174335826</v>
      </c>
      <c r="AA40" s="963"/>
      <c r="AB40" s="327"/>
      <c r="AC40" s="327"/>
      <c r="AD40" s="341" t="s">
        <v>454</v>
      </c>
      <c r="AE40" s="348" t="s">
        <v>453</v>
      </c>
      <c r="AF40" s="342"/>
      <c r="AG40" s="343">
        <f>'Chances de réussites'!Q19</f>
        <v>0.46</v>
      </c>
      <c r="AH40" s="344">
        <f>'Scénario 3'!C25</f>
        <v>-22633.414932534735</v>
      </c>
      <c r="AI40" s="345">
        <f>AG40*AH40</f>
        <v>-10411.370868965978</v>
      </c>
      <c r="AL40" s="328">
        <v>34</v>
      </c>
      <c r="AM40" s="395">
        <f>'Scénario 1'!C$25</f>
        <v>-4652.3076923076924</v>
      </c>
      <c r="AN40" s="395">
        <f>'Scénario 1'!D$25</f>
        <v>-16728.024760770848</v>
      </c>
      <c r="AO40" s="395">
        <f>'Scénario 1'!E$25</f>
        <v>-37460.238859854901</v>
      </c>
      <c r="AP40" s="395">
        <f>'Scénario 1'!F$25</f>
        <v>-29226.507530881718</v>
      </c>
      <c r="AQ40" s="395">
        <f>'Scénario 1'!G$25+'VAN d''exploitation '!K826</f>
        <v>-29184.568669885841</v>
      </c>
      <c r="AR40" s="395">
        <f>'Scénario 1'!H$25+'VAN d''exploitation '!L826</f>
        <v>38593.157295480465</v>
      </c>
      <c r="AS40" s="395">
        <f>'Scénario 1'!I$25+'VAN d''exploitation '!M826</f>
        <v>35447.54922754319</v>
      </c>
      <c r="AT40" s="395">
        <f>'Scénario 1'!J$25+'VAN d''exploitation '!N826</f>
        <v>31777.695196711255</v>
      </c>
      <c r="AU40" s="395">
        <f>'Scénario 1'!K$25+'VAN d''exploitation '!O826</f>
        <v>27271.727746273147</v>
      </c>
      <c r="AV40" s="395">
        <f>'Scénario 1'!L$25+'VAN d''exploitation '!P826</f>
        <v>24038.647246239183</v>
      </c>
      <c r="AW40" s="395">
        <f>'Scénario 1'!M$25+'VAN d''exploitation '!Q826</f>
        <v>22153.471701301049</v>
      </c>
      <c r="AX40" s="395">
        <f>'Scénario 1'!N$25+'VAN d''exploitation '!R826</f>
        <v>20416.07399488382</v>
      </c>
      <c r="AY40" s="395">
        <f>'Scénario 1'!O$25+'VAN d''exploitation '!S826</f>
        <v>18814.875433253968</v>
      </c>
      <c r="AZ40" s="395">
        <f>'Scénario 1'!P$25+'VAN d''exploitation '!T826</f>
        <v>17339.204049530847</v>
      </c>
      <c r="BA40" s="395">
        <f>'Scénario 1'!Q$25+'VAN d''exploitation '!U826</f>
        <v>15979.223640945173</v>
      </c>
      <c r="BB40" s="395">
        <f>'Scénario 1'!R$25+'VAN d''exploitation '!V826</f>
        <v>19722.34213227397</v>
      </c>
      <c r="BC40" s="396">
        <f t="shared" si="17"/>
        <v>3.5999999999999999E-3</v>
      </c>
      <c r="BD40" s="397">
        <f t="shared" si="18"/>
        <v>154302.32015073506</v>
      </c>
      <c r="BE40" s="398">
        <f t="shared" si="19"/>
        <v>154302.32015073509</v>
      </c>
      <c r="BF40" s="399">
        <f t="shared" si="20"/>
        <v>0</v>
      </c>
    </row>
    <row r="41" spans="1:58" s="324" customFormat="1" ht="30.75" customHeight="1">
      <c r="A41" s="368">
        <v>35</v>
      </c>
      <c r="B41" s="369">
        <v>1113321</v>
      </c>
      <c r="C41" s="327" t="str">
        <f t="shared" si="1"/>
        <v>3321</v>
      </c>
      <c r="D41" s="327" t="str">
        <f t="shared" si="2"/>
        <v>3</v>
      </c>
      <c r="E41" s="360">
        <v>3</v>
      </c>
      <c r="F41" s="359">
        <f t="shared" si="3"/>
        <v>0.1</v>
      </c>
      <c r="G41" s="327">
        <f t="shared" si="4"/>
        <v>3</v>
      </c>
      <c r="H41" s="327">
        <v>3</v>
      </c>
      <c r="I41" s="359">
        <f t="shared" si="5"/>
        <v>0.3</v>
      </c>
      <c r="J41" s="327">
        <f t="shared" si="6"/>
        <v>2</v>
      </c>
      <c r="K41" s="327">
        <v>2</v>
      </c>
      <c r="L41" s="359">
        <f t="shared" si="7"/>
        <v>0.6</v>
      </c>
      <c r="M41" s="327" t="str">
        <f t="shared" si="8"/>
        <v>1</v>
      </c>
      <c r="N41" s="360">
        <v>1</v>
      </c>
      <c r="O41" s="359">
        <f t="shared" si="9"/>
        <v>0.7</v>
      </c>
      <c r="P41" s="370">
        <f t="shared" si="10"/>
        <v>1.2599999999999998E-2</v>
      </c>
      <c r="Q41" s="371">
        <f>'VAN d''exploitation '!W849</f>
        <v>125142.97453104395</v>
      </c>
      <c r="R41" s="372">
        <f>'Scénario 1'!$C$27</f>
        <v>-90276.297039525976</v>
      </c>
      <c r="S41" s="372">
        <f t="shared" si="11"/>
        <v>34866.67749151797</v>
      </c>
      <c r="T41" s="372">
        <f t="shared" si="12"/>
        <v>439.32013639312635</v>
      </c>
      <c r="U41" s="373">
        <f t="shared" si="13"/>
        <v>4.3214160381997546E-2</v>
      </c>
      <c r="V41" s="374">
        <f t="shared" si="14"/>
        <v>5.4449842081316906E-4</v>
      </c>
      <c r="W41" s="375">
        <f>1+(S41/-'Scénario 1'!$S$23)</f>
        <v>1.3239193375280376</v>
      </c>
      <c r="X41" s="376">
        <f t="shared" si="15"/>
        <v>1.6681383652853272E-2</v>
      </c>
      <c r="Y41" s="393">
        <f t="shared" si="0"/>
        <v>185742079.95820332</v>
      </c>
      <c r="Z41" s="962">
        <f t="shared" si="16"/>
        <v>391.71199762221795</v>
      </c>
      <c r="AA41" s="963"/>
      <c r="AB41" s="327"/>
      <c r="AC41" s="327"/>
      <c r="AD41" s="327"/>
      <c r="AE41" s="327"/>
      <c r="AF41" s="327"/>
      <c r="AG41" s="327"/>
      <c r="AH41" s="349"/>
      <c r="AI41" s="350">
        <f>SUM(AI38:AI40)</f>
        <v>43812.215330776555</v>
      </c>
      <c r="AL41" s="328">
        <v>35</v>
      </c>
      <c r="AM41" s="395">
        <f>'Scénario 1'!C$25</f>
        <v>-4652.3076923076924</v>
      </c>
      <c r="AN41" s="395">
        <f>'Scénario 1'!D$25</f>
        <v>-16728.024760770848</v>
      </c>
      <c r="AO41" s="395">
        <f>'Scénario 1'!E$25</f>
        <v>-37460.238859854901</v>
      </c>
      <c r="AP41" s="395">
        <f>'Scénario 1'!F$25</f>
        <v>-29226.507530881718</v>
      </c>
      <c r="AQ41" s="395">
        <f>'Scénario 1'!G$25+'VAN d''exploitation '!K849</f>
        <v>-23090.578614539387</v>
      </c>
      <c r="AR41" s="395">
        <f>'Scénario 1'!H$25+'VAN d''exploitation '!L849</f>
        <v>21515.963885372796</v>
      </c>
      <c r="AS41" s="395">
        <f>'Scénario 1'!I$25+'VAN d''exploitation '!M849</f>
        <v>19872.180292223595</v>
      </c>
      <c r="AT41" s="395">
        <f>'Scénario 1'!J$25+'VAN d''exploitation '!N849</f>
        <v>17574.97415645716</v>
      </c>
      <c r="AU41" s="395">
        <f>'Scénario 1'!K$25+'VAN d''exploitation '!O849</f>
        <v>14323.40840414203</v>
      </c>
      <c r="AV41" s="395">
        <f>'Scénario 1'!L$25+'VAN d''exploitation '!P849</f>
        <v>12236.500395576335</v>
      </c>
      <c r="AW41" s="395">
        <f>'Scénario 1'!M$25+'VAN d''exploitation '!Q849</f>
        <v>11398.447316856462</v>
      </c>
      <c r="AX41" s="395">
        <f>'Scénario 1'!N$25+'VAN d''exploitation '!R849</f>
        <v>10617.532801691461</v>
      </c>
      <c r="AY41" s="395">
        <f>'Scénario 1'!O$25+'VAN d''exploitation '!S849</f>
        <v>9889.8841537372482</v>
      </c>
      <c r="AZ41" s="395">
        <f>'Scénario 1'!P$25+'VAN d''exploitation '!T849</f>
        <v>9211.8890945170187</v>
      </c>
      <c r="BA41" s="395">
        <f>'Scénario 1'!Q$25+'VAN d''exploitation '!U849</f>
        <v>8580.1784377165168</v>
      </c>
      <c r="BB41" s="395">
        <f>'Scénario 1'!R$25+'VAN d''exploitation '!V849</f>
        <v>10803.376011581917</v>
      </c>
      <c r="BC41" s="396">
        <f t="shared" si="17"/>
        <v>1.2599999999999998E-2</v>
      </c>
      <c r="BD41" s="397">
        <f t="shared" si="18"/>
        <v>34866.677491517992</v>
      </c>
      <c r="BE41" s="398">
        <f t="shared" si="19"/>
        <v>34866.67749151797</v>
      </c>
      <c r="BF41" s="399">
        <f t="shared" si="20"/>
        <v>0</v>
      </c>
    </row>
    <row r="42" spans="1:58" s="324" customFormat="1" ht="30.75" customHeight="1">
      <c r="A42" s="377">
        <v>36</v>
      </c>
      <c r="B42" s="378">
        <v>1113322</v>
      </c>
      <c r="C42" s="327" t="str">
        <f t="shared" si="1"/>
        <v>3322</v>
      </c>
      <c r="D42" s="327" t="str">
        <f t="shared" si="2"/>
        <v>3</v>
      </c>
      <c r="E42" s="360">
        <v>3</v>
      </c>
      <c r="F42" s="359">
        <f t="shared" si="3"/>
        <v>0.1</v>
      </c>
      <c r="G42" s="327">
        <f t="shared" si="4"/>
        <v>3</v>
      </c>
      <c r="H42" s="327">
        <v>3</v>
      </c>
      <c r="I42" s="359">
        <f t="shared" si="5"/>
        <v>0.3</v>
      </c>
      <c r="J42" s="327">
        <f t="shared" si="6"/>
        <v>2</v>
      </c>
      <c r="K42" s="327">
        <v>2</v>
      </c>
      <c r="L42" s="359">
        <f t="shared" si="7"/>
        <v>0.6</v>
      </c>
      <c r="M42" s="327" t="str">
        <f t="shared" si="8"/>
        <v>2</v>
      </c>
      <c r="N42" s="360">
        <v>2</v>
      </c>
      <c r="O42" s="359">
        <f t="shared" si="9"/>
        <v>0.3</v>
      </c>
      <c r="P42" s="379">
        <f t="shared" si="10"/>
        <v>5.3999999999999994E-3</v>
      </c>
      <c r="Q42" s="380">
        <f>'VAN d''exploitation '!W875</f>
        <v>118462.7650098322</v>
      </c>
      <c r="R42" s="381">
        <f>'Scénario 1'!$C$27</f>
        <v>-90276.297039525976</v>
      </c>
      <c r="S42" s="381">
        <f t="shared" si="11"/>
        <v>28186.467970306228</v>
      </c>
      <c r="T42" s="381">
        <f t="shared" si="12"/>
        <v>152.20692703965361</v>
      </c>
      <c r="U42" s="382">
        <f t="shared" si="13"/>
        <v>3.6129292705952665E-2</v>
      </c>
      <c r="V42" s="383">
        <f t="shared" si="14"/>
        <v>1.9509818061214438E-4</v>
      </c>
      <c r="W42" s="384">
        <f>1+(S42/-'Scénario 1'!$S$23)</f>
        <v>1.2618586767958586</v>
      </c>
      <c r="X42" s="385">
        <f t="shared" si="15"/>
        <v>6.8140368546976355E-3</v>
      </c>
      <c r="Y42" s="381">
        <f t="shared" si="0"/>
        <v>88604313.422578499</v>
      </c>
      <c r="Z42" s="977">
        <f t="shared" si="16"/>
        <v>392.75011487204546</v>
      </c>
      <c r="AA42" s="978"/>
      <c r="AB42" s="327"/>
      <c r="AC42" s="327"/>
      <c r="AD42" s="327"/>
      <c r="AE42" s="327"/>
      <c r="AF42" s="327"/>
      <c r="AG42" s="327"/>
      <c r="AH42" s="327"/>
      <c r="AI42" s="327"/>
      <c r="AL42" s="328">
        <v>36</v>
      </c>
      <c r="AM42" s="395">
        <f>'Scénario 1'!C$25</f>
        <v>-4652.3076923076924</v>
      </c>
      <c r="AN42" s="395">
        <f>'Scénario 1'!D$25</f>
        <v>-16728.024760770848</v>
      </c>
      <c r="AO42" s="395">
        <f>'Scénario 1'!E$25</f>
        <v>-37460.238859854901</v>
      </c>
      <c r="AP42" s="395">
        <f>'Scénario 1'!F$25</f>
        <v>-29226.507530881718</v>
      </c>
      <c r="AQ42" s="395">
        <f>'Scénario 1'!G$25+'VAN d''exploitation '!K875</f>
        <v>-23029.638713985922</v>
      </c>
      <c r="AR42" s="395">
        <f>'Scénario 1'!H$25+'VAN d''exploitation '!L875</f>
        <v>21402.458744902986</v>
      </c>
      <c r="AS42" s="395">
        <f>'Scénario 1'!I$25+'VAN d''exploitation '!M875</f>
        <v>19609.762899839414</v>
      </c>
      <c r="AT42" s="395">
        <f>'Scénario 1'!J$25+'VAN d''exploitation '!N875</f>
        <v>17186.346565705531</v>
      </c>
      <c r="AU42" s="395">
        <f>'Scénario 1'!K$25+'VAN d''exploitation '!O875</f>
        <v>13828.721857304276</v>
      </c>
      <c r="AV42" s="395">
        <f>'Scénario 1'!L$25+'VAN d''exploitation '!P875</f>
        <v>11653.609241812046</v>
      </c>
      <c r="AW42" s="395">
        <f>'Scénario 1'!M$25+'VAN d''exploitation '!Q875</f>
        <v>10743.139247532401</v>
      </c>
      <c r="AX42" s="395">
        <f>'Scénario 1'!N$25+'VAN d''exploitation '!R875</f>
        <v>9903.73752413691</v>
      </c>
      <c r="AY42" s="395">
        <f>'Scénario 1'!O$25+'VAN d''exploitation '!S875</f>
        <v>9129.8624398160446</v>
      </c>
      <c r="AZ42" s="395">
        <f>'Scénario 1'!P$25+'VAN d''exploitation '!T875</f>
        <v>8416.4039713483453</v>
      </c>
      <c r="BA42" s="395">
        <f>'Scénario 1'!Q$25+'VAN d''exploitation '!U875</f>
        <v>7758.6501332836251</v>
      </c>
      <c r="BB42" s="395">
        <f>'Scénario 1'!R$25+'VAN d''exploitation '!V875</f>
        <v>9650.4929024257381</v>
      </c>
      <c r="BC42" s="396">
        <f t="shared" si="17"/>
        <v>5.3999999999999994E-3</v>
      </c>
      <c r="BD42" s="397">
        <f t="shared" si="18"/>
        <v>28186.467970306228</v>
      </c>
      <c r="BE42" s="398">
        <f t="shared" si="19"/>
        <v>28186.467970306228</v>
      </c>
      <c r="BF42" s="399">
        <f t="shared" si="20"/>
        <v>0</v>
      </c>
    </row>
    <row r="43" spans="1:58" ht="30.75" customHeight="1" outlineLevel="1">
      <c r="A43" s="356"/>
      <c r="B43" s="327"/>
      <c r="C43" s="356"/>
      <c r="D43" s="327"/>
      <c r="E43" s="327"/>
      <c r="F43" s="327"/>
      <c r="G43" s="356"/>
      <c r="H43" s="356"/>
      <c r="I43" s="356"/>
      <c r="J43" s="327"/>
      <c r="K43" s="327"/>
      <c r="L43" s="327"/>
      <c r="M43" s="356"/>
      <c r="N43" s="356"/>
      <c r="O43" s="356"/>
      <c r="P43" s="356"/>
      <c r="Q43" s="327"/>
      <c r="R43" s="356"/>
      <c r="S43" s="356"/>
      <c r="T43" s="386"/>
      <c r="U43" s="356"/>
      <c r="V43" s="356"/>
      <c r="W43" s="356"/>
      <c r="X43" s="356"/>
      <c r="Y43" s="372">
        <f t="shared" si="0"/>
        <v>0</v>
      </c>
      <c r="Z43" s="356"/>
      <c r="AA43" s="356"/>
      <c r="AB43" s="356"/>
      <c r="AC43" s="356"/>
      <c r="AD43" s="326"/>
      <c r="AE43" s="326"/>
      <c r="AF43" s="326"/>
      <c r="AG43" s="326"/>
      <c r="AH43" s="326"/>
      <c r="AJ43" s="974" t="s">
        <v>464</v>
      </c>
      <c r="AK43" s="974"/>
      <c r="AL43" s="974"/>
      <c r="AM43" s="328">
        <f t="shared" ref="AM43:BA43" si="21">SUMPRODUCT(AM7:AM42,$BC$7:$BC$42)</f>
        <v>-4652.3076923076933</v>
      </c>
      <c r="AN43" s="328">
        <f t="shared" si="21"/>
        <v>-16728.024760770844</v>
      </c>
      <c r="AO43" s="328">
        <f t="shared" si="21"/>
        <v>-37460.238859854908</v>
      </c>
      <c r="AP43" s="328">
        <f t="shared" si="21"/>
        <v>-29226.507530881718</v>
      </c>
      <c r="AQ43" s="328">
        <f t="shared" si="21"/>
        <v>-30236.711860751613</v>
      </c>
      <c r="AR43" s="328">
        <f t="shared" si="21"/>
        <v>38201.970833631749</v>
      </c>
      <c r="AS43" s="328">
        <f t="shared" si="21"/>
        <v>34598.768681321424</v>
      </c>
      <c r="AT43" s="328">
        <f t="shared" si="21"/>
        <v>31838.33125617712</v>
      </c>
      <c r="AU43" s="328">
        <f t="shared" si="21"/>
        <v>26945.679310754949</v>
      </c>
      <c r="AV43" s="328">
        <f t="shared" si="21"/>
        <v>24430.960190125406</v>
      </c>
      <c r="AW43" s="328">
        <f t="shared" si="21"/>
        <v>22217.319270508207</v>
      </c>
      <c r="AX43" s="328">
        <f t="shared" si="21"/>
        <v>21044.870543259844</v>
      </c>
      <c r="AY43" s="328">
        <f t="shared" si="21"/>
        <v>19163.25210224168</v>
      </c>
      <c r="AZ43" s="328">
        <f t="shared" si="21"/>
        <v>18129.592631490726</v>
      </c>
      <c r="BA43" s="328">
        <f t="shared" si="21"/>
        <v>16529.056147444069</v>
      </c>
      <c r="BB43" s="328">
        <f>SUMPRODUCT(BB7:BB42,$BC$7:$BC$42)</f>
        <v>21484.978236183892</v>
      </c>
      <c r="BC43" s="396">
        <f>SUM(BC7:BC42)</f>
        <v>0.99999999999999989</v>
      </c>
      <c r="BD43" s="395"/>
      <c r="BE43" s="356"/>
      <c r="BF43" s="356"/>
    </row>
    <row r="44" spans="1:58" ht="30.75" customHeight="1" outlineLevel="1">
      <c r="A44" s="356"/>
      <c r="B44" s="327"/>
      <c r="C44" s="356"/>
      <c r="D44" s="327"/>
      <c r="E44" s="327"/>
      <c r="F44" s="327"/>
      <c r="G44" s="356"/>
      <c r="H44" s="356"/>
      <c r="I44" s="356"/>
      <c r="J44" s="327"/>
      <c r="K44" s="327"/>
      <c r="L44" s="327"/>
      <c r="M44" s="356"/>
      <c r="N44" s="356"/>
      <c r="O44" s="356"/>
      <c r="P44" s="387">
        <f>SUM(P7:P42)</f>
        <v>0.99999999999999989</v>
      </c>
      <c r="Q44" s="388">
        <f>SUM(Q7:Q42)</f>
        <v>10957949.476192219</v>
      </c>
      <c r="R44" s="356"/>
      <c r="S44" s="356"/>
      <c r="T44" s="386">
        <f>SUM(T7:T42)</f>
        <v>156280.98849857235</v>
      </c>
      <c r="U44" s="389"/>
      <c r="V44" s="390">
        <f>SUM(V7:V42)</f>
        <v>0.13574309995927125</v>
      </c>
      <c r="W44" s="390"/>
      <c r="X44" s="391">
        <f>SUM(X7:X42)</f>
        <v>2.4518858091654816</v>
      </c>
      <c r="Y44" s="381">
        <f t="shared" si="0"/>
        <v>24423747366.0909</v>
      </c>
      <c r="Z44" s="975">
        <f>AVERAGE(Z7:AA42)</f>
        <v>433.99857036635257</v>
      </c>
      <c r="AA44" s="976"/>
      <c r="AB44" s="356" t="s">
        <v>455</v>
      </c>
      <c r="AC44" s="356"/>
      <c r="AE44" s="324"/>
      <c r="AF44" s="324"/>
      <c r="AL44" s="10"/>
      <c r="AM44" s="328"/>
      <c r="AN44" s="328"/>
      <c r="AO44" s="328"/>
      <c r="AP44" s="328"/>
      <c r="AQ44" s="328"/>
      <c r="AR44" s="328"/>
      <c r="AS44" s="328"/>
      <c r="AT44" s="328"/>
      <c r="AU44" s="328"/>
      <c r="AV44" s="328"/>
      <c r="AW44" s="328"/>
      <c r="AX44" s="328"/>
      <c r="AY44" s="328"/>
      <c r="AZ44" s="328"/>
      <c r="BA44" s="328"/>
      <c r="BB44" s="328"/>
      <c r="BC44" s="328"/>
      <c r="BD44" s="328"/>
      <c r="BE44" s="356"/>
      <c r="BF44" s="356"/>
    </row>
    <row r="45" spans="1:58" ht="30.75" customHeight="1" outlineLevel="1">
      <c r="A45" s="356"/>
      <c r="B45" s="327"/>
      <c r="C45" s="356"/>
      <c r="D45" s="327"/>
      <c r="E45" s="327"/>
      <c r="F45" s="327"/>
      <c r="G45" s="356"/>
      <c r="H45" s="356"/>
      <c r="I45" s="356"/>
      <c r="J45" s="327"/>
      <c r="K45" s="327"/>
      <c r="L45" s="327"/>
      <c r="M45" s="356"/>
      <c r="N45" s="356"/>
      <c r="O45" s="356"/>
      <c r="P45" s="356"/>
      <c r="Q45" s="388"/>
      <c r="R45" s="356"/>
      <c r="S45" s="356"/>
      <c r="T45" s="356"/>
      <c r="U45" s="356"/>
      <c r="V45" s="356"/>
      <c r="W45" s="356"/>
      <c r="X45" s="356"/>
      <c r="Y45" s="356"/>
      <c r="Z45" s="976">
        <f>MIN(Z7:AA42)</f>
        <v>192.89044612785449</v>
      </c>
      <c r="AA45" s="976"/>
      <c r="AB45" s="356" t="s">
        <v>456</v>
      </c>
      <c r="AC45" s="356"/>
      <c r="AE45" s="324"/>
      <c r="AF45" s="324"/>
    </row>
    <row r="46" spans="1:58" ht="30.75" customHeight="1" outlineLevel="1">
      <c r="A46" s="356"/>
      <c r="B46" s="356"/>
      <c r="C46" s="356"/>
      <c r="D46" s="327"/>
      <c r="E46" s="327"/>
      <c r="F46" s="327"/>
      <c r="G46" s="356"/>
      <c r="H46" s="356"/>
      <c r="I46" s="356"/>
      <c r="J46" s="327"/>
      <c r="K46" s="327"/>
      <c r="L46" s="327"/>
      <c r="M46" s="356"/>
      <c r="N46" s="356"/>
      <c r="O46" s="356"/>
      <c r="P46" s="356"/>
      <c r="Q46" s="388"/>
      <c r="R46" s="356"/>
      <c r="S46" s="356"/>
      <c r="T46" s="356"/>
      <c r="U46" s="356"/>
      <c r="V46" s="356"/>
      <c r="W46" s="356"/>
      <c r="X46" s="356"/>
      <c r="Y46" s="356"/>
      <c r="Z46" s="976">
        <f>MAX(Z7:AA42)</f>
        <v>5477.2372541756686</v>
      </c>
      <c r="AA46" s="976"/>
      <c r="AB46" s="356" t="s">
        <v>457</v>
      </c>
      <c r="AC46" s="356"/>
    </row>
    <row r="47" spans="1:58" ht="21" outlineLevel="1">
      <c r="A47" s="356"/>
      <c r="B47" s="356"/>
      <c r="C47" s="356"/>
      <c r="D47" s="327"/>
      <c r="E47" s="327"/>
      <c r="F47" s="327"/>
      <c r="G47" s="356"/>
      <c r="H47" s="356"/>
      <c r="I47" s="356"/>
      <c r="J47" s="327"/>
      <c r="K47" s="327"/>
      <c r="L47" s="327"/>
      <c r="M47" s="356"/>
      <c r="N47" s="356"/>
      <c r="O47" s="356"/>
      <c r="P47" s="356"/>
      <c r="Q47" s="327"/>
      <c r="R47" s="356"/>
      <c r="S47" s="356"/>
      <c r="T47" s="356"/>
      <c r="U47" s="356"/>
      <c r="V47" s="356"/>
      <c r="W47" s="356"/>
      <c r="X47" s="356"/>
      <c r="Y47" s="356"/>
      <c r="Z47" s="356"/>
      <c r="AA47" s="356"/>
      <c r="AB47" s="356"/>
      <c r="AC47" s="356"/>
    </row>
    <row r="48" spans="1:58" ht="21">
      <c r="A48" s="356"/>
      <c r="B48" s="356"/>
      <c r="C48" s="356"/>
      <c r="D48" s="327"/>
      <c r="E48" s="327"/>
      <c r="F48" s="327"/>
      <c r="G48" s="356"/>
      <c r="H48" s="356"/>
      <c r="I48" s="356"/>
      <c r="J48" s="327"/>
      <c r="K48" s="327"/>
      <c r="L48" s="327"/>
      <c r="M48" s="356"/>
      <c r="N48" s="356"/>
      <c r="O48" s="356"/>
      <c r="P48" s="356"/>
      <c r="Q48" s="327"/>
      <c r="R48" s="356"/>
      <c r="S48" s="356"/>
      <c r="T48" s="356"/>
      <c r="U48" s="356"/>
      <c r="V48" s="356"/>
      <c r="W48" s="356"/>
      <c r="X48" s="356"/>
      <c r="Y48" s="356"/>
      <c r="Z48" s="356"/>
      <c r="AA48" s="356"/>
      <c r="AB48" s="356"/>
      <c r="AC48" s="356"/>
    </row>
    <row r="49" spans="2:2">
      <c r="B49"/>
    </row>
    <row r="50" spans="2:2">
      <c r="B50"/>
    </row>
    <row r="51" spans="2:2">
      <c r="B51"/>
    </row>
    <row r="52" spans="2:2">
      <c r="B52"/>
    </row>
    <row r="53" spans="2:2">
      <c r="B53"/>
    </row>
    <row r="54" spans="2:2">
      <c r="B54"/>
    </row>
    <row r="55" spans="2:2">
      <c r="B55"/>
    </row>
    <row r="56" spans="2:2">
      <c r="B56"/>
    </row>
    <row r="57" spans="2:2">
      <c r="B57"/>
    </row>
    <row r="58" spans="2:2">
      <c r="B58"/>
    </row>
    <row r="59" spans="2:2">
      <c r="B59"/>
    </row>
    <row r="60" spans="2:2">
      <c r="B60"/>
    </row>
    <row r="61" spans="2:2">
      <c r="B61"/>
    </row>
    <row r="62" spans="2:2">
      <c r="B62"/>
    </row>
    <row r="63" spans="2:2">
      <c r="B63"/>
    </row>
    <row r="64" spans="2:2">
      <c r="B64"/>
    </row>
    <row r="65" spans="2:2">
      <c r="B65"/>
    </row>
    <row r="66" spans="2:2">
      <c r="B66"/>
    </row>
    <row r="67" spans="2:2">
      <c r="B67"/>
    </row>
    <row r="68" spans="2:2">
      <c r="B68"/>
    </row>
    <row r="69" spans="2:2">
      <c r="B69"/>
    </row>
    <row r="70" spans="2:2">
      <c r="B70"/>
    </row>
    <row r="71" spans="2:2">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sheetData>
  <mergeCells count="55">
    <mergeCell ref="AJ43:AL43"/>
    <mergeCell ref="Z44:AA44"/>
    <mergeCell ref="Z45:AA45"/>
    <mergeCell ref="Z46:AA46"/>
    <mergeCell ref="Z37:AA37"/>
    <mergeCell ref="Z38:AA38"/>
    <mergeCell ref="Z39:AA39"/>
    <mergeCell ref="Z40:AA40"/>
    <mergeCell ref="Z41:AA41"/>
    <mergeCell ref="Z42:AA42"/>
    <mergeCell ref="Z36:AA36"/>
    <mergeCell ref="Z25:AA25"/>
    <mergeCell ref="Z26:AA26"/>
    <mergeCell ref="Z27:AA27"/>
    <mergeCell ref="Z28:AA28"/>
    <mergeCell ref="Z29:AA29"/>
    <mergeCell ref="Z30:AA30"/>
    <mergeCell ref="Z31:AA31"/>
    <mergeCell ref="Z32:AA32"/>
    <mergeCell ref="Z33:AA33"/>
    <mergeCell ref="Z34:AA34"/>
    <mergeCell ref="Z35:AA35"/>
    <mergeCell ref="Z24:AA24"/>
    <mergeCell ref="Z16:AA16"/>
    <mergeCell ref="AD16:AD18"/>
    <mergeCell ref="AE16:AE18"/>
    <mergeCell ref="Z17:AA17"/>
    <mergeCell ref="Z18:AA18"/>
    <mergeCell ref="Z19:AA19"/>
    <mergeCell ref="Z20:AA20"/>
    <mergeCell ref="Z21:AA21"/>
    <mergeCell ref="Z22:AA22"/>
    <mergeCell ref="AE22:AF23"/>
    <mergeCell ref="Z23:AA23"/>
    <mergeCell ref="Z15:AA15"/>
    <mergeCell ref="Z7:AA7"/>
    <mergeCell ref="Z8:AA8"/>
    <mergeCell ref="AD8:AD9"/>
    <mergeCell ref="AE8:AE9"/>
    <mergeCell ref="Z9:AA9"/>
    <mergeCell ref="Z10:AA10"/>
    <mergeCell ref="AD10:AD11"/>
    <mergeCell ref="AE10:AE11"/>
    <mergeCell ref="Z11:AA11"/>
    <mergeCell ref="Z12:AA12"/>
    <mergeCell ref="AD12:AD14"/>
    <mergeCell ref="AE12:AE14"/>
    <mergeCell ref="Z13:AA13"/>
    <mergeCell ref="Z14:AA14"/>
    <mergeCell ref="A1:AI1"/>
    <mergeCell ref="AL1:BD1"/>
    <mergeCell ref="AQ3:BB3"/>
    <mergeCell ref="AM5:AU5"/>
    <mergeCell ref="Z6:AA6"/>
    <mergeCell ref="BD6:BF6"/>
  </mergeCells>
  <pageMargins left="0.7" right="0.7" top="0.75" bottom="0.75" header="0.3" footer="0.3"/>
  <pageSetup paperSize="9" orientation="portrait"/>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F86"/>
  <sheetViews>
    <sheetView showGridLines="0" zoomScale="25" zoomScaleNormal="25" zoomScalePageLayoutView="70" workbookViewId="0">
      <pane ySplit="1" topLeftCell="A2" activePane="bottomLeft" state="frozen"/>
      <selection activeCell="P1" sqref="P1"/>
      <selection pane="bottomLeft" activeCell="AQ3" sqref="AQ3:BB3"/>
    </sheetView>
  </sheetViews>
  <sheetFormatPr baseColWidth="10" defaultColWidth="11.453125" defaultRowHeight="14.5" outlineLevelRow="1" outlineLevelCol="1"/>
  <cols>
    <col min="1" max="1" width="19.1796875" bestFit="1" customWidth="1"/>
    <col min="2" max="2" width="21.453125" style="13" bestFit="1" customWidth="1"/>
    <col min="3" max="3" width="11.453125" hidden="1" customWidth="1" outlineLevel="1"/>
    <col min="4" max="6" width="11.453125" style="13" hidden="1" customWidth="1" outlineLevel="1"/>
    <col min="7" max="9" width="11.453125" hidden="1" customWidth="1" outlineLevel="1"/>
    <col min="10" max="12" width="11.453125" style="13" hidden="1" customWidth="1" outlineLevel="1"/>
    <col min="13" max="15" width="11.453125" hidden="1" customWidth="1" outlineLevel="1"/>
    <col min="16" max="16" width="33.7265625" bestFit="1" customWidth="1" collapsed="1"/>
    <col min="17" max="17" width="35.1796875" style="13" bestFit="1" customWidth="1"/>
    <col min="18" max="18" width="30.1796875" customWidth="1"/>
    <col min="19" max="19" width="27" customWidth="1"/>
    <col min="20" max="20" width="16.453125" bestFit="1" customWidth="1"/>
    <col min="22" max="22" width="14.81640625" bestFit="1" customWidth="1"/>
    <col min="24" max="24" width="12.26953125" bestFit="1" customWidth="1"/>
    <col min="25" max="25" width="26.26953125" bestFit="1" customWidth="1"/>
    <col min="26" max="27" width="14" customWidth="1"/>
    <col min="31" max="31" width="63.7265625" bestFit="1" customWidth="1"/>
    <col min="32" max="32" width="29.1796875" customWidth="1"/>
    <col min="33" max="33" width="24.1796875" bestFit="1" customWidth="1"/>
    <col min="34" max="34" width="14.26953125" customWidth="1"/>
    <col min="35" max="35" width="19.1796875" bestFit="1" customWidth="1"/>
    <col min="36" max="36" width="5.7265625" customWidth="1"/>
    <col min="37" max="37" width="7" customWidth="1"/>
    <col min="38" max="38" width="12" customWidth="1"/>
    <col min="39" max="39" width="13.81640625" bestFit="1" customWidth="1"/>
    <col min="40" max="40" width="15.453125" bestFit="1" customWidth="1"/>
    <col min="41" max="42" width="15.7265625" bestFit="1" customWidth="1"/>
    <col min="43" max="43" width="23.453125" bestFit="1" customWidth="1"/>
    <col min="44" max="53" width="16.453125" bestFit="1" customWidth="1"/>
    <col min="54" max="54" width="17.1796875" bestFit="1" customWidth="1"/>
    <col min="55" max="55" width="13.81640625" bestFit="1" customWidth="1"/>
    <col min="56" max="56" width="17.26953125" customWidth="1" outlineLevel="1"/>
    <col min="57" max="57" width="15.1796875" customWidth="1" outlineLevel="1"/>
    <col min="58" max="58" width="12.453125" customWidth="1" outlineLevel="1"/>
  </cols>
  <sheetData>
    <row r="1" spans="1:58" ht="69.75" customHeight="1">
      <c r="A1" s="947" t="s">
        <v>435</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9"/>
      <c r="AK1" s="325"/>
      <c r="AL1" s="950" t="s">
        <v>471</v>
      </c>
      <c r="AM1" s="951"/>
      <c r="AN1" s="951"/>
      <c r="AO1" s="951"/>
      <c r="AP1" s="951"/>
      <c r="AQ1" s="951"/>
      <c r="AR1" s="951"/>
      <c r="AS1" s="951"/>
      <c r="AT1" s="951"/>
      <c r="AU1" s="951"/>
      <c r="AV1" s="951"/>
      <c r="AW1" s="951"/>
      <c r="AX1" s="951"/>
      <c r="AY1" s="951"/>
      <c r="AZ1" s="951"/>
      <c r="BA1" s="951"/>
      <c r="BB1" s="951"/>
      <c r="BC1" s="951"/>
      <c r="BD1" s="952"/>
      <c r="BE1" s="325"/>
    </row>
    <row r="2" spans="1:58" ht="15.75" customHeight="1"/>
    <row r="3" spans="1:58" ht="21">
      <c r="AM3" s="356"/>
      <c r="AN3" s="356"/>
      <c r="AO3" s="356"/>
      <c r="AP3" s="356"/>
      <c r="AQ3" s="953" t="s">
        <v>444</v>
      </c>
      <c r="AR3" s="954"/>
      <c r="AS3" s="954"/>
      <c r="AT3" s="954"/>
      <c r="AU3" s="954"/>
      <c r="AV3" s="954"/>
      <c r="AW3" s="954"/>
      <c r="AX3" s="954"/>
      <c r="AY3" s="954"/>
      <c r="AZ3" s="954"/>
      <c r="BA3" s="954"/>
      <c r="BB3" s="955"/>
      <c r="BC3" s="356"/>
      <c r="BD3" s="356"/>
      <c r="BE3" s="356"/>
      <c r="BF3" s="356"/>
    </row>
    <row r="4" spans="1:58" ht="21">
      <c r="S4" s="13"/>
      <c r="T4" s="13"/>
      <c r="U4" s="13"/>
      <c r="V4" s="13"/>
      <c r="W4" s="13"/>
      <c r="X4" s="13"/>
      <c r="Y4" s="13"/>
      <c r="AM4" s="356"/>
      <c r="AN4" s="356"/>
      <c r="AO4" s="356"/>
      <c r="AP4" s="356"/>
      <c r="AQ4" s="356"/>
      <c r="AR4" s="356"/>
      <c r="AS4" s="356"/>
      <c r="AT4" s="356"/>
      <c r="AU4" s="356"/>
      <c r="AV4" s="356"/>
      <c r="AW4" s="356"/>
      <c r="AX4" s="356"/>
      <c r="AY4" s="356"/>
      <c r="AZ4" s="356"/>
      <c r="BA4" s="356"/>
      <c r="BB4" s="356"/>
      <c r="BC4" s="356"/>
      <c r="BD4" s="356"/>
      <c r="BE4" s="356"/>
      <c r="BF4" s="356"/>
    </row>
    <row r="5" spans="1:58" ht="21">
      <c r="S5" s="13"/>
      <c r="T5" s="13"/>
      <c r="U5" s="13"/>
      <c r="V5" s="13"/>
      <c r="W5" s="13"/>
      <c r="X5" s="13"/>
      <c r="Y5" s="13"/>
      <c r="AM5" s="956"/>
      <c r="AN5" s="957"/>
      <c r="AO5" s="957"/>
      <c r="AP5" s="957"/>
      <c r="AQ5" s="957"/>
      <c r="AR5" s="957"/>
      <c r="AS5" s="957"/>
      <c r="AT5" s="957"/>
      <c r="AU5" s="958"/>
      <c r="AV5" s="328"/>
      <c r="AW5" s="328"/>
      <c r="AX5" s="328"/>
      <c r="AY5" s="328"/>
      <c r="AZ5" s="328"/>
      <c r="BA5" s="328"/>
      <c r="BB5" s="328"/>
      <c r="BC5" s="328"/>
      <c r="BD5" s="328"/>
      <c r="BE5" s="356"/>
      <c r="BF5" s="356"/>
    </row>
    <row r="6" spans="1:58" ht="105">
      <c r="A6" s="351" t="s">
        <v>393</v>
      </c>
      <c r="B6" s="352" t="s">
        <v>421</v>
      </c>
      <c r="C6" s="352"/>
      <c r="D6" s="352" t="s">
        <v>34</v>
      </c>
      <c r="E6" s="352" t="s">
        <v>431</v>
      </c>
      <c r="F6" s="353" t="s">
        <v>427</v>
      </c>
      <c r="G6" s="352" t="s">
        <v>409</v>
      </c>
      <c r="H6" s="352" t="s">
        <v>432</v>
      </c>
      <c r="I6" s="353" t="s">
        <v>428</v>
      </c>
      <c r="J6" s="352" t="s">
        <v>397</v>
      </c>
      <c r="K6" s="352" t="s">
        <v>433</v>
      </c>
      <c r="L6" s="354" t="s">
        <v>429</v>
      </c>
      <c r="M6" s="352" t="s">
        <v>33</v>
      </c>
      <c r="N6" s="352" t="s">
        <v>434</v>
      </c>
      <c r="O6" s="354" t="s">
        <v>430</v>
      </c>
      <c r="P6" s="352" t="s">
        <v>461</v>
      </c>
      <c r="Q6" s="352" t="s">
        <v>436</v>
      </c>
      <c r="R6" s="352" t="s">
        <v>462</v>
      </c>
      <c r="S6" s="352" t="s">
        <v>422</v>
      </c>
      <c r="T6" s="352" t="s">
        <v>386</v>
      </c>
      <c r="U6" s="352" t="s">
        <v>423</v>
      </c>
      <c r="V6" s="352" t="s">
        <v>463</v>
      </c>
      <c r="W6" s="352" t="s">
        <v>424</v>
      </c>
      <c r="X6" s="352" t="s">
        <v>425</v>
      </c>
      <c r="Y6" s="355" t="s">
        <v>426</v>
      </c>
      <c r="Z6" s="959" t="s">
        <v>465</v>
      </c>
      <c r="AA6" s="960"/>
      <c r="AB6" s="356"/>
      <c r="AC6" s="356"/>
      <c r="AL6" s="323"/>
      <c r="AM6" s="328">
        <v>2009</v>
      </c>
      <c r="AN6" s="328">
        <v>2010</v>
      </c>
      <c r="AO6" s="328">
        <v>2011</v>
      </c>
      <c r="AP6" s="328">
        <v>2012</v>
      </c>
      <c r="AQ6" s="328">
        <v>2013</v>
      </c>
      <c r="AR6" s="328">
        <v>2014</v>
      </c>
      <c r="AS6" s="328">
        <v>2015</v>
      </c>
      <c r="AT6" s="328">
        <v>2016</v>
      </c>
      <c r="AU6" s="328">
        <v>2017</v>
      </c>
      <c r="AV6" s="328">
        <v>2018</v>
      </c>
      <c r="AW6" s="328">
        <v>2019</v>
      </c>
      <c r="AX6" s="328">
        <v>2020</v>
      </c>
      <c r="AY6" s="328">
        <v>2021</v>
      </c>
      <c r="AZ6" s="328">
        <v>2022</v>
      </c>
      <c r="BA6" s="328">
        <v>2023</v>
      </c>
      <c r="BB6" s="328">
        <v>2024</v>
      </c>
      <c r="BC6" s="394" t="s">
        <v>446</v>
      </c>
      <c r="BD6" s="961" t="s">
        <v>447</v>
      </c>
      <c r="BE6" s="961"/>
      <c r="BF6" s="961"/>
    </row>
    <row r="7" spans="1:58" s="324" customFormat="1" ht="30.75" customHeight="1">
      <c r="A7" s="357">
        <v>1</v>
      </c>
      <c r="B7" s="358">
        <v>1111111</v>
      </c>
      <c r="C7" s="327" t="str">
        <f>RIGHT(B7,4)</f>
        <v>1111</v>
      </c>
      <c r="D7" s="327" t="str">
        <f>LEFT(C7,1)</f>
        <v>1</v>
      </c>
      <c r="E7" s="327">
        <v>1</v>
      </c>
      <c r="F7" s="359">
        <f>IF(E7=$AF$16,$AG$16,IF(E7=$AF$17,$AG$17,IF(E7=$AF$18,$AG$18,0)))</f>
        <v>0.6</v>
      </c>
      <c r="G7" s="327">
        <f>(RIGHT(C7,3)-RIGHT(C7,2))/100</f>
        <v>1</v>
      </c>
      <c r="H7" s="327">
        <v>1</v>
      </c>
      <c r="I7" s="359">
        <f>IF(H7=$AF$12,$AG$12,IF(H7=$AF$13,$AG$13,IF(H7=$AF$14,$AG$14,0)))</f>
        <v>0.1</v>
      </c>
      <c r="J7" s="327">
        <f>(RIGHT(C7,2)-RIGHT(C7,1))/10</f>
        <v>1</v>
      </c>
      <c r="K7" s="327">
        <v>1</v>
      </c>
      <c r="L7" s="359">
        <f>IF(K7=$AF$10,$AG$10,IF(K7=$AF$11,$AG$11,0))</f>
        <v>0.4</v>
      </c>
      <c r="M7" s="327" t="str">
        <f>RIGHT(C7,1)</f>
        <v>1</v>
      </c>
      <c r="N7" s="360">
        <v>1</v>
      </c>
      <c r="O7" s="359">
        <f>IF(N7=$AF$8,$AG$8,IF(N7=$AF$9,$AG$9,0))</f>
        <v>0.7</v>
      </c>
      <c r="P7" s="361">
        <f>F7*I7*L7*O7</f>
        <v>1.6799999999999999E-2</v>
      </c>
      <c r="Q7" s="362">
        <f>'VAN d''exploitation '!W28</f>
        <v>577165.23633793893</v>
      </c>
      <c r="R7" s="363">
        <f>'Scénario 1'!$C$27</f>
        <v>-90276.297039525976</v>
      </c>
      <c r="S7" s="363">
        <f>Q7+R7</f>
        <v>486888.93929841294</v>
      </c>
      <c r="T7" s="363">
        <f>P7*S7</f>
        <v>8179.7341802133369</v>
      </c>
      <c r="U7" s="364">
        <f>IRR(AM7:BB7)</f>
        <v>0.32375110503459026</v>
      </c>
      <c r="V7" s="365">
        <f>U7*P7</f>
        <v>5.4390185645811157E-3</v>
      </c>
      <c r="W7" s="366">
        <f>1+(S7/-'Scénario 1'!$S$23)</f>
        <v>5.5233086148124588</v>
      </c>
      <c r="X7" s="367">
        <f>W7*P7</f>
        <v>9.2791584728849297E-2</v>
      </c>
      <c r="Y7" s="392">
        <f t="shared" ref="Y7:Y44" si="0">(S7-$AF$24)^2*P7</f>
        <v>1836267167.8187733</v>
      </c>
      <c r="Z7" s="964">
        <f>(-AR7/(AS7-AR7))*365+365</f>
        <v>5630.2174496206535</v>
      </c>
      <c r="AA7" s="965"/>
      <c r="AB7" s="327"/>
      <c r="AC7" s="327"/>
      <c r="AD7" s="327"/>
      <c r="AE7" s="328"/>
      <c r="AF7" s="329" t="s">
        <v>393</v>
      </c>
      <c r="AG7" s="330" t="s">
        <v>384</v>
      </c>
      <c r="AH7" s="331" t="s">
        <v>394</v>
      </c>
      <c r="AI7" s="327"/>
      <c r="AL7" s="328">
        <v>1</v>
      </c>
      <c r="AM7" s="395">
        <f>'Scénario 1'!C$25</f>
        <v>-4652.3076923076924</v>
      </c>
      <c r="AN7" s="395">
        <f>'Scénario 1'!D$25</f>
        <v>-16728.024760770848</v>
      </c>
      <c r="AO7" s="395">
        <f>'Scénario 1'!E$25</f>
        <v>-37460.238859854901</v>
      </c>
      <c r="AP7" s="395">
        <f>'Scénario 1'!F$25</f>
        <v>-29226.507530881718</v>
      </c>
      <c r="AQ7" s="395">
        <f>'VAN d''exploitation '!K28</f>
        <v>-31079.34928226691</v>
      </c>
      <c r="AR7" s="395">
        <f>'VAN d''exploitation '!L28</f>
        <v>75407.042557835681</v>
      </c>
      <c r="AS7" s="395">
        <f>'VAN d''exploitation '!M28</f>
        <v>70179.609731563134</v>
      </c>
      <c r="AT7" s="395">
        <f>'VAN d''exploitation '!N28</f>
        <v>65314.201020990484</v>
      </c>
      <c r="AU7" s="395">
        <f>'VAN d''exploitation '!O28</f>
        <v>60785.775994824748</v>
      </c>
      <c r="AV7" s="395">
        <f>'VAN d''exploitation '!P28</f>
        <v>56571.02344169993</v>
      </c>
      <c r="AW7" s="395">
        <f>'VAN d''exploitation '!Q28</f>
        <v>52648.242200213164</v>
      </c>
      <c r="AX7" s="395">
        <f>'VAN d''exploitation '!R28</f>
        <v>48997.230179935272</v>
      </c>
      <c r="AY7" s="395">
        <f>'VAN d''exploitation '!S28</f>
        <v>45599.181012323497</v>
      </c>
      <c r="AZ7" s="395">
        <f>'VAN d''exploitation '!T28</f>
        <v>42436.587808725235</v>
      </c>
      <c r="BA7" s="395">
        <f>'VAN d''exploitation '!U28</f>
        <v>39493.153538330444</v>
      </c>
      <c r="BB7" s="395">
        <f>'VAN d''exploitation '!V28</f>
        <v>50812.538133764137</v>
      </c>
      <c r="BC7" s="396">
        <f>P7</f>
        <v>1.6799999999999999E-2</v>
      </c>
      <c r="BD7" s="397">
        <f>SUM(AM7:BB7)</f>
        <v>489098.15749412362</v>
      </c>
      <c r="BE7" s="398">
        <f>S7</f>
        <v>486888.93929841294</v>
      </c>
      <c r="BF7" s="399">
        <f>BE7-BD7</f>
        <v>-2209.2181957106804</v>
      </c>
    </row>
    <row r="8" spans="1:58" s="324" customFormat="1" ht="30.75" customHeight="1">
      <c r="A8" s="368">
        <v>2</v>
      </c>
      <c r="B8" s="369">
        <v>1111311</v>
      </c>
      <c r="C8" s="327" t="str">
        <f t="shared" ref="C8:C42" si="1">RIGHT(B8,4)</f>
        <v>1311</v>
      </c>
      <c r="D8" s="327" t="str">
        <f t="shared" ref="D8:D42" si="2">LEFT(C8,1)</f>
        <v>1</v>
      </c>
      <c r="E8" s="327">
        <v>1</v>
      </c>
      <c r="F8" s="359">
        <f t="shared" ref="F8:F42" si="3">IF(E8=$AF$16,$AG$16,IF(E8=$AF$17,$AG$17,IF(E8=$AF$18,$AG$18,0)))</f>
        <v>0.6</v>
      </c>
      <c r="G8" s="327">
        <f t="shared" ref="G8:G42" si="4">(RIGHT(C8,3)-RIGHT(C8,2))/100</f>
        <v>3</v>
      </c>
      <c r="H8" s="327">
        <v>3</v>
      </c>
      <c r="I8" s="359">
        <f t="shared" ref="I8:I42" si="5">IF(H8=$AF$12,$AG$12,IF(H8=$AF$13,$AG$13,IF(H8=$AF$14,$AG$14,0)))</f>
        <v>0.3</v>
      </c>
      <c r="J8" s="327">
        <f t="shared" ref="J8:J42" si="6">(RIGHT(C8,2)-RIGHT(C8,1))/10</f>
        <v>1</v>
      </c>
      <c r="K8" s="327">
        <v>1</v>
      </c>
      <c r="L8" s="359">
        <f t="shared" ref="L8:L42" si="7">IF(K8=$AF$10,$AG$10,IF(K8=$AF$11,$AG$11,0))</f>
        <v>0.4</v>
      </c>
      <c r="M8" s="327" t="str">
        <f t="shared" ref="M8:M42" si="8">RIGHT(C8,1)</f>
        <v>1</v>
      </c>
      <c r="N8" s="360">
        <v>1</v>
      </c>
      <c r="O8" s="359">
        <f t="shared" ref="O8:O42" si="9">IF(N8=$AF$8,$AG$8,IF(N8=$AF$9,$AG$9,0))</f>
        <v>0.7</v>
      </c>
      <c r="P8" s="370">
        <f t="shared" ref="P8:P42" si="10">F8*I8*L8*O8</f>
        <v>5.0399999999999993E-2</v>
      </c>
      <c r="Q8" s="371">
        <f>'VAN d''exploitation '!W52</f>
        <v>226274.2422328176</v>
      </c>
      <c r="R8" s="372">
        <f>'Scénario 1'!$C$27</f>
        <v>-90276.297039525976</v>
      </c>
      <c r="S8" s="372">
        <f t="shared" ref="S8:S42" si="11">Q8+R8</f>
        <v>135997.94519329164</v>
      </c>
      <c r="T8" s="372">
        <f t="shared" ref="T8:T42" si="12">P8*S8</f>
        <v>6854.2964377418975</v>
      </c>
      <c r="U8" s="373">
        <f t="shared" ref="U8:U42" si="13">IRR(AM8:BB8)</f>
        <v>0.14049676217098983</v>
      </c>
      <c r="V8" s="374">
        <f t="shared" ref="V8:V42" si="14">U8*P8</f>
        <v>7.0810368134178866E-3</v>
      </c>
      <c r="W8" s="375">
        <f>1+(S8/-'Scénario 1'!$S$23)</f>
        <v>2.2634517390681133</v>
      </c>
      <c r="X8" s="376">
        <f t="shared" ref="X8:X42" si="15">W8*P8</f>
        <v>0.1140779676490329</v>
      </c>
      <c r="Y8" s="393">
        <f t="shared" si="0"/>
        <v>20734653.024484176</v>
      </c>
      <c r="Z8" s="962">
        <f t="shared" ref="Z8:Z42" si="16">(-AQ8/AR8)*365</f>
        <v>153.66569149890728</v>
      </c>
      <c r="AA8" s="963"/>
      <c r="AB8" s="327"/>
      <c r="AC8" s="327"/>
      <c r="AD8" s="966"/>
      <c r="AE8" s="967" t="s">
        <v>33</v>
      </c>
      <c r="AF8" s="409">
        <v>1</v>
      </c>
      <c r="AG8" s="410">
        <v>0.7</v>
      </c>
      <c r="AH8" s="411">
        <v>0.02</v>
      </c>
      <c r="AI8" s="327"/>
      <c r="AL8" s="328">
        <v>2</v>
      </c>
      <c r="AM8" s="395">
        <f>'Scénario 1'!C$25</f>
        <v>-4652.3076923076924</v>
      </c>
      <c r="AN8" s="395">
        <f>'Scénario 1'!D$25</f>
        <v>-16728.024760770848</v>
      </c>
      <c r="AO8" s="395">
        <f>'Scénario 1'!E$25</f>
        <v>-37460.238859854901</v>
      </c>
      <c r="AP8" s="395">
        <f>'Scénario 1'!F$25</f>
        <v>-29226.507530881718</v>
      </c>
      <c r="AQ8" s="395">
        <f>'VAN d''exploitation '!K52</f>
        <v>-12431.739712906765</v>
      </c>
      <c r="AR8" s="395">
        <f>'VAN d''exploitation '!L52</f>
        <v>29528.940070811033</v>
      </c>
      <c r="AS8" s="395">
        <f>'VAN d''exploitation '!M52</f>
        <v>27493.635298984867</v>
      </c>
      <c r="AT8" s="395">
        <f>'VAN d''exploitation '!N52</f>
        <v>25598.251265351555</v>
      </c>
      <c r="AU8" s="395">
        <f>'VAN d''exploitation '!O52</f>
        <v>23833.201151210855</v>
      </c>
      <c r="AV8" s="395">
        <f>'VAN d''exploitation '!P52</f>
        <v>22189.552119110926</v>
      </c>
      <c r="AW8" s="395">
        <f>'VAN d''exploitation '!Q52</f>
        <v>20658.980956343516</v>
      </c>
      <c r="AX8" s="395">
        <f>'VAN d''exploitation '!R52</f>
        <v>19233.732704008115</v>
      </c>
      <c r="AY8" s="395">
        <f>'VAN d''exploitation '!S52</f>
        <v>17906.582072756271</v>
      </c>
      <c r="AZ8" s="395">
        <f>'VAN d''exploitation '!T52</f>
        <v>16670.7974593896</v>
      </c>
      <c r="BA8" s="395">
        <f>'VAN d''exploitation '!U52</f>
        <v>15520.107390705423</v>
      </c>
      <c r="BB8" s="395">
        <f>'VAN d''exploitation '!V52</f>
        <v>20072.201457052164</v>
      </c>
      <c r="BC8" s="396">
        <f t="shared" ref="BC8:BC42" si="17">P8</f>
        <v>5.0399999999999993E-2</v>
      </c>
      <c r="BD8" s="397">
        <f t="shared" ref="BD8:BD42" si="18">SUM(AM8:BB8)</f>
        <v>138207.16338900238</v>
      </c>
      <c r="BE8" s="398">
        <f t="shared" ref="BE8:BE42" si="19">S8</f>
        <v>135997.94519329164</v>
      </c>
      <c r="BF8" s="399">
        <f t="shared" ref="BF8:BF42" si="20">BE8-BD8</f>
        <v>-2209.2181957107387</v>
      </c>
    </row>
    <row r="9" spans="1:58" s="324" customFormat="1" ht="30.75" customHeight="1">
      <c r="A9" s="368">
        <v>3</v>
      </c>
      <c r="B9" s="369">
        <v>1111312</v>
      </c>
      <c r="C9" s="327" t="str">
        <f t="shared" si="1"/>
        <v>1312</v>
      </c>
      <c r="D9" s="327" t="str">
        <f t="shared" si="2"/>
        <v>1</v>
      </c>
      <c r="E9" s="327">
        <v>1</v>
      </c>
      <c r="F9" s="359">
        <f t="shared" si="3"/>
        <v>0.6</v>
      </c>
      <c r="G9" s="327">
        <f t="shared" si="4"/>
        <v>3</v>
      </c>
      <c r="H9" s="327">
        <v>3</v>
      </c>
      <c r="I9" s="359">
        <f t="shared" si="5"/>
        <v>0.3</v>
      </c>
      <c r="J9" s="327">
        <f t="shared" si="6"/>
        <v>1</v>
      </c>
      <c r="K9" s="327">
        <v>1</v>
      </c>
      <c r="L9" s="359">
        <f t="shared" si="7"/>
        <v>0.4</v>
      </c>
      <c r="M9" s="327" t="str">
        <f t="shared" si="8"/>
        <v>2</v>
      </c>
      <c r="N9" s="360">
        <v>2</v>
      </c>
      <c r="O9" s="359">
        <f t="shared" si="9"/>
        <v>0.3</v>
      </c>
      <c r="P9" s="370">
        <f t="shared" si="10"/>
        <v>2.1599999999999998E-2</v>
      </c>
      <c r="Q9" s="371">
        <f>'VAN d''exploitation '!W76</f>
        <v>214506.69767518388</v>
      </c>
      <c r="R9" s="372">
        <f>'Scénario 1'!$C$27</f>
        <v>-90276.297039525976</v>
      </c>
      <c r="S9" s="372">
        <f t="shared" si="11"/>
        <v>124230.4006356579</v>
      </c>
      <c r="T9" s="372">
        <f t="shared" si="12"/>
        <v>2683.3766537302104</v>
      </c>
      <c r="U9" s="373">
        <f t="shared" si="13"/>
        <v>0.13336984717052736</v>
      </c>
      <c r="V9" s="374">
        <f t="shared" si="14"/>
        <v>2.8807886988833904E-3</v>
      </c>
      <c r="W9" s="375">
        <f>1+(S9/-'Scénario 1'!$S$23)</f>
        <v>2.154128582642679</v>
      </c>
      <c r="X9" s="376">
        <f t="shared" si="15"/>
        <v>4.652917738508186E-2</v>
      </c>
      <c r="Y9" s="393">
        <f t="shared" si="0"/>
        <v>22188387.938941408</v>
      </c>
      <c r="Z9" s="962">
        <f t="shared" si="16"/>
        <v>153.13186505046184</v>
      </c>
      <c r="AA9" s="963"/>
      <c r="AB9" s="327"/>
      <c r="AC9" s="327"/>
      <c r="AD9" s="966"/>
      <c r="AE9" s="968"/>
      <c r="AF9" s="409">
        <v>2</v>
      </c>
      <c r="AG9" s="410">
        <v>0.3</v>
      </c>
      <c r="AH9" s="411">
        <v>0.01</v>
      </c>
      <c r="AI9" s="327"/>
      <c r="AL9" s="328">
        <v>3</v>
      </c>
      <c r="AM9" s="395">
        <f>'Scénario 1'!C$25</f>
        <v>-4652.3076923076924</v>
      </c>
      <c r="AN9" s="395">
        <f>'Scénario 1'!D$25</f>
        <v>-16728.024760770848</v>
      </c>
      <c r="AO9" s="395">
        <f>'Scénario 1'!E$25</f>
        <v>-37460.238859854901</v>
      </c>
      <c r="AP9" s="395">
        <f>'Scénario 1'!F$25</f>
        <v>-29226.507530881718</v>
      </c>
      <c r="AQ9" s="395">
        <f>'VAN d''exploitation '!K76</f>
        <v>-12309.859911799835</v>
      </c>
      <c r="AR9" s="395">
        <f>'VAN d''exploitation '!L76</f>
        <v>29341.371022460415</v>
      </c>
      <c r="AS9" s="395">
        <f>'VAN d''exploitation '!M76</f>
        <v>27041.834684133213</v>
      </c>
      <c r="AT9" s="395">
        <f>'VAN d''exploitation '!N76</f>
        <v>24922.42609955369</v>
      </c>
      <c r="AU9" s="395">
        <f>'VAN d''exploitation '!O76</f>
        <v>22969.043495906062</v>
      </c>
      <c r="AV9" s="395">
        <f>'VAN d''exploitation '!P76</f>
        <v>21168.688385927355</v>
      </c>
      <c r="AW9" s="395">
        <f>'VAN d''exploitation '!Q76</f>
        <v>19509.379312315956</v>
      </c>
      <c r="AX9" s="395">
        <f>'VAN d''exploitation '!R76</f>
        <v>17980.072330131989</v>
      </c>
      <c r="AY9" s="395">
        <f>'VAN d''exploitation '!S76</f>
        <v>16570.587701329641</v>
      </c>
      <c r="AZ9" s="395">
        <f>'VAN d''exploitation '!T76</f>
        <v>15271.542316557794</v>
      </c>
      <c r="BA9" s="395">
        <f>'VAN d''exploitation '!U76</f>
        <v>14074.287397170672</v>
      </c>
      <c r="BB9" s="395">
        <f>'VAN d''exploitation '!V76</f>
        <v>17967.324841496935</v>
      </c>
      <c r="BC9" s="396">
        <f t="shared" si="17"/>
        <v>2.1599999999999998E-2</v>
      </c>
      <c r="BD9" s="397">
        <f t="shared" si="18"/>
        <v>126439.61883136872</v>
      </c>
      <c r="BE9" s="398">
        <f t="shared" si="19"/>
        <v>124230.4006356579</v>
      </c>
      <c r="BF9" s="399">
        <f t="shared" si="20"/>
        <v>-2209.2181957108114</v>
      </c>
    </row>
    <row r="10" spans="1:58" s="324" customFormat="1" ht="30.75" customHeight="1">
      <c r="A10" s="368">
        <v>4</v>
      </c>
      <c r="B10" s="369">
        <v>1111321</v>
      </c>
      <c r="C10" s="327" t="str">
        <f t="shared" si="1"/>
        <v>1321</v>
      </c>
      <c r="D10" s="327" t="str">
        <f t="shared" si="2"/>
        <v>1</v>
      </c>
      <c r="E10" s="327">
        <v>1</v>
      </c>
      <c r="F10" s="359">
        <f t="shared" si="3"/>
        <v>0.6</v>
      </c>
      <c r="G10" s="327">
        <f t="shared" si="4"/>
        <v>3</v>
      </c>
      <c r="H10" s="327">
        <v>3</v>
      </c>
      <c r="I10" s="359">
        <f t="shared" si="5"/>
        <v>0.3</v>
      </c>
      <c r="J10" s="327">
        <f t="shared" si="6"/>
        <v>2</v>
      </c>
      <c r="K10" s="327">
        <v>2</v>
      </c>
      <c r="L10" s="359">
        <f t="shared" si="7"/>
        <v>0.6</v>
      </c>
      <c r="M10" s="327" t="str">
        <f t="shared" si="8"/>
        <v>1</v>
      </c>
      <c r="N10" s="360">
        <v>1</v>
      </c>
      <c r="O10" s="359">
        <f t="shared" si="9"/>
        <v>0.7</v>
      </c>
      <c r="P10" s="370">
        <f t="shared" si="10"/>
        <v>7.5600000000000001E-2</v>
      </c>
      <c r="Q10" s="371">
        <f>'VAN d''exploitation '!W100</f>
        <v>109310.57753111047</v>
      </c>
      <c r="R10" s="372">
        <f>'Scénario 1'!$C$27</f>
        <v>-90276.297039525976</v>
      </c>
      <c r="S10" s="372">
        <f t="shared" si="11"/>
        <v>19034.28049158449</v>
      </c>
      <c r="T10" s="372">
        <f t="shared" si="12"/>
        <v>1438.9916051637874</v>
      </c>
      <c r="U10" s="373">
        <f t="shared" si="13"/>
        <v>2.886403124832615E-2</v>
      </c>
      <c r="V10" s="374">
        <f t="shared" si="14"/>
        <v>2.182120762373457E-3</v>
      </c>
      <c r="W10" s="375">
        <f>1+(S10/-'Scénario 1'!$S$23)</f>
        <v>1.1768327804866638</v>
      </c>
      <c r="X10" s="376">
        <f t="shared" si="15"/>
        <v>8.8968558204791784E-2</v>
      </c>
      <c r="Y10" s="393">
        <f t="shared" si="0"/>
        <v>1424051409.7219076</v>
      </c>
      <c r="Z10" s="962">
        <f t="shared" si="16"/>
        <v>159.36740448583345</v>
      </c>
      <c r="AA10" s="963"/>
      <c r="AB10" s="327"/>
      <c r="AC10" s="327"/>
      <c r="AD10" s="966"/>
      <c r="AE10" s="969" t="s">
        <v>397</v>
      </c>
      <c r="AF10" s="412">
        <v>1</v>
      </c>
      <c r="AG10" s="413">
        <v>0.4</v>
      </c>
      <c r="AH10" s="414">
        <v>1</v>
      </c>
      <c r="AI10" s="327"/>
      <c r="AL10" s="328">
        <v>4</v>
      </c>
      <c r="AM10" s="395">
        <f>'Scénario 1'!C$25</f>
        <v>-4652.3076923076924</v>
      </c>
      <c r="AN10" s="395">
        <f>'Scénario 1'!D$25</f>
        <v>-16728.024760770848</v>
      </c>
      <c r="AO10" s="395">
        <f>'Scénario 1'!E$25</f>
        <v>-37460.238859854901</v>
      </c>
      <c r="AP10" s="395">
        <f>'Scénario 1'!F$25</f>
        <v>-29226.507530881718</v>
      </c>
      <c r="AQ10" s="395">
        <f>'VAN d''exploitation '!K100</f>
        <v>-6215.8698564533825</v>
      </c>
      <c r="AR10" s="395">
        <f>'VAN d''exploitation '!L100</f>
        <v>14236.239241802819</v>
      </c>
      <c r="AS10" s="395">
        <f>'VAN d''exploitation '!M100</f>
        <v>13264.97715479211</v>
      </c>
      <c r="AT10" s="395">
        <f>'VAN d''exploitation '!N100</f>
        <v>12359.601346805242</v>
      </c>
      <c r="AU10" s="395">
        <f>'VAN d''exploitation '!O100</f>
        <v>11515.676203339555</v>
      </c>
      <c r="AV10" s="395">
        <f>'VAN d''exploitation '!P100</f>
        <v>10729.061678247917</v>
      </c>
      <c r="AW10" s="395">
        <f>'VAN d''exploitation '!Q100</f>
        <v>9995.8938750536345</v>
      </c>
      <c r="AX10" s="395">
        <f>'VAN d''exploitation '!R100</f>
        <v>9312.5668786990573</v>
      </c>
      <c r="AY10" s="395">
        <f>'VAN d''exploitation '!S100</f>
        <v>8675.7157595671997</v>
      </c>
      <c r="AZ10" s="395">
        <f>'VAN d''exploitation '!T100</f>
        <v>8082.200676277721</v>
      </c>
      <c r="BA10" s="395">
        <f>'VAN d''exploitation '!U100</f>
        <v>7529.0920081637505</v>
      </c>
      <c r="BB10" s="395">
        <f>'VAN d''exploitation '!V100</f>
        <v>9825.4225648148349</v>
      </c>
      <c r="BC10" s="396">
        <f t="shared" si="17"/>
        <v>7.5600000000000001E-2</v>
      </c>
      <c r="BD10" s="397">
        <f t="shared" si="18"/>
        <v>21243.498687295294</v>
      </c>
      <c r="BE10" s="398">
        <f t="shared" si="19"/>
        <v>19034.28049158449</v>
      </c>
      <c r="BF10" s="399">
        <f t="shared" si="20"/>
        <v>-2209.2181957108041</v>
      </c>
    </row>
    <row r="11" spans="1:58" s="324" customFormat="1" ht="30.75" customHeight="1">
      <c r="A11" s="368">
        <v>5</v>
      </c>
      <c r="B11" s="369">
        <v>1111322</v>
      </c>
      <c r="C11" s="327" t="str">
        <f t="shared" si="1"/>
        <v>1322</v>
      </c>
      <c r="D11" s="327" t="str">
        <f t="shared" si="2"/>
        <v>1</v>
      </c>
      <c r="E11" s="327">
        <v>1</v>
      </c>
      <c r="F11" s="359">
        <f t="shared" si="3"/>
        <v>0.6</v>
      </c>
      <c r="G11" s="327">
        <f t="shared" si="4"/>
        <v>3</v>
      </c>
      <c r="H11" s="327">
        <v>3</v>
      </c>
      <c r="I11" s="359">
        <f t="shared" si="5"/>
        <v>0.3</v>
      </c>
      <c r="J11" s="327">
        <f t="shared" si="6"/>
        <v>2</v>
      </c>
      <c r="K11" s="327">
        <v>2</v>
      </c>
      <c r="L11" s="359">
        <f t="shared" si="7"/>
        <v>0.6</v>
      </c>
      <c r="M11" s="327" t="str">
        <f t="shared" si="8"/>
        <v>2</v>
      </c>
      <c r="N11" s="360">
        <v>2</v>
      </c>
      <c r="O11" s="359">
        <f t="shared" si="9"/>
        <v>0.3</v>
      </c>
      <c r="P11" s="370">
        <f t="shared" si="10"/>
        <v>3.2399999999999998E-2</v>
      </c>
      <c r="Q11" s="371">
        <f>'VAN d''exploitation '!W124</f>
        <v>103426.80525229362</v>
      </c>
      <c r="R11" s="372">
        <f>'Scénario 1'!$C$27</f>
        <v>-90276.297039525976</v>
      </c>
      <c r="S11" s="372">
        <f t="shared" si="11"/>
        <v>13150.508212767643</v>
      </c>
      <c r="T11" s="372">
        <f t="shared" si="12"/>
        <v>426.07646609367163</v>
      </c>
      <c r="U11" s="373">
        <f t="shared" si="13"/>
        <v>2.1595901554770203E-2</v>
      </c>
      <c r="V11" s="374">
        <f t="shared" si="14"/>
        <v>6.9970721037455452E-4</v>
      </c>
      <c r="W11" s="375">
        <f>1+(S11/-'Scénario 1'!$S$23)</f>
        <v>1.122171202273947</v>
      </c>
      <c r="X11" s="376">
        <f t="shared" si="15"/>
        <v>3.6358346953675881E-2</v>
      </c>
      <c r="Y11" s="393">
        <f t="shared" si="0"/>
        <v>663757234.13378239</v>
      </c>
      <c r="Z11" s="962">
        <f t="shared" si="16"/>
        <v>158.85144967820293</v>
      </c>
      <c r="AA11" s="963"/>
      <c r="AB11" s="327"/>
      <c r="AC11" s="327"/>
      <c r="AD11" s="966"/>
      <c r="AE11" s="969"/>
      <c r="AF11" s="412">
        <v>2</v>
      </c>
      <c r="AG11" s="413">
        <v>0.6</v>
      </c>
      <c r="AH11" s="414">
        <v>0.5</v>
      </c>
      <c r="AI11" s="327"/>
      <c r="AL11" s="328">
        <v>5</v>
      </c>
      <c r="AM11" s="395">
        <f>'Scénario 1'!C$25</f>
        <v>-4652.3076923076924</v>
      </c>
      <c r="AN11" s="395">
        <f>'Scénario 1'!D$25</f>
        <v>-16728.024760770848</v>
      </c>
      <c r="AO11" s="395">
        <f>'Scénario 1'!E$25</f>
        <v>-37460.238859854901</v>
      </c>
      <c r="AP11" s="395">
        <f>'Scénario 1'!F$25</f>
        <v>-29226.507530881718</v>
      </c>
      <c r="AQ11" s="395">
        <f>'VAN d''exploitation '!K124</f>
        <v>-6154.9299558999173</v>
      </c>
      <c r="AR11" s="395">
        <f>'VAN d''exploitation '!L124</f>
        <v>14142.45471762751</v>
      </c>
      <c r="AS11" s="395">
        <f>'VAN d''exploitation '!M124</f>
        <v>13039.076847366283</v>
      </c>
      <c r="AT11" s="395">
        <f>'VAN d''exploitation '!N124</f>
        <v>12021.68876390631</v>
      </c>
      <c r="AU11" s="395">
        <f>'VAN d''exploitation '!O124</f>
        <v>11083.597375687159</v>
      </c>
      <c r="AV11" s="395">
        <f>'VAN d''exploitation '!P124</f>
        <v>10218.629811656132</v>
      </c>
      <c r="AW11" s="395">
        <f>'VAN d''exploitation '!Q124</f>
        <v>9421.0930530398546</v>
      </c>
      <c r="AX11" s="395">
        <f>'VAN d''exploitation '!R124</f>
        <v>8685.7366917609925</v>
      </c>
      <c r="AY11" s="395">
        <f>'VAN d''exploitation '!S124</f>
        <v>8007.7185738538847</v>
      </c>
      <c r="AZ11" s="395">
        <f>'VAN d''exploitation '!T124</f>
        <v>7382.5731048618209</v>
      </c>
      <c r="BA11" s="395">
        <f>'VAN d''exploitation '!U124</f>
        <v>6806.1820113963749</v>
      </c>
      <c r="BB11" s="395">
        <f>'VAN d''exploitation '!V124</f>
        <v>8772.9842570372202</v>
      </c>
      <c r="BC11" s="396">
        <f t="shared" si="17"/>
        <v>3.2399999999999998E-2</v>
      </c>
      <c r="BD11" s="397">
        <f t="shared" si="18"/>
        <v>15359.726408478444</v>
      </c>
      <c r="BE11" s="398">
        <f t="shared" si="19"/>
        <v>13150.508212767643</v>
      </c>
      <c r="BF11" s="399">
        <f t="shared" si="20"/>
        <v>-2209.2181957108005</v>
      </c>
    </row>
    <row r="12" spans="1:58" s="324" customFormat="1" ht="30.75" customHeight="1">
      <c r="A12" s="368">
        <v>6</v>
      </c>
      <c r="B12" s="369">
        <v>1112111</v>
      </c>
      <c r="C12" s="327" t="str">
        <f t="shared" si="1"/>
        <v>2111</v>
      </c>
      <c r="D12" s="327" t="str">
        <f t="shared" si="2"/>
        <v>2</v>
      </c>
      <c r="E12" s="327">
        <v>2</v>
      </c>
      <c r="F12" s="359">
        <f t="shared" si="3"/>
        <v>0.3</v>
      </c>
      <c r="G12" s="327">
        <f t="shared" si="4"/>
        <v>1</v>
      </c>
      <c r="H12" s="327">
        <v>1</v>
      </c>
      <c r="I12" s="359">
        <f t="shared" si="5"/>
        <v>0.1</v>
      </c>
      <c r="J12" s="327">
        <f t="shared" si="6"/>
        <v>1</v>
      </c>
      <c r="K12" s="327">
        <v>1</v>
      </c>
      <c r="L12" s="359">
        <f t="shared" si="7"/>
        <v>0.4</v>
      </c>
      <c r="M12" s="327" t="str">
        <f t="shared" si="8"/>
        <v>1</v>
      </c>
      <c r="N12" s="360">
        <v>1</v>
      </c>
      <c r="O12" s="359">
        <f t="shared" si="9"/>
        <v>0.7</v>
      </c>
      <c r="P12" s="370">
        <f t="shared" si="10"/>
        <v>8.3999999999999995E-3</v>
      </c>
      <c r="Q12" s="371">
        <f>'VAN d''exploitation '!W148</f>
        <v>616746.22883777251</v>
      </c>
      <c r="R12" s="372">
        <f>'Scénario 1'!$C$27</f>
        <v>-90276.297039525976</v>
      </c>
      <c r="S12" s="372">
        <f t="shared" si="11"/>
        <v>526469.93179824657</v>
      </c>
      <c r="T12" s="372">
        <f t="shared" si="12"/>
        <v>4422.347427105271</v>
      </c>
      <c r="U12" s="373">
        <f t="shared" si="13"/>
        <v>0.34104275350921642</v>
      </c>
      <c r="V12" s="374">
        <f t="shared" si="14"/>
        <v>2.8647591294774176E-3</v>
      </c>
      <c r="W12" s="375">
        <f>1+(S12/-'Scénario 1'!$S$23)</f>
        <v>5.8910250074158927</v>
      </c>
      <c r="X12" s="376">
        <f t="shared" si="15"/>
        <v>4.9484610062293495E-2</v>
      </c>
      <c r="Y12" s="393">
        <f t="shared" si="0"/>
        <v>1151134771.4271667</v>
      </c>
      <c r="Z12" s="962">
        <f t="shared" si="16"/>
        <v>141.0312637968764</v>
      </c>
      <c r="AA12" s="963"/>
      <c r="AB12" s="327"/>
      <c r="AC12" s="327"/>
      <c r="AD12" s="966"/>
      <c r="AE12" s="968" t="s">
        <v>400</v>
      </c>
      <c r="AF12" s="409">
        <v>1</v>
      </c>
      <c r="AG12" s="410">
        <v>0.1</v>
      </c>
      <c r="AH12" s="411">
        <v>0.5</v>
      </c>
      <c r="AI12" s="327"/>
      <c r="AL12" s="328">
        <v>6</v>
      </c>
      <c r="AM12" s="395">
        <f>'Scénario 1'!C$25</f>
        <v>-4652.3076923076924</v>
      </c>
      <c r="AN12" s="395">
        <f>'Scénario 1'!D$25</f>
        <v>-16728.024760770848</v>
      </c>
      <c r="AO12" s="395">
        <f>'Scénario 1'!E$25</f>
        <v>-37460.238859854901</v>
      </c>
      <c r="AP12" s="395">
        <f>'Scénario 1'!F$25</f>
        <v>-29226.507530881718</v>
      </c>
      <c r="AQ12" s="395">
        <f>'VAN d''exploitation '!K148</f>
        <v>-31079.34928226691</v>
      </c>
      <c r="AR12" s="395">
        <f>'VAN d''exploitation '!L148</f>
        <v>80435.799712933367</v>
      </c>
      <c r="AS12" s="395">
        <f>'VAN d''exploitation '!M148</f>
        <v>74858.473671301152</v>
      </c>
      <c r="AT12" s="395">
        <f>'VAN d''exploitation '!N148</f>
        <v>69667.516779018086</v>
      </c>
      <c r="AU12" s="395">
        <f>'VAN d''exploitation '!O148</f>
        <v>64836.19471466307</v>
      </c>
      <c r="AV12" s="395">
        <f>'VAN d''exploitation '!P148</f>
        <v>60339.620235020986</v>
      </c>
      <c r="AW12" s="395">
        <f>'VAN d''exploitation '!Q148</f>
        <v>56154.625804720228</v>
      </c>
      <c r="AX12" s="395">
        <f>'VAN d''exploitation '!R148</f>
        <v>52259.644987416294</v>
      </c>
      <c r="AY12" s="395">
        <f>'VAN d''exploitation '!S148</f>
        <v>48634.601997748614</v>
      </c>
      <c r="AZ12" s="395">
        <f>'VAN d''exploitation '!T148</f>
        <v>45260.808854323477</v>
      </c>
      <c r="BA12" s="395">
        <f>'VAN d''exploitation '!U148</f>
        <v>42120.869612212358</v>
      </c>
      <c r="BB12" s="395">
        <f>'VAN d''exploitation '!V148</f>
        <v>53257.421750681846</v>
      </c>
      <c r="BC12" s="396">
        <f t="shared" si="17"/>
        <v>8.3999999999999995E-3</v>
      </c>
      <c r="BD12" s="397">
        <f t="shared" si="18"/>
        <v>528679.14999395737</v>
      </c>
      <c r="BE12" s="398">
        <f t="shared" si="19"/>
        <v>526469.93179824657</v>
      </c>
      <c r="BF12" s="399">
        <f t="shared" si="20"/>
        <v>-2209.2181957107969</v>
      </c>
    </row>
    <row r="13" spans="1:58" s="324" customFormat="1" ht="30.75" customHeight="1">
      <c r="A13" s="368">
        <v>7</v>
      </c>
      <c r="B13" s="369">
        <v>1112112</v>
      </c>
      <c r="C13" s="327" t="str">
        <f t="shared" si="1"/>
        <v>2112</v>
      </c>
      <c r="D13" s="327" t="str">
        <f t="shared" si="2"/>
        <v>2</v>
      </c>
      <c r="E13" s="327">
        <v>2</v>
      </c>
      <c r="F13" s="359">
        <f t="shared" si="3"/>
        <v>0.3</v>
      </c>
      <c r="G13" s="327">
        <f t="shared" si="4"/>
        <v>1</v>
      </c>
      <c r="H13" s="327">
        <v>1</v>
      </c>
      <c r="I13" s="359">
        <f t="shared" si="5"/>
        <v>0.1</v>
      </c>
      <c r="J13" s="327">
        <f t="shared" si="6"/>
        <v>1</v>
      </c>
      <c r="K13" s="327">
        <v>1</v>
      </c>
      <c r="L13" s="359">
        <f t="shared" si="7"/>
        <v>0.4</v>
      </c>
      <c r="M13" s="327" t="str">
        <f t="shared" si="8"/>
        <v>2</v>
      </c>
      <c r="N13" s="360">
        <v>2</v>
      </c>
      <c r="O13" s="359">
        <f t="shared" si="9"/>
        <v>0.3</v>
      </c>
      <c r="P13" s="370">
        <f t="shared" si="10"/>
        <v>3.5999999999999999E-3</v>
      </c>
      <c r="Q13" s="371">
        <f>'VAN d''exploitation '!W172</f>
        <v>585336.27433770115</v>
      </c>
      <c r="R13" s="372">
        <f>'Scénario 1'!$C$27</f>
        <v>-90276.297039525976</v>
      </c>
      <c r="S13" s="372">
        <f t="shared" si="11"/>
        <v>495059.97729817516</v>
      </c>
      <c r="T13" s="372">
        <f t="shared" si="12"/>
        <v>1782.2159182734306</v>
      </c>
      <c r="U13" s="373">
        <f t="shared" si="13"/>
        <v>0.33407023603698538</v>
      </c>
      <c r="V13" s="374">
        <f t="shared" si="14"/>
        <v>1.2026528497331474E-3</v>
      </c>
      <c r="W13" s="375">
        <f>1+(S13/-'Scénario 1'!$S$23)</f>
        <v>5.5992194100536539</v>
      </c>
      <c r="X13" s="376">
        <f t="shared" si="15"/>
        <v>2.0157189876193152E-2</v>
      </c>
      <c r="Y13" s="393">
        <f t="shared" si="0"/>
        <v>413176331.70749313</v>
      </c>
      <c r="Z13" s="962">
        <f t="shared" si="16"/>
        <v>140.55415335146188</v>
      </c>
      <c r="AA13" s="963"/>
      <c r="AB13" s="327"/>
      <c r="AC13" s="327"/>
      <c r="AD13" s="966"/>
      <c r="AE13" s="968"/>
      <c r="AF13" s="409">
        <v>2</v>
      </c>
      <c r="AG13" s="410">
        <v>0.6</v>
      </c>
      <c r="AH13" s="411">
        <v>0.33</v>
      </c>
      <c r="AI13" s="327"/>
      <c r="AL13" s="328">
        <v>7</v>
      </c>
      <c r="AM13" s="395">
        <f>'Scénario 1'!C$25</f>
        <v>-4652.3076923076924</v>
      </c>
      <c r="AN13" s="395">
        <f>'Scénario 1'!D$25</f>
        <v>-16728.024760770848</v>
      </c>
      <c r="AO13" s="395">
        <f>'Scénario 1'!E$25</f>
        <v>-37460.238859854901</v>
      </c>
      <c r="AP13" s="395">
        <f>'Scénario 1'!F$25</f>
        <v>-29226.507530881718</v>
      </c>
      <c r="AQ13" s="395">
        <f>'VAN d''exploitation '!K172</f>
        <v>-30774.649779499585</v>
      </c>
      <c r="AR13" s="395">
        <f>'VAN d''exploitation '!L172</f>
        <v>79917.575551320551</v>
      </c>
      <c r="AS13" s="395">
        <f>'VAN d''exploitation '!M172</f>
        <v>73637.67942177612</v>
      </c>
      <c r="AT13" s="395">
        <f>'VAN d''exploitation '!N172</f>
        <v>67851.166344891695</v>
      </c>
      <c r="AU13" s="395">
        <f>'VAN d''exploitation '!O172</f>
        <v>62519.28127843768</v>
      </c>
      <c r="AV13" s="395">
        <f>'VAN d''exploitation '!P172</f>
        <v>57606.312684130819</v>
      </c>
      <c r="AW13" s="395">
        <f>'VAN d''exploitation '!Q172</f>
        <v>53079.353576375615</v>
      </c>
      <c r="AX13" s="395">
        <f>'VAN d''exploitation '!R172</f>
        <v>48908.081326184772</v>
      </c>
      <c r="AY13" s="395">
        <f>'VAN d''exploitation '!S172</f>
        <v>45064.554748662333</v>
      </c>
      <c r="AZ13" s="395">
        <f>'VAN d''exploitation '!T172</f>
        <v>41523.027117862024</v>
      </c>
      <c r="BA13" s="395">
        <f>'VAN d''exploitation '!U172</f>
        <v>38259.773859211695</v>
      </c>
      <c r="BB13" s="395">
        <f>'VAN d''exploitation '!V172</f>
        <v>47744.118208347383</v>
      </c>
      <c r="BC13" s="396">
        <f t="shared" si="17"/>
        <v>3.5999999999999999E-3</v>
      </c>
      <c r="BD13" s="397">
        <f t="shared" si="18"/>
        <v>497269.19549388601</v>
      </c>
      <c r="BE13" s="398">
        <f t="shared" si="19"/>
        <v>495059.97729817516</v>
      </c>
      <c r="BF13" s="399">
        <f t="shared" si="20"/>
        <v>-2209.2181957108551</v>
      </c>
    </row>
    <row r="14" spans="1:58" s="324" customFormat="1" ht="30.75" customHeight="1">
      <c r="A14" s="368">
        <v>8</v>
      </c>
      <c r="B14" s="369">
        <v>1112121</v>
      </c>
      <c r="C14" s="327" t="str">
        <f t="shared" si="1"/>
        <v>2121</v>
      </c>
      <c r="D14" s="327" t="str">
        <f t="shared" si="2"/>
        <v>2</v>
      </c>
      <c r="E14" s="327">
        <v>2</v>
      </c>
      <c r="F14" s="359">
        <f t="shared" si="3"/>
        <v>0.3</v>
      </c>
      <c r="G14" s="327">
        <f t="shared" si="4"/>
        <v>1</v>
      </c>
      <c r="H14" s="327">
        <v>1</v>
      </c>
      <c r="I14" s="359">
        <f t="shared" si="5"/>
        <v>0.1</v>
      </c>
      <c r="J14" s="327">
        <f t="shared" si="6"/>
        <v>2</v>
      </c>
      <c r="K14" s="327">
        <v>2</v>
      </c>
      <c r="L14" s="359">
        <f t="shared" si="7"/>
        <v>0.6</v>
      </c>
      <c r="M14" s="327" t="str">
        <f t="shared" si="8"/>
        <v>1</v>
      </c>
      <c r="N14" s="360">
        <v>1</v>
      </c>
      <c r="O14" s="359">
        <f t="shared" si="9"/>
        <v>0.7</v>
      </c>
      <c r="P14" s="370">
        <f t="shared" si="10"/>
        <v>1.2599999999999998E-2</v>
      </c>
      <c r="Q14" s="371">
        <f>'VAN d''exploitation '!W196</f>
        <v>304546.57083358796</v>
      </c>
      <c r="R14" s="372">
        <f>'Scénario 1'!$C$27</f>
        <v>-90276.297039525976</v>
      </c>
      <c r="S14" s="372">
        <f t="shared" si="11"/>
        <v>214270.27379406197</v>
      </c>
      <c r="T14" s="372">
        <f t="shared" si="12"/>
        <v>2699.8054498051806</v>
      </c>
      <c r="U14" s="373">
        <f t="shared" si="13"/>
        <v>0.19446871192742687</v>
      </c>
      <c r="V14" s="374">
        <f t="shared" si="14"/>
        <v>2.4503057702855782E-3</v>
      </c>
      <c r="W14" s="375">
        <f>1+(S14/-'Scénario 1'!$S$23)</f>
        <v>2.990619414660554</v>
      </c>
      <c r="X14" s="376">
        <f t="shared" si="15"/>
        <v>3.7681804624722974E-2</v>
      </c>
      <c r="Y14" s="393">
        <f t="shared" si="0"/>
        <v>42370740.834429272</v>
      </c>
      <c r="Z14" s="962">
        <f t="shared" si="16"/>
        <v>142.90825239761836</v>
      </c>
      <c r="AA14" s="963"/>
      <c r="AB14" s="327"/>
      <c r="AC14" s="327"/>
      <c r="AD14" s="966"/>
      <c r="AE14" s="968"/>
      <c r="AF14" s="409">
        <v>3</v>
      </c>
      <c r="AG14" s="410">
        <v>0.3</v>
      </c>
      <c r="AH14" s="411">
        <v>0.2</v>
      </c>
      <c r="AI14" s="327"/>
      <c r="AL14" s="328">
        <v>8</v>
      </c>
      <c r="AM14" s="395">
        <f>'Scénario 1'!C$25</f>
        <v>-4652.3076923076924</v>
      </c>
      <c r="AN14" s="395">
        <f>'Scénario 1'!D$25</f>
        <v>-16728.024760770848</v>
      </c>
      <c r="AO14" s="395">
        <f>'Scénario 1'!E$25</f>
        <v>-37460.238859854901</v>
      </c>
      <c r="AP14" s="395">
        <f>'Scénario 1'!F$25</f>
        <v>-29226.507530881718</v>
      </c>
      <c r="AQ14" s="395">
        <f>'VAN d''exploitation '!K196</f>
        <v>-15539.674641133455</v>
      </c>
      <c r="AR14" s="395">
        <f>'VAN d''exploitation '!L196</f>
        <v>39689.669062863984</v>
      </c>
      <c r="AS14" s="395">
        <f>'VAN d''exploitation '!M196</f>
        <v>36947.396340950254</v>
      </c>
      <c r="AT14" s="395">
        <f>'VAN d''exploitation '!N196</f>
        <v>34394.234103638504</v>
      </c>
      <c r="AU14" s="395">
        <f>'VAN d''exploitation '!O196</f>
        <v>32017.172985065659</v>
      </c>
      <c r="AV14" s="395">
        <f>'VAN d''exploitation '!P196</f>
        <v>29804.09573620294</v>
      </c>
      <c r="AW14" s="395">
        <f>'VAN d''exploitation '!Q196</f>
        <v>27743.716299241991</v>
      </c>
      <c r="AX14" s="395">
        <f>'VAN d''exploitation '!R196</f>
        <v>25825.52302040314</v>
      </c>
      <c r="AY14" s="395">
        <f>'VAN d''exploitation '!S196</f>
        <v>24039.725722063373</v>
      </c>
      <c r="AZ14" s="395">
        <f>'VAN d''exploitation '!T196</f>
        <v>22377.206373744662</v>
      </c>
      <c r="BA14" s="395">
        <f>'VAN d''exploitation '!U196</f>
        <v>20829.47311891722</v>
      </c>
      <c r="BB14" s="395">
        <f>'VAN d''exploitation '!V196</f>
        <v>26418.032711629672</v>
      </c>
      <c r="BC14" s="396">
        <f t="shared" si="17"/>
        <v>1.2599999999999998E-2</v>
      </c>
      <c r="BD14" s="397">
        <f t="shared" si="18"/>
        <v>216479.4919897728</v>
      </c>
      <c r="BE14" s="398">
        <f t="shared" si="19"/>
        <v>214270.27379406197</v>
      </c>
      <c r="BF14" s="399">
        <f t="shared" si="20"/>
        <v>-2209.218195710826</v>
      </c>
    </row>
    <row r="15" spans="1:58" s="324" customFormat="1" ht="30.75" customHeight="1">
      <c r="A15" s="368">
        <v>9</v>
      </c>
      <c r="B15" s="369">
        <v>1112122</v>
      </c>
      <c r="C15" s="327" t="str">
        <f t="shared" si="1"/>
        <v>2122</v>
      </c>
      <c r="D15" s="327" t="str">
        <f t="shared" si="2"/>
        <v>2</v>
      </c>
      <c r="E15" s="327">
        <v>2</v>
      </c>
      <c r="F15" s="359">
        <f t="shared" si="3"/>
        <v>0.3</v>
      </c>
      <c r="G15" s="327">
        <f t="shared" si="4"/>
        <v>1</v>
      </c>
      <c r="H15" s="327">
        <v>1</v>
      </c>
      <c r="I15" s="359">
        <f t="shared" si="5"/>
        <v>0.1</v>
      </c>
      <c r="J15" s="327">
        <f t="shared" si="6"/>
        <v>2</v>
      </c>
      <c r="K15" s="327">
        <v>2</v>
      </c>
      <c r="L15" s="359">
        <f t="shared" si="7"/>
        <v>0.6</v>
      </c>
      <c r="M15" s="327" t="str">
        <f t="shared" si="8"/>
        <v>2</v>
      </c>
      <c r="N15" s="360">
        <v>2</v>
      </c>
      <c r="O15" s="359">
        <f t="shared" si="9"/>
        <v>0.3</v>
      </c>
      <c r="P15" s="370">
        <f t="shared" si="10"/>
        <v>5.3999999999999994E-3</v>
      </c>
      <c r="Q15" s="371">
        <f>'VAN d''exploitation '!W220</f>
        <v>288841.59358355223</v>
      </c>
      <c r="R15" s="372">
        <f>'Scénario 1'!$C$27</f>
        <v>-90276.297039525976</v>
      </c>
      <c r="S15" s="372">
        <f t="shared" si="11"/>
        <v>198565.29654402623</v>
      </c>
      <c r="T15" s="372">
        <f t="shared" si="12"/>
        <v>1072.2526013377415</v>
      </c>
      <c r="U15" s="373">
        <f t="shared" si="13"/>
        <v>0.1873567719817737</v>
      </c>
      <c r="V15" s="374">
        <f t="shared" si="14"/>
        <v>1.0117265687015779E-3</v>
      </c>
      <c r="W15" s="375">
        <f>1+(S15/-'Scénario 1'!$S$23)</f>
        <v>2.8447166159794341</v>
      </c>
      <c r="X15" s="376">
        <f t="shared" si="15"/>
        <v>1.5361469726288943E-2</v>
      </c>
      <c r="Y15" s="393">
        <f t="shared" si="0"/>
        <v>9654998.6171673145</v>
      </c>
      <c r="Z15" s="962">
        <f t="shared" si="16"/>
        <v>142.4370847034786</v>
      </c>
      <c r="AA15" s="963"/>
      <c r="AB15" s="327"/>
      <c r="AC15" s="327"/>
      <c r="AD15" s="327"/>
      <c r="AE15" s="416" t="s">
        <v>402</v>
      </c>
      <c r="AF15" s="412">
        <v>1</v>
      </c>
      <c r="AG15" s="413">
        <v>1</v>
      </c>
      <c r="AH15" s="417">
        <v>1</v>
      </c>
      <c r="AI15" s="327"/>
      <c r="AL15" s="328">
        <v>9</v>
      </c>
      <c r="AM15" s="395">
        <f>'Scénario 1'!C$25</f>
        <v>-4652.3076923076924</v>
      </c>
      <c r="AN15" s="395">
        <f>'Scénario 1'!D$25</f>
        <v>-16728.024760770848</v>
      </c>
      <c r="AO15" s="395">
        <f>'Scénario 1'!E$25</f>
        <v>-37460.238859854901</v>
      </c>
      <c r="AP15" s="395">
        <f>'Scénario 1'!F$25</f>
        <v>-29226.507530881718</v>
      </c>
      <c r="AQ15" s="395">
        <f>'VAN d''exploitation '!K220</f>
        <v>-15387.324889749792</v>
      </c>
      <c r="AR15" s="395">
        <f>'VAN d''exploitation '!L220</f>
        <v>39430.556982057577</v>
      </c>
      <c r="AS15" s="395">
        <f>'VAN d''exploitation '!M220</f>
        <v>36336.999216187731</v>
      </c>
      <c r="AT15" s="395">
        <f>'VAN d''exploitation '!N220</f>
        <v>33486.058886575309</v>
      </c>
      <c r="AU15" s="395">
        <f>'VAN d''exploitation '!O220</f>
        <v>30858.716266952972</v>
      </c>
      <c r="AV15" s="395">
        <f>'VAN d''exploitation '!P220</f>
        <v>28437.44196075786</v>
      </c>
      <c r="AW15" s="395">
        <f>'VAN d''exploitation '!Q220</f>
        <v>26206.080185069684</v>
      </c>
      <c r="AX15" s="395">
        <f>'VAN d''exploitation '!R220</f>
        <v>24149.741189787379</v>
      </c>
      <c r="AY15" s="395">
        <f>'VAN d''exploitation '!S220</f>
        <v>22254.702097520229</v>
      </c>
      <c r="AZ15" s="395">
        <f>'VAN d''exploitation '!T220</f>
        <v>20508.315505513936</v>
      </c>
      <c r="BA15" s="395">
        <f>'VAN d''exploitation '!U220</f>
        <v>18898.925242416888</v>
      </c>
      <c r="BB15" s="395">
        <f>'VAN d''exploitation '!V220</f>
        <v>23661.380940462441</v>
      </c>
      <c r="BC15" s="396">
        <f t="shared" si="17"/>
        <v>5.3999999999999994E-3</v>
      </c>
      <c r="BD15" s="397">
        <f t="shared" si="18"/>
        <v>200774.51473973703</v>
      </c>
      <c r="BE15" s="398">
        <f t="shared" si="19"/>
        <v>198565.29654402623</v>
      </c>
      <c r="BF15" s="399">
        <f t="shared" si="20"/>
        <v>-2209.2181957107969</v>
      </c>
    </row>
    <row r="16" spans="1:58" s="324" customFormat="1" ht="30.75" customHeight="1">
      <c r="A16" s="368">
        <v>10</v>
      </c>
      <c r="B16" s="369">
        <v>1112211</v>
      </c>
      <c r="C16" s="327" t="str">
        <f t="shared" si="1"/>
        <v>2211</v>
      </c>
      <c r="D16" s="327" t="str">
        <f t="shared" si="2"/>
        <v>2</v>
      </c>
      <c r="E16" s="327">
        <v>2</v>
      </c>
      <c r="F16" s="359">
        <f t="shared" si="3"/>
        <v>0.3</v>
      </c>
      <c r="G16" s="327">
        <f t="shared" si="4"/>
        <v>2</v>
      </c>
      <c r="H16" s="327">
        <v>2</v>
      </c>
      <c r="I16" s="359">
        <f t="shared" si="5"/>
        <v>0.6</v>
      </c>
      <c r="J16" s="327">
        <f t="shared" si="6"/>
        <v>1</v>
      </c>
      <c r="K16" s="327">
        <v>1</v>
      </c>
      <c r="L16" s="359">
        <f t="shared" si="7"/>
        <v>0.4</v>
      </c>
      <c r="M16" s="327" t="str">
        <f t="shared" si="8"/>
        <v>1</v>
      </c>
      <c r="N16" s="360">
        <v>1</v>
      </c>
      <c r="O16" s="359">
        <f t="shared" si="9"/>
        <v>0.7</v>
      </c>
      <c r="P16" s="370">
        <f t="shared" si="10"/>
        <v>5.0399999999999993E-2</v>
      </c>
      <c r="Q16" s="371">
        <f>'VAN d''exploitation '!W244</f>
        <v>404450.46139492712</v>
      </c>
      <c r="R16" s="372">
        <f>'Scénario 1'!$C$27</f>
        <v>-90276.297039525976</v>
      </c>
      <c r="S16" s="372">
        <f t="shared" si="11"/>
        <v>314174.16435540112</v>
      </c>
      <c r="T16" s="372">
        <f t="shared" si="12"/>
        <v>15834.377883512214</v>
      </c>
      <c r="U16" s="373">
        <f t="shared" si="13"/>
        <v>0.24988352976661399</v>
      </c>
      <c r="V16" s="374">
        <f t="shared" si="14"/>
        <v>1.2594129900237344E-2</v>
      </c>
      <c r="W16" s="375">
        <f>1+(S16/-'Scénario 1'!$S$23)</f>
        <v>3.9187492043422631</v>
      </c>
      <c r="X16" s="376">
        <f t="shared" si="15"/>
        <v>0.19750495989885003</v>
      </c>
      <c r="Y16" s="393">
        <f t="shared" si="0"/>
        <v>1256484851.1006348</v>
      </c>
      <c r="Z16" s="962">
        <f t="shared" si="16"/>
        <v>141.99199783568804</v>
      </c>
      <c r="AA16" s="963"/>
      <c r="AB16" s="327"/>
      <c r="AC16" s="327"/>
      <c r="AD16" s="966"/>
      <c r="AE16" s="968" t="s">
        <v>403</v>
      </c>
      <c r="AF16" s="409">
        <v>1</v>
      </c>
      <c r="AG16" s="410">
        <v>0.6</v>
      </c>
      <c r="AH16" s="415">
        <v>0.2</v>
      </c>
      <c r="AI16" s="327"/>
      <c r="AL16" s="328">
        <v>10</v>
      </c>
      <c r="AM16" s="395">
        <f>'Scénario 1'!C$25</f>
        <v>-4652.3076923076924</v>
      </c>
      <c r="AN16" s="395">
        <f>'Scénario 1'!D$25</f>
        <v>-16728.024760770848</v>
      </c>
      <c r="AO16" s="395">
        <f>'Scénario 1'!E$25</f>
        <v>-37460.238859854901</v>
      </c>
      <c r="AP16" s="395">
        <f>'Scénario 1'!F$25</f>
        <v>-29226.507530881718</v>
      </c>
      <c r="AQ16" s="395">
        <f>'VAN d''exploitation '!K244</f>
        <v>-20512.370526296163</v>
      </c>
      <c r="AR16" s="395">
        <f>'VAN d''exploitation '!L244</f>
        <v>52728.430870886194</v>
      </c>
      <c r="AS16" s="395">
        <f>'VAN d''exploitation '!M244</f>
        <v>49078.94108666254</v>
      </c>
      <c r="AT16" s="395">
        <f>'VAN d''exploitation '!N244</f>
        <v>45681.684559759975</v>
      </c>
      <c r="AU16" s="395">
        <f>'VAN d''exploitation '!O244</f>
        <v>42519.259938536838</v>
      </c>
      <c r="AV16" s="395">
        <f>'VAN d''exploitation '!P244</f>
        <v>39575.46357582471</v>
      </c>
      <c r="AW16" s="395">
        <f>'VAN d''exploitation '!Q244</f>
        <v>36835.207340995032</v>
      </c>
      <c r="AX16" s="395">
        <f>'VAN d''exploitation '!R244</f>
        <v>34284.442049847341</v>
      </c>
      <c r="AY16" s="395">
        <f>'VAN d''exploitation '!S244</f>
        <v>31910.08613028266</v>
      </c>
      <c r="AZ16" s="395">
        <f>'VAN d''exploitation '!T244</f>
        <v>29699.959167529873</v>
      </c>
      <c r="BA16" s="395">
        <f>'VAN d''exploitation '!U244</f>
        <v>27642.719996771662</v>
      </c>
      <c r="BB16" s="395">
        <f>'VAN d''exploitation '!V244</f>
        <v>35006.637204126375</v>
      </c>
      <c r="BC16" s="396">
        <f t="shared" si="17"/>
        <v>5.0399999999999993E-2</v>
      </c>
      <c r="BD16" s="397">
        <f t="shared" si="18"/>
        <v>316383.38255111186</v>
      </c>
      <c r="BE16" s="398">
        <f t="shared" si="19"/>
        <v>314174.16435540112</v>
      </c>
      <c r="BF16" s="399">
        <f t="shared" si="20"/>
        <v>-2209.2181957107387</v>
      </c>
    </row>
    <row r="17" spans="1:58" s="324" customFormat="1" ht="30.75" customHeight="1">
      <c r="A17" s="368">
        <v>11</v>
      </c>
      <c r="B17" s="369">
        <v>1112212</v>
      </c>
      <c r="C17" s="327" t="str">
        <f t="shared" si="1"/>
        <v>2212</v>
      </c>
      <c r="D17" s="327" t="str">
        <f t="shared" si="2"/>
        <v>2</v>
      </c>
      <c r="E17" s="327">
        <v>2</v>
      </c>
      <c r="F17" s="359">
        <f t="shared" si="3"/>
        <v>0.3</v>
      </c>
      <c r="G17" s="327">
        <f t="shared" si="4"/>
        <v>2</v>
      </c>
      <c r="H17" s="327">
        <v>2</v>
      </c>
      <c r="I17" s="359">
        <f t="shared" si="5"/>
        <v>0.6</v>
      </c>
      <c r="J17" s="327">
        <f t="shared" si="6"/>
        <v>1</v>
      </c>
      <c r="K17" s="327">
        <v>1</v>
      </c>
      <c r="L17" s="359">
        <f t="shared" si="7"/>
        <v>0.4</v>
      </c>
      <c r="M17" s="327" t="str">
        <f t="shared" si="8"/>
        <v>2</v>
      </c>
      <c r="N17" s="360">
        <v>2</v>
      </c>
      <c r="O17" s="359">
        <f t="shared" si="9"/>
        <v>0.3</v>
      </c>
      <c r="P17" s="370">
        <f t="shared" si="10"/>
        <v>2.1599999999999998E-2</v>
      </c>
      <c r="Q17" s="371">
        <f>'VAN d''exploitation '!W268</f>
        <v>383719.89142487996</v>
      </c>
      <c r="R17" s="372">
        <f>'Scénario 1'!$C$27</f>
        <v>-90276.297039525976</v>
      </c>
      <c r="S17" s="372">
        <f t="shared" si="11"/>
        <v>293443.59438535396</v>
      </c>
      <c r="T17" s="372">
        <f t="shared" si="12"/>
        <v>6338.3816387236448</v>
      </c>
      <c r="U17" s="373">
        <f t="shared" si="13"/>
        <v>0.24282471337192768</v>
      </c>
      <c r="V17" s="374">
        <f t="shared" si="14"/>
        <v>5.245013808833637E-3</v>
      </c>
      <c r="W17" s="375">
        <f>1+(S17/-'Scénario 1'!$S$23)</f>
        <v>3.7261575100831852</v>
      </c>
      <c r="X17" s="376">
        <f t="shared" si="15"/>
        <v>8.0485002217796794E-2</v>
      </c>
      <c r="Y17" s="393">
        <f t="shared" si="0"/>
        <v>406373337.79889572</v>
      </c>
      <c r="Z17" s="962">
        <f t="shared" si="16"/>
        <v>141.5178885751219</v>
      </c>
      <c r="AA17" s="963"/>
      <c r="AB17" s="327"/>
      <c r="AC17" s="327"/>
      <c r="AD17" s="966"/>
      <c r="AE17" s="968"/>
      <c r="AF17" s="409">
        <v>2</v>
      </c>
      <c r="AG17" s="410">
        <v>0.3</v>
      </c>
      <c r="AH17" s="415">
        <v>0.15</v>
      </c>
      <c r="AI17" s="327"/>
      <c r="AL17" s="328">
        <v>11</v>
      </c>
      <c r="AM17" s="395">
        <f>'Scénario 1'!C$25</f>
        <v>-4652.3076923076924</v>
      </c>
      <c r="AN17" s="395">
        <f>'Scénario 1'!D$25</f>
        <v>-16728.024760770848</v>
      </c>
      <c r="AO17" s="395">
        <f>'Scénario 1'!E$25</f>
        <v>-37460.238859854901</v>
      </c>
      <c r="AP17" s="395">
        <f>'Scénario 1'!F$25</f>
        <v>-29226.507530881718</v>
      </c>
      <c r="AQ17" s="395">
        <f>'VAN d''exploitation '!K268</f>
        <v>-20311.26885446973</v>
      </c>
      <c r="AR17" s="395">
        <f>'VAN d''exploitation '!L268</f>
        <v>52386.402924221737</v>
      </c>
      <c r="AS17" s="395">
        <f>'VAN d''exploitation '!M268</f>
        <v>48273.216881976019</v>
      </c>
      <c r="AT17" s="395">
        <f>'VAN d''exploitation '!N268</f>
        <v>44482.893273236565</v>
      </c>
      <c r="AU17" s="395">
        <f>'VAN d''exploitation '!O268</f>
        <v>40990.097070628093</v>
      </c>
      <c r="AV17" s="395">
        <f>'VAN d''exploitation '!P268</f>
        <v>37771.480592237211</v>
      </c>
      <c r="AW17" s="395">
        <f>'VAN d''exploitation '!Q268</f>
        <v>34805.527670287585</v>
      </c>
      <c r="AX17" s="395">
        <f>'VAN d''exploitation '!R268</f>
        <v>32072.410033434549</v>
      </c>
      <c r="AY17" s="395">
        <f>'VAN d''exploitation '!S268</f>
        <v>29553.854945885694</v>
      </c>
      <c r="AZ17" s="395">
        <f>'VAN d''exploitation '!T268</f>
        <v>27233.02322146533</v>
      </c>
      <c r="BA17" s="395">
        <f>'VAN d''exploitation '!U268</f>
        <v>25094.39679979123</v>
      </c>
      <c r="BB17" s="395">
        <f>'VAN d''exploitation '!V268</f>
        <v>31367.856866185622</v>
      </c>
      <c r="BC17" s="396">
        <f t="shared" si="17"/>
        <v>2.1599999999999998E-2</v>
      </c>
      <c r="BD17" s="397">
        <f t="shared" si="18"/>
        <v>295652.8125810647</v>
      </c>
      <c r="BE17" s="398">
        <f t="shared" si="19"/>
        <v>293443.59438535396</v>
      </c>
      <c r="BF17" s="399">
        <f t="shared" si="20"/>
        <v>-2209.2181957107387</v>
      </c>
    </row>
    <row r="18" spans="1:58" s="324" customFormat="1" ht="30.75" customHeight="1">
      <c r="A18" s="368">
        <v>12</v>
      </c>
      <c r="B18" s="369">
        <v>1112221</v>
      </c>
      <c r="C18" s="327" t="str">
        <f t="shared" si="1"/>
        <v>2221</v>
      </c>
      <c r="D18" s="327" t="str">
        <f t="shared" si="2"/>
        <v>2</v>
      </c>
      <c r="E18" s="327">
        <v>2</v>
      </c>
      <c r="F18" s="359">
        <f t="shared" si="3"/>
        <v>0.3</v>
      </c>
      <c r="G18" s="327">
        <f t="shared" si="4"/>
        <v>2</v>
      </c>
      <c r="H18" s="327">
        <v>2</v>
      </c>
      <c r="I18" s="359">
        <f t="shared" si="5"/>
        <v>0.6</v>
      </c>
      <c r="J18" s="327">
        <f t="shared" si="6"/>
        <v>2</v>
      </c>
      <c r="K18" s="327">
        <v>2</v>
      </c>
      <c r="L18" s="359">
        <f t="shared" si="7"/>
        <v>0.6</v>
      </c>
      <c r="M18" s="327" t="str">
        <f t="shared" si="8"/>
        <v>1</v>
      </c>
      <c r="N18" s="360">
        <v>1</v>
      </c>
      <c r="O18" s="359">
        <f t="shared" si="9"/>
        <v>0.7</v>
      </c>
      <c r="P18" s="370">
        <f t="shared" si="10"/>
        <v>7.5600000000000001E-2</v>
      </c>
      <c r="Q18" s="371">
        <f>'VAN d''exploitation '!W293</f>
        <v>198398.68711216521</v>
      </c>
      <c r="R18" s="372">
        <f>'Scénario 1'!$C$27</f>
        <v>-90276.297039525976</v>
      </c>
      <c r="S18" s="372">
        <f t="shared" si="11"/>
        <v>108122.39007263923</v>
      </c>
      <c r="T18" s="372">
        <f t="shared" si="12"/>
        <v>8174.0526894915256</v>
      </c>
      <c r="U18" s="373">
        <f t="shared" si="13"/>
        <v>0.11908448897403878</v>
      </c>
      <c r="V18" s="374">
        <f t="shared" si="14"/>
        <v>9.0027873664373318E-3</v>
      </c>
      <c r="W18" s="375">
        <f>1+(S18/-'Scénario 1'!$S$23)</f>
        <v>2.0044815131237392</v>
      </c>
      <c r="X18" s="376">
        <f t="shared" si="15"/>
        <v>0.1515388023921547</v>
      </c>
      <c r="Y18" s="393">
        <f t="shared" si="0"/>
        <v>175335345.53768173</v>
      </c>
      <c r="Z18" s="962">
        <f t="shared" si="16"/>
        <v>144.8951016554864</v>
      </c>
      <c r="AA18" s="963"/>
      <c r="AB18" s="327"/>
      <c r="AC18" s="327"/>
      <c r="AD18" s="966"/>
      <c r="AE18" s="968"/>
      <c r="AF18" s="409">
        <v>3</v>
      </c>
      <c r="AG18" s="410">
        <v>0.1</v>
      </c>
      <c r="AH18" s="415">
        <v>0.1</v>
      </c>
      <c r="AI18" s="327"/>
      <c r="AL18" s="328">
        <v>12</v>
      </c>
      <c r="AM18" s="395">
        <f>'Scénario 1'!C$25</f>
        <v>-4652.3076923076924</v>
      </c>
      <c r="AN18" s="395">
        <f>'Scénario 1'!D$25</f>
        <v>-16728.024760770848</v>
      </c>
      <c r="AO18" s="395">
        <f>'Scénario 1'!E$25</f>
        <v>-37460.238859854901</v>
      </c>
      <c r="AP18" s="395">
        <f>'Scénario 1'!F$25</f>
        <v>-29226.507530881718</v>
      </c>
      <c r="AQ18" s="395">
        <f>'VAN d''exploitation '!K293</f>
        <v>-10256.185263148082</v>
      </c>
      <c r="AR18" s="395">
        <f>'VAN d''exploitation '!L293</f>
        <v>25835.984641840398</v>
      </c>
      <c r="AS18" s="395">
        <f>'VAN d''exploitation '!M293</f>
        <v>24057.630048630948</v>
      </c>
      <c r="AT18" s="395">
        <f>'VAN d''exploitation '!N293</f>
        <v>22401.317994009449</v>
      </c>
      <c r="AU18" s="395">
        <f>'VAN d''exploitation '!O293</f>
        <v>20858.705597002547</v>
      </c>
      <c r="AV18" s="395">
        <f>'VAN d''exploitation '!P293</f>
        <v>19422.017406604809</v>
      </c>
      <c r="AW18" s="395">
        <f>'VAN d''exploitation '!Q293</f>
        <v>18084.007067379393</v>
      </c>
      <c r="AX18" s="395">
        <f>'VAN d''exploitation '!R293</f>
        <v>16837.921551618674</v>
      </c>
      <c r="AY18" s="395">
        <f>'VAN d''exploitation '!S293</f>
        <v>15677.467788330394</v>
      </c>
      <c r="AZ18" s="395">
        <f>'VAN d''exploitation '!T293</f>
        <v>14596.781530347862</v>
      </c>
      <c r="BA18" s="395">
        <f>'VAN d''exploitation '!U293</f>
        <v>13590.39831119687</v>
      </c>
      <c r="BB18" s="395">
        <f>'VAN d''exploitation '!V293</f>
        <v>17292.64043835194</v>
      </c>
      <c r="BC18" s="396">
        <f t="shared" si="17"/>
        <v>7.5600000000000001E-2</v>
      </c>
      <c r="BD18" s="397">
        <f t="shared" si="18"/>
        <v>110331.60826835004</v>
      </c>
      <c r="BE18" s="398">
        <f t="shared" si="19"/>
        <v>108122.39007263923</v>
      </c>
      <c r="BF18" s="399">
        <f t="shared" si="20"/>
        <v>-2209.2181957108114</v>
      </c>
    </row>
    <row r="19" spans="1:58" s="324" customFormat="1" ht="30.75" customHeight="1">
      <c r="A19" s="368">
        <v>13</v>
      </c>
      <c r="B19" s="369">
        <v>1112222</v>
      </c>
      <c r="C19" s="327" t="str">
        <f t="shared" si="1"/>
        <v>2222</v>
      </c>
      <c r="D19" s="327" t="str">
        <f t="shared" si="2"/>
        <v>2</v>
      </c>
      <c r="E19" s="327">
        <v>2</v>
      </c>
      <c r="F19" s="359">
        <f t="shared" si="3"/>
        <v>0.3</v>
      </c>
      <c r="G19" s="327">
        <f t="shared" si="4"/>
        <v>2</v>
      </c>
      <c r="H19" s="327">
        <v>2</v>
      </c>
      <c r="I19" s="359">
        <f t="shared" si="5"/>
        <v>0.6</v>
      </c>
      <c r="J19" s="327">
        <f t="shared" si="6"/>
        <v>2</v>
      </c>
      <c r="K19" s="327">
        <v>2</v>
      </c>
      <c r="L19" s="359">
        <f t="shared" si="7"/>
        <v>0.6</v>
      </c>
      <c r="M19" s="327" t="str">
        <f t="shared" si="8"/>
        <v>2</v>
      </c>
      <c r="N19" s="360">
        <v>2</v>
      </c>
      <c r="O19" s="359">
        <f t="shared" si="9"/>
        <v>0.3</v>
      </c>
      <c r="P19" s="370">
        <f t="shared" si="10"/>
        <v>3.2399999999999998E-2</v>
      </c>
      <c r="Q19" s="371">
        <f>'VAN d''exploitation '!W317</f>
        <v>188033.40212714166</v>
      </c>
      <c r="R19" s="372">
        <f>'Scénario 1'!$C$27</f>
        <v>-90276.297039525976</v>
      </c>
      <c r="S19" s="372">
        <f t="shared" si="11"/>
        <v>97757.105087615681</v>
      </c>
      <c r="T19" s="372">
        <f t="shared" si="12"/>
        <v>3167.3302048387477</v>
      </c>
      <c r="U19" s="373">
        <f t="shared" si="13"/>
        <v>0.11189839985342687</v>
      </c>
      <c r="V19" s="374">
        <f t="shared" si="14"/>
        <v>3.6255081552510303E-3</v>
      </c>
      <c r="W19" s="375">
        <f>1+(S19/-'Scénario 1'!$S$23)</f>
        <v>1.9081856659942003</v>
      </c>
      <c r="X19" s="376">
        <f t="shared" si="15"/>
        <v>6.1825215578212085E-2</v>
      </c>
      <c r="Y19" s="393">
        <f t="shared" si="0"/>
        <v>110971455.71577565</v>
      </c>
      <c r="Z19" s="962">
        <f t="shared" si="16"/>
        <v>144.43057869881412</v>
      </c>
      <c r="AA19" s="963"/>
      <c r="AB19" s="327"/>
      <c r="AC19" s="327"/>
      <c r="AD19" s="327"/>
      <c r="AE19" s="418" t="s">
        <v>405</v>
      </c>
      <c r="AF19" s="419">
        <v>1</v>
      </c>
      <c r="AG19" s="420">
        <v>1</v>
      </c>
      <c r="AH19" s="421">
        <v>3000</v>
      </c>
      <c r="AI19" s="327"/>
      <c r="AL19" s="328">
        <v>13</v>
      </c>
      <c r="AM19" s="395">
        <f>'Scénario 1'!C$25</f>
        <v>-4652.3076923076924</v>
      </c>
      <c r="AN19" s="395">
        <f>'Scénario 1'!D$25</f>
        <v>-16728.024760770848</v>
      </c>
      <c r="AO19" s="395">
        <f>'Scénario 1'!E$25</f>
        <v>-37460.238859854901</v>
      </c>
      <c r="AP19" s="395">
        <f>'Scénario 1'!F$25</f>
        <v>-29226.507530881718</v>
      </c>
      <c r="AQ19" s="395">
        <f>'VAN d''exploitation '!K317</f>
        <v>-10155.634427234865</v>
      </c>
      <c r="AR19" s="395">
        <f>'VAN d''exploitation '!L317</f>
        <v>25664.970668508173</v>
      </c>
      <c r="AS19" s="395">
        <f>'VAN d''exploitation '!M317</f>
        <v>23654.767946287688</v>
      </c>
      <c r="AT19" s="395">
        <f>'VAN d''exploitation '!N317</f>
        <v>21801.922350747744</v>
      </c>
      <c r="AU19" s="395">
        <f>'VAN d''exploitation '!O317</f>
        <v>20094.124163048175</v>
      </c>
      <c r="AV19" s="395">
        <f>'VAN d''exploitation '!P317</f>
        <v>18520.02591481106</v>
      </c>
      <c r="AW19" s="395">
        <f>'VAN d''exploitation '!Q317</f>
        <v>17069.167232025669</v>
      </c>
      <c r="AX19" s="395">
        <f>'VAN d''exploitation '!R317</f>
        <v>15731.905543412273</v>
      </c>
      <c r="AY19" s="395">
        <f>'VAN d''exploitation '!S317</f>
        <v>14499.352196131913</v>
      </c>
      <c r="AZ19" s="395">
        <f>'VAN d''exploitation '!T317</f>
        <v>13363.313557315589</v>
      </c>
      <c r="BA19" s="395">
        <f>'VAN d''exploitation '!U317</f>
        <v>12316.236712706652</v>
      </c>
      <c r="BB19" s="395">
        <f>'VAN d''exploitation '!V317</f>
        <v>15473.250269381566</v>
      </c>
      <c r="BC19" s="396">
        <f t="shared" si="17"/>
        <v>3.2399999999999998E-2</v>
      </c>
      <c r="BD19" s="397">
        <f t="shared" si="18"/>
        <v>99966.323283326463</v>
      </c>
      <c r="BE19" s="398">
        <f t="shared" si="19"/>
        <v>97757.105087615681</v>
      </c>
      <c r="BF19" s="399">
        <f t="shared" si="20"/>
        <v>-2209.2181957107823</v>
      </c>
    </row>
    <row r="20" spans="1:58" s="324" customFormat="1" ht="30.75" customHeight="1">
      <c r="A20" s="368">
        <v>14</v>
      </c>
      <c r="B20" s="369">
        <v>1112311</v>
      </c>
      <c r="C20" s="327" t="str">
        <f t="shared" si="1"/>
        <v>2311</v>
      </c>
      <c r="D20" s="327" t="str">
        <f t="shared" si="2"/>
        <v>2</v>
      </c>
      <c r="E20" s="327">
        <v>2</v>
      </c>
      <c r="F20" s="359">
        <f t="shared" si="3"/>
        <v>0.3</v>
      </c>
      <c r="G20" s="327">
        <f t="shared" si="4"/>
        <v>3</v>
      </c>
      <c r="H20" s="327">
        <v>3</v>
      </c>
      <c r="I20" s="359">
        <f t="shared" si="5"/>
        <v>0.3</v>
      </c>
      <c r="J20" s="327">
        <f t="shared" si="6"/>
        <v>1</v>
      </c>
      <c r="K20" s="327">
        <v>1</v>
      </c>
      <c r="L20" s="359">
        <f t="shared" si="7"/>
        <v>0.4</v>
      </c>
      <c r="M20" s="327" t="str">
        <f t="shared" si="8"/>
        <v>1</v>
      </c>
      <c r="N20" s="360">
        <v>1</v>
      </c>
      <c r="O20" s="359">
        <f t="shared" si="9"/>
        <v>0.7</v>
      </c>
      <c r="P20" s="370">
        <f t="shared" si="10"/>
        <v>2.5199999999999997E-2</v>
      </c>
      <c r="Q20" s="371">
        <f>'VAN d''exploitation '!W341</f>
        <v>242106.63923275104</v>
      </c>
      <c r="R20" s="372">
        <f>'Scénario 1'!$C$27</f>
        <v>-90276.297039525976</v>
      </c>
      <c r="S20" s="372">
        <f t="shared" si="11"/>
        <v>151830.34219322505</v>
      </c>
      <c r="T20" s="372">
        <f t="shared" si="12"/>
        <v>3826.1246232692706</v>
      </c>
      <c r="U20" s="373">
        <f t="shared" si="13"/>
        <v>0.15291410555059692</v>
      </c>
      <c r="V20" s="374">
        <f t="shared" si="14"/>
        <v>3.8534354598750418E-3</v>
      </c>
      <c r="W20" s="375">
        <f>1+(S20/-'Scénario 1'!$S$23)</f>
        <v>2.4105382961094861</v>
      </c>
      <c r="X20" s="376">
        <f t="shared" si="15"/>
        <v>6.0745565061959043E-2</v>
      </c>
      <c r="Y20" s="393">
        <f t="shared" si="0"/>
        <v>499167.96388959914</v>
      </c>
      <c r="Z20" s="962">
        <f t="shared" si="16"/>
        <v>143.86560787594291</v>
      </c>
      <c r="AA20" s="963"/>
      <c r="AB20" s="327"/>
      <c r="AC20" s="327"/>
      <c r="AD20" s="327"/>
      <c r="AE20" s="327"/>
      <c r="AF20" s="327"/>
      <c r="AG20" s="327"/>
      <c r="AH20" s="327"/>
      <c r="AI20" s="327"/>
      <c r="AL20" s="328">
        <v>14</v>
      </c>
      <c r="AM20" s="395">
        <f>'Scénario 1'!C$25</f>
        <v>-4652.3076923076924</v>
      </c>
      <c r="AN20" s="395">
        <f>'Scénario 1'!D$25</f>
        <v>-16728.024760770848</v>
      </c>
      <c r="AO20" s="395">
        <f>'Scénario 1'!E$25</f>
        <v>-37460.238859854901</v>
      </c>
      <c r="AP20" s="395">
        <f>'Scénario 1'!F$25</f>
        <v>-29226.507530881718</v>
      </c>
      <c r="AQ20" s="395">
        <f>'VAN d''exploitation '!K341</f>
        <v>-12431.739712906765</v>
      </c>
      <c r="AR20" s="395">
        <f>'VAN d''exploitation '!L341</f>
        <v>31540.44293285011</v>
      </c>
      <c r="AS20" s="395">
        <f>'VAN d''exploitation '!M341</f>
        <v>29365.180874880072</v>
      </c>
      <c r="AT20" s="395">
        <f>'VAN d''exploitation '!N341</f>
        <v>27339.577568562592</v>
      </c>
      <c r="AU20" s="395">
        <f>'VAN d''exploitation '!O341</f>
        <v>25453.368639146185</v>
      </c>
      <c r="AV20" s="395">
        <f>'VAN d''exploitation '!P341</f>
        <v>23696.990836439338</v>
      </c>
      <c r="AW20" s="395">
        <f>'VAN d''exploitation '!Q341</f>
        <v>22061.534398146345</v>
      </c>
      <c r="AX20" s="395">
        <f>'VAN d''exploitation '!R341</f>
        <v>20538.698627000522</v>
      </c>
      <c r="AY20" s="395">
        <f>'VAN d''exploitation '!S341</f>
        <v>19120.750466926322</v>
      </c>
      <c r="AZ20" s="395">
        <f>'VAN d''exploitation '!T341</f>
        <v>17800.485877628897</v>
      </c>
      <c r="BA20" s="395">
        <f>'VAN d''exploitation '!U341</f>
        <v>16571.193820258188</v>
      </c>
      <c r="BB20" s="395">
        <f>'VAN d''exploitation '!V341</f>
        <v>21050.154903819242</v>
      </c>
      <c r="BC20" s="396">
        <f t="shared" si="17"/>
        <v>2.5199999999999997E-2</v>
      </c>
      <c r="BD20" s="397">
        <f t="shared" si="18"/>
        <v>154039.56038893588</v>
      </c>
      <c r="BE20" s="398">
        <f t="shared" si="19"/>
        <v>151830.34219322505</v>
      </c>
      <c r="BF20" s="399">
        <f t="shared" si="20"/>
        <v>-2209.218195710826</v>
      </c>
    </row>
    <row r="21" spans="1:58" s="324" customFormat="1" ht="30.75" customHeight="1" thickBot="1">
      <c r="A21" s="368">
        <v>15</v>
      </c>
      <c r="B21" s="369">
        <v>1112312</v>
      </c>
      <c r="C21" s="327" t="str">
        <f t="shared" si="1"/>
        <v>2312</v>
      </c>
      <c r="D21" s="327" t="str">
        <f t="shared" si="2"/>
        <v>2</v>
      </c>
      <c r="E21" s="327">
        <v>2</v>
      </c>
      <c r="F21" s="359">
        <f t="shared" si="3"/>
        <v>0.3</v>
      </c>
      <c r="G21" s="327">
        <f t="shared" si="4"/>
        <v>3</v>
      </c>
      <c r="H21" s="327">
        <v>3</v>
      </c>
      <c r="I21" s="359">
        <f t="shared" si="5"/>
        <v>0.3</v>
      </c>
      <c r="J21" s="327">
        <f t="shared" si="6"/>
        <v>1</v>
      </c>
      <c r="K21" s="327">
        <v>1</v>
      </c>
      <c r="L21" s="359">
        <f t="shared" si="7"/>
        <v>0.4</v>
      </c>
      <c r="M21" s="327" t="str">
        <f t="shared" si="8"/>
        <v>2</v>
      </c>
      <c r="N21" s="360">
        <v>2</v>
      </c>
      <c r="O21" s="359">
        <f t="shared" si="9"/>
        <v>0.3</v>
      </c>
      <c r="P21" s="370">
        <f t="shared" si="10"/>
        <v>1.0799999999999999E-2</v>
      </c>
      <c r="Q21" s="371">
        <f>'VAN d''exploitation '!W365</f>
        <v>239658.01446409081</v>
      </c>
      <c r="R21" s="372">
        <f>'Scénario 1'!$C$27</f>
        <v>-90276.297039525976</v>
      </c>
      <c r="S21" s="372">
        <f t="shared" si="11"/>
        <v>149381.71742456482</v>
      </c>
      <c r="T21" s="372">
        <f t="shared" si="12"/>
        <v>1613.3225481852999</v>
      </c>
      <c r="U21" s="373">
        <f t="shared" si="13"/>
        <v>0.15113780099700302</v>
      </c>
      <c r="V21" s="374">
        <f t="shared" si="14"/>
        <v>1.6322882507676325E-3</v>
      </c>
      <c r="W21" s="375">
        <f>1+(S21/-'Scénario 1'!$S$23)</f>
        <v>2.3877900169506212</v>
      </c>
      <c r="X21" s="376">
        <f t="shared" si="15"/>
        <v>2.5788132183066706E-2</v>
      </c>
      <c r="Y21" s="393">
        <f t="shared" si="0"/>
        <v>514079.36660847929</v>
      </c>
      <c r="Z21" s="962">
        <f t="shared" si="16"/>
        <v>143.91333503530015</v>
      </c>
      <c r="AA21" s="963"/>
      <c r="AB21" s="327"/>
      <c r="AC21" s="327"/>
      <c r="AD21" s="327"/>
      <c r="AE21" s="327"/>
      <c r="AF21" s="327"/>
      <c r="AG21" s="327"/>
      <c r="AH21" s="327"/>
      <c r="AI21" s="327"/>
      <c r="AL21" s="328">
        <v>15</v>
      </c>
      <c r="AM21" s="395">
        <f>'Scénario 1'!C$25</f>
        <v>-4652.3076923076924</v>
      </c>
      <c r="AN21" s="395">
        <f>'Scénario 1'!D$25</f>
        <v>-16728.024760770848</v>
      </c>
      <c r="AO21" s="395">
        <f>'Scénario 1'!E$25</f>
        <v>-37460.238859854901</v>
      </c>
      <c r="AP21" s="395">
        <f>'Scénario 1'!F$25</f>
        <v>-29226.507530881718</v>
      </c>
      <c r="AQ21" s="395">
        <f>'VAN d''exploitation '!K365</f>
        <v>-12309.859911799835</v>
      </c>
      <c r="AR21" s="395">
        <f>'VAN d''exploitation '!L365</f>
        <v>31220.865437555443</v>
      </c>
      <c r="AS21" s="395">
        <f>'VAN d''exploitation '!M365</f>
        <v>29067.839091896931</v>
      </c>
      <c r="AT21" s="395">
        <f>'VAN d''exploitation '!N365</f>
        <v>27062.924371108638</v>
      </c>
      <c r="AU21" s="395">
        <f>'VAN d''exploitation '!O365</f>
        <v>25195.964547149339</v>
      </c>
      <c r="AV21" s="395">
        <f>'VAN d''exploitation '!P365</f>
        <v>23457.496526644685</v>
      </c>
      <c r="AW21" s="395">
        <f>'VAN d''exploitation '!Q365</f>
        <v>21838.703735358278</v>
      </c>
      <c r="AX21" s="395">
        <f>'VAN d''exploitation '!R365</f>
        <v>20331.372180200415</v>
      </c>
      <c r="AY21" s="395">
        <f>'VAN d''exploitation '!S365</f>
        <v>18927.849476528798</v>
      </c>
      <c r="AZ21" s="395">
        <f>'VAN d''exploitation '!T365</f>
        <v>17621.0066424871</v>
      </c>
      <c r="BA21" s="395">
        <f>'VAN d''exploitation '!U365</f>
        <v>16404.202475212736</v>
      </c>
      <c r="BB21" s="395">
        <f>'VAN d''exploitation '!V365</f>
        <v>20839.649891748253</v>
      </c>
      <c r="BC21" s="396">
        <f t="shared" si="17"/>
        <v>1.0799999999999999E-2</v>
      </c>
      <c r="BD21" s="397">
        <f t="shared" si="18"/>
        <v>151590.93562027562</v>
      </c>
      <c r="BE21" s="398">
        <f t="shared" si="19"/>
        <v>149381.71742456482</v>
      </c>
      <c r="BF21" s="399">
        <f t="shared" si="20"/>
        <v>-2209.2181957107969</v>
      </c>
    </row>
    <row r="22" spans="1:58" s="324" customFormat="1" ht="30.75" customHeight="1">
      <c r="A22" s="368">
        <v>16</v>
      </c>
      <c r="B22" s="369">
        <v>1111112</v>
      </c>
      <c r="C22" s="327" t="str">
        <f t="shared" si="1"/>
        <v>1112</v>
      </c>
      <c r="D22" s="327" t="str">
        <f t="shared" si="2"/>
        <v>1</v>
      </c>
      <c r="E22" s="327">
        <v>1</v>
      </c>
      <c r="F22" s="359">
        <f t="shared" si="3"/>
        <v>0.6</v>
      </c>
      <c r="G22" s="327">
        <f t="shared" si="4"/>
        <v>1</v>
      </c>
      <c r="H22" s="327">
        <v>1</v>
      </c>
      <c r="I22" s="359">
        <f t="shared" si="5"/>
        <v>0.1</v>
      </c>
      <c r="J22" s="327">
        <f t="shared" si="6"/>
        <v>1</v>
      </c>
      <c r="K22" s="327">
        <v>1</v>
      </c>
      <c r="L22" s="359">
        <f t="shared" si="7"/>
        <v>0.4</v>
      </c>
      <c r="M22" s="327" t="str">
        <f t="shared" si="8"/>
        <v>2</v>
      </c>
      <c r="N22" s="360">
        <v>2</v>
      </c>
      <c r="O22" s="359">
        <f t="shared" si="9"/>
        <v>0.3</v>
      </c>
      <c r="P22" s="370">
        <f t="shared" si="10"/>
        <v>7.1999999999999998E-3</v>
      </c>
      <c r="Q22" s="371">
        <f>'VAN d''exploitation '!W388</f>
        <v>547746.37494385464</v>
      </c>
      <c r="R22" s="372">
        <f>'Scénario 1'!$C$27</f>
        <v>-90276.297039525976</v>
      </c>
      <c r="S22" s="372">
        <f t="shared" si="11"/>
        <v>457470.07790432865</v>
      </c>
      <c r="T22" s="372">
        <f t="shared" si="12"/>
        <v>3293.784560911166</v>
      </c>
      <c r="U22" s="373">
        <f t="shared" si="13"/>
        <v>0.31681761708215772</v>
      </c>
      <c r="V22" s="374">
        <f t="shared" si="14"/>
        <v>2.2810868429915354E-3</v>
      </c>
      <c r="W22" s="375">
        <f>1+(S22/-'Scénario 1'!$S$23)</f>
        <v>5.2500007237488742</v>
      </c>
      <c r="X22" s="376">
        <f t="shared" si="15"/>
        <v>3.7800005210991895E-2</v>
      </c>
      <c r="Y22" s="393">
        <f t="shared" si="0"/>
        <v>653147046.55489445</v>
      </c>
      <c r="Z22" s="962">
        <f t="shared" si="16"/>
        <v>149.89363462770046</v>
      </c>
      <c r="AA22" s="963"/>
      <c r="AB22" s="327"/>
      <c r="AC22" s="327"/>
      <c r="AD22" s="327"/>
      <c r="AE22" s="970" t="s">
        <v>445</v>
      </c>
      <c r="AF22" s="971"/>
      <c r="AG22" s="327"/>
      <c r="AH22" s="327"/>
      <c r="AI22" s="327"/>
      <c r="AL22" s="328">
        <v>16</v>
      </c>
      <c r="AM22" s="395">
        <f>'Scénario 1'!C$25</f>
        <v>-4652.3076923076924</v>
      </c>
      <c r="AN22" s="395">
        <f>'Scénario 1'!D$25</f>
        <v>-16728.024760770848</v>
      </c>
      <c r="AO22" s="395">
        <f>'Scénario 1'!E$25</f>
        <v>-37460.238859854901</v>
      </c>
      <c r="AP22" s="395">
        <f>'Scénario 1'!F$25</f>
        <v>-29226.507530881718</v>
      </c>
      <c r="AQ22" s="395">
        <f>'VAN d''exploitation '!K388</f>
        <v>-30774.649779499585</v>
      </c>
      <c r="AR22" s="395">
        <f>'VAN d''exploitation '!L388</f>
        <v>74938.119936959134</v>
      </c>
      <c r="AS22" s="395">
        <f>'VAN d''exploitation '!M388</f>
        <v>69050.108194433982</v>
      </c>
      <c r="AT22" s="395">
        <f>'VAN d''exploitation '!N388</f>
        <v>63624.638106495833</v>
      </c>
      <c r="AU22" s="395">
        <f>'VAN d''exploitation '!O388</f>
        <v>58625.381856562759</v>
      </c>
      <c r="AV22" s="395">
        <f>'VAN d''exploitation '!P388</f>
        <v>54018.864108741036</v>
      </c>
      <c r="AW22" s="395">
        <f>'VAN d''exploitation '!Q388</f>
        <v>49774.238090144252</v>
      </c>
      <c r="AX22" s="395">
        <f>'VAN d''exploitation '!R388</f>
        <v>45863.079245244968</v>
      </c>
      <c r="AY22" s="395">
        <f>'VAN d''exploitation '!S388</f>
        <v>42259.195083756917</v>
      </c>
      <c r="AZ22" s="395">
        <f>'VAN d''exploitation '!T388</f>
        <v>38938.449951645714</v>
      </c>
      <c r="BA22" s="395">
        <f>'VAN d''exploitation '!U388</f>
        <v>35878.603554493566</v>
      </c>
      <c r="BB22" s="395">
        <f>'VAN d''exploitation '!V388</f>
        <v>45550.346594876079</v>
      </c>
      <c r="BC22" s="396">
        <f t="shared" si="17"/>
        <v>7.1999999999999998E-3</v>
      </c>
      <c r="BD22" s="397">
        <f t="shared" si="18"/>
        <v>459679.2961000395</v>
      </c>
      <c r="BE22" s="398">
        <f t="shared" si="19"/>
        <v>457470.07790432865</v>
      </c>
      <c r="BF22" s="399">
        <f t="shared" si="20"/>
        <v>-2209.2181957108551</v>
      </c>
    </row>
    <row r="23" spans="1:58" s="324" customFormat="1" ht="30.75" customHeight="1" thickBot="1">
      <c r="A23" s="368">
        <v>17</v>
      </c>
      <c r="B23" s="369">
        <v>1111121</v>
      </c>
      <c r="C23" s="327" t="str">
        <f t="shared" si="1"/>
        <v>1121</v>
      </c>
      <c r="D23" s="327" t="str">
        <f t="shared" si="2"/>
        <v>1</v>
      </c>
      <c r="E23" s="327">
        <v>1</v>
      </c>
      <c r="F23" s="359">
        <f t="shared" si="3"/>
        <v>0.6</v>
      </c>
      <c r="G23" s="327">
        <f t="shared" si="4"/>
        <v>1</v>
      </c>
      <c r="H23" s="327">
        <v>1</v>
      </c>
      <c r="I23" s="359">
        <f t="shared" si="5"/>
        <v>0.1</v>
      </c>
      <c r="J23" s="327">
        <f t="shared" si="6"/>
        <v>2</v>
      </c>
      <c r="K23" s="327">
        <v>2</v>
      </c>
      <c r="L23" s="359">
        <f t="shared" si="7"/>
        <v>0.6</v>
      </c>
      <c r="M23" s="327" t="str">
        <f t="shared" si="8"/>
        <v>1</v>
      </c>
      <c r="N23" s="360">
        <v>1</v>
      </c>
      <c r="O23" s="359">
        <f t="shared" si="9"/>
        <v>0.7</v>
      </c>
      <c r="P23" s="370">
        <f t="shared" si="10"/>
        <v>2.5199999999999997E-2</v>
      </c>
      <c r="Q23" s="371">
        <f>'VAN d''exploitation '!W412</f>
        <v>284756.07458367106</v>
      </c>
      <c r="R23" s="372">
        <f>'Scénario 1'!$C$27</f>
        <v>-90276.297039525976</v>
      </c>
      <c r="S23" s="372">
        <f t="shared" si="11"/>
        <v>194479.77754414506</v>
      </c>
      <c r="T23" s="372">
        <f t="shared" si="12"/>
        <v>4900.8903941124554</v>
      </c>
      <c r="U23" s="373">
        <f t="shared" si="13"/>
        <v>0.18102970344770908</v>
      </c>
      <c r="V23" s="374">
        <f t="shared" si="14"/>
        <v>4.5619485268822684E-3</v>
      </c>
      <c r="W23" s="375">
        <f>1+(S23/-'Scénario 1'!$S$23)</f>
        <v>2.8067612183588362</v>
      </c>
      <c r="X23" s="376">
        <f t="shared" si="15"/>
        <v>7.0730382702642661E-2</v>
      </c>
      <c r="Y23" s="393">
        <f t="shared" si="0"/>
        <v>36770516.610613786</v>
      </c>
      <c r="Z23" s="962">
        <f t="shared" si="16"/>
        <v>152.57395893797354</v>
      </c>
      <c r="AA23" s="963"/>
      <c r="AB23" s="327"/>
      <c r="AC23" s="327"/>
      <c r="AD23" s="327"/>
      <c r="AE23" s="972"/>
      <c r="AF23" s="973"/>
      <c r="AG23" s="327"/>
      <c r="AH23" s="327"/>
      <c r="AI23" s="327"/>
      <c r="AL23" s="328">
        <v>17</v>
      </c>
      <c r="AM23" s="395">
        <f>'Scénario 1'!C$25</f>
        <v>-4652.3076923076924</v>
      </c>
      <c r="AN23" s="395">
        <f>'Scénario 1'!D$25</f>
        <v>-16728.024760770848</v>
      </c>
      <c r="AO23" s="395">
        <f>'Scénario 1'!E$25</f>
        <v>-37460.238859854901</v>
      </c>
      <c r="AP23" s="395">
        <f>'Scénario 1'!F$25</f>
        <v>-29226.507530881718</v>
      </c>
      <c r="AQ23" s="395">
        <f>'VAN d''exploitation '!K412</f>
        <v>-15539.674641133455</v>
      </c>
      <c r="AR23" s="395">
        <f>'VAN d''exploitation '!L412</f>
        <v>37175.290485315141</v>
      </c>
      <c r="AS23" s="395">
        <f>'VAN d''exploitation '!M412</f>
        <v>34607.964371081245</v>
      </c>
      <c r="AT23" s="395">
        <f>'VAN d''exploitation '!N412</f>
        <v>32217.576224624703</v>
      </c>
      <c r="AU23" s="395">
        <f>'VAN d''exploitation '!O412</f>
        <v>29991.963625146502</v>
      </c>
      <c r="AV23" s="395">
        <f>'VAN d''exploitation '!P412</f>
        <v>27919.797339542416</v>
      </c>
      <c r="AW23" s="395">
        <f>'VAN d''exploitation '!Q412</f>
        <v>25990.524496988459</v>
      </c>
      <c r="AX23" s="395">
        <f>'VAN d''exploitation '!R412</f>
        <v>24194.31561666264</v>
      </c>
      <c r="AY23" s="395">
        <f>'VAN d''exploitation '!S412</f>
        <v>22522.015229350814</v>
      </c>
      <c r="AZ23" s="395">
        <f>'VAN d''exploitation '!T412</f>
        <v>20965.095850945534</v>
      </c>
      <c r="BA23" s="395">
        <f>'VAN d''exploitation '!U412</f>
        <v>19515.615081976259</v>
      </c>
      <c r="BB23" s="395">
        <f>'VAN d''exploitation '!V412</f>
        <v>25195.590903170818</v>
      </c>
      <c r="BC23" s="396">
        <f t="shared" si="17"/>
        <v>2.5199999999999997E-2</v>
      </c>
      <c r="BD23" s="397">
        <f t="shared" si="18"/>
        <v>196688.99573985589</v>
      </c>
      <c r="BE23" s="398">
        <f t="shared" si="19"/>
        <v>194479.77754414506</v>
      </c>
      <c r="BF23" s="399">
        <f t="shared" si="20"/>
        <v>-2209.218195710826</v>
      </c>
    </row>
    <row r="24" spans="1:58" s="324" customFormat="1" ht="30.75" customHeight="1">
      <c r="A24" s="368">
        <v>18</v>
      </c>
      <c r="B24" s="369">
        <v>1111122</v>
      </c>
      <c r="C24" s="327" t="str">
        <f t="shared" si="1"/>
        <v>1122</v>
      </c>
      <c r="D24" s="327" t="str">
        <f t="shared" si="2"/>
        <v>1</v>
      </c>
      <c r="E24" s="327">
        <v>1</v>
      </c>
      <c r="F24" s="359">
        <f t="shared" si="3"/>
        <v>0.6</v>
      </c>
      <c r="G24" s="327">
        <f t="shared" si="4"/>
        <v>1</v>
      </c>
      <c r="H24" s="327">
        <v>1</v>
      </c>
      <c r="I24" s="359">
        <f t="shared" si="5"/>
        <v>0.1</v>
      </c>
      <c r="J24" s="327">
        <f t="shared" si="6"/>
        <v>2</v>
      </c>
      <c r="K24" s="327">
        <v>2</v>
      </c>
      <c r="L24" s="359">
        <f t="shared" si="7"/>
        <v>0.6</v>
      </c>
      <c r="M24" s="327" t="str">
        <f t="shared" si="8"/>
        <v>2</v>
      </c>
      <c r="N24" s="360">
        <v>2</v>
      </c>
      <c r="O24" s="359">
        <f t="shared" si="9"/>
        <v>0.3</v>
      </c>
      <c r="P24" s="370">
        <f t="shared" si="10"/>
        <v>1.0799999999999999E-2</v>
      </c>
      <c r="Q24" s="371">
        <f>'VAN d''exploitation '!W436</f>
        <v>270046.64388662903</v>
      </c>
      <c r="R24" s="372">
        <f>'Scénario 1'!$C$27</f>
        <v>-90276.297039525976</v>
      </c>
      <c r="S24" s="372">
        <f t="shared" si="11"/>
        <v>179770.34684710304</v>
      </c>
      <c r="T24" s="372">
        <f t="shared" si="12"/>
        <v>1941.5197459487126</v>
      </c>
      <c r="U24" s="373">
        <f t="shared" si="13"/>
        <v>0.17394591934888592</v>
      </c>
      <c r="V24" s="374">
        <f t="shared" si="14"/>
        <v>1.8786159289679678E-3</v>
      </c>
      <c r="W24" s="375">
        <f>1+(S24/-'Scénario 1'!$S$23)</f>
        <v>2.6701072728270447</v>
      </c>
      <c r="X24" s="376">
        <f t="shared" si="15"/>
        <v>2.8837158546532082E-2</v>
      </c>
      <c r="Y24" s="393">
        <f t="shared" si="0"/>
        <v>5958899.520757433</v>
      </c>
      <c r="Z24" s="962">
        <f t="shared" si="16"/>
        <v>152.037020018444</v>
      </c>
      <c r="AA24" s="963"/>
      <c r="AB24" s="327"/>
      <c r="AC24" s="327"/>
      <c r="AD24" s="327"/>
      <c r="AE24" s="332" t="s">
        <v>437</v>
      </c>
      <c r="AF24" s="400">
        <f>SUM(T7:T42)</f>
        <v>156280.98849857235</v>
      </c>
      <c r="AG24" s="327"/>
      <c r="AH24" s="327"/>
      <c r="AI24" s="327"/>
      <c r="AL24" s="328">
        <v>18</v>
      </c>
      <c r="AM24" s="395">
        <f>'Scénario 1'!C$25</f>
        <v>-4652.3076923076924</v>
      </c>
      <c r="AN24" s="395">
        <f>'Scénario 1'!D$25</f>
        <v>-16728.024760770848</v>
      </c>
      <c r="AO24" s="395">
        <f>'Scénario 1'!E$25</f>
        <v>-37460.238859854901</v>
      </c>
      <c r="AP24" s="395">
        <f>'Scénario 1'!F$25</f>
        <v>-29226.507530881718</v>
      </c>
      <c r="AQ24" s="395">
        <f>'VAN d''exploitation '!K436</f>
        <v>-15387.324889749792</v>
      </c>
      <c r="AR24" s="395">
        <f>'VAN d''exploitation '!L436</f>
        <v>36940.829174876868</v>
      </c>
      <c r="AS24" s="395">
        <f>'VAN d''exploitation '!M436</f>
        <v>34043.213602516669</v>
      </c>
      <c r="AT24" s="395">
        <f>'VAN d''exploitation '!N436</f>
        <v>31372.794767377382</v>
      </c>
      <c r="AU24" s="395">
        <f>'VAN d''exploitation '!O436</f>
        <v>28911.766556015507</v>
      </c>
      <c r="AV24" s="395">
        <f>'VAN d''exploitation '!P436</f>
        <v>26643.71767306298</v>
      </c>
      <c r="AW24" s="395">
        <f>'VAN d''exploitation '!Q436</f>
        <v>24553.522441954003</v>
      </c>
      <c r="AX24" s="395">
        <f>'VAN d''exploitation '!R436</f>
        <v>22627.240149317488</v>
      </c>
      <c r="AY24" s="395">
        <f>'VAN d''exploitation '!S436</f>
        <v>20852.022265067524</v>
      </c>
      <c r="AZ24" s="395">
        <f>'VAN d''exploitation '!T436</f>
        <v>19216.026922405781</v>
      </c>
      <c r="BA24" s="395">
        <f>'VAN d''exploitation '!U436</f>
        <v>17708.34009005782</v>
      </c>
      <c r="BB24" s="395">
        <f>'VAN d''exploitation '!V436</f>
        <v>22564.495133726796</v>
      </c>
      <c r="BC24" s="396">
        <f t="shared" si="17"/>
        <v>1.0799999999999999E-2</v>
      </c>
      <c r="BD24" s="397">
        <f t="shared" si="18"/>
        <v>181979.56504281386</v>
      </c>
      <c r="BE24" s="398">
        <f t="shared" si="19"/>
        <v>179770.34684710304</v>
      </c>
      <c r="BF24" s="399">
        <f t="shared" si="20"/>
        <v>-2209.218195710826</v>
      </c>
    </row>
    <row r="25" spans="1:58" s="324" customFormat="1" ht="30.75" customHeight="1">
      <c r="A25" s="368">
        <v>19</v>
      </c>
      <c r="B25" s="369">
        <v>1111211</v>
      </c>
      <c r="C25" s="327" t="str">
        <f t="shared" si="1"/>
        <v>1211</v>
      </c>
      <c r="D25" s="327" t="str">
        <f t="shared" si="2"/>
        <v>1</v>
      </c>
      <c r="E25" s="327">
        <v>1</v>
      </c>
      <c r="F25" s="359">
        <f t="shared" si="3"/>
        <v>0.6</v>
      </c>
      <c r="G25" s="327">
        <f t="shared" si="4"/>
        <v>2</v>
      </c>
      <c r="H25" s="327">
        <v>2</v>
      </c>
      <c r="I25" s="359">
        <f t="shared" si="5"/>
        <v>0.6</v>
      </c>
      <c r="J25" s="327">
        <f t="shared" si="6"/>
        <v>1</v>
      </c>
      <c r="K25" s="327">
        <v>1</v>
      </c>
      <c r="L25" s="359">
        <f t="shared" si="7"/>
        <v>0.4</v>
      </c>
      <c r="M25" s="327" t="str">
        <f t="shared" si="8"/>
        <v>1</v>
      </c>
      <c r="N25" s="360">
        <v>1</v>
      </c>
      <c r="O25" s="359">
        <f t="shared" si="9"/>
        <v>0.7</v>
      </c>
      <c r="P25" s="370">
        <f t="shared" si="10"/>
        <v>0.10079999999999999</v>
      </c>
      <c r="Q25" s="371">
        <f>'VAN d''exploitation '!W460</f>
        <v>378327.6282637734</v>
      </c>
      <c r="R25" s="372">
        <f>'Scénario 1'!$C$27</f>
        <v>-90276.297039525976</v>
      </c>
      <c r="S25" s="372">
        <f t="shared" si="11"/>
        <v>288051.33122424741</v>
      </c>
      <c r="T25" s="372">
        <f t="shared" si="12"/>
        <v>29035.574187404134</v>
      </c>
      <c r="U25" s="373">
        <f t="shared" si="13"/>
        <v>0.23502649889680338</v>
      </c>
      <c r="V25" s="374">
        <f t="shared" si="14"/>
        <v>2.3690671088797778E-2</v>
      </c>
      <c r="W25" s="375">
        <f>1+(S25/-'Scénario 1'!$S$23)</f>
        <v>3.6760621629900361</v>
      </c>
      <c r="X25" s="376">
        <f t="shared" si="15"/>
        <v>0.37054706602939558</v>
      </c>
      <c r="Y25" s="393">
        <f t="shared" si="0"/>
        <v>1750233060.7818198</v>
      </c>
      <c r="Z25" s="962">
        <f t="shared" si="16"/>
        <v>151.53001477505197</v>
      </c>
      <c r="AA25" s="963"/>
      <c r="AB25" s="327"/>
      <c r="AC25" s="327"/>
      <c r="AD25" s="327"/>
      <c r="AE25" s="333" t="s">
        <v>458</v>
      </c>
      <c r="AF25" s="401">
        <f>AVERAGE(S7:S42)</f>
        <v>214111.18841025792</v>
      </c>
      <c r="AG25" s="327"/>
      <c r="AH25" s="327"/>
      <c r="AI25" s="327"/>
      <c r="AL25" s="328">
        <v>19</v>
      </c>
      <c r="AM25" s="395">
        <f>'Scénario 1'!C$25</f>
        <v>-4652.3076923076924</v>
      </c>
      <c r="AN25" s="395">
        <f>'Scénario 1'!D$25</f>
        <v>-16728.024760770848</v>
      </c>
      <c r="AO25" s="395">
        <f>'Scénario 1'!E$25</f>
        <v>-37460.238859854901</v>
      </c>
      <c r="AP25" s="395">
        <f>'Scénario 1'!F$25</f>
        <v>-29226.507530881718</v>
      </c>
      <c r="AQ25" s="395">
        <f>'VAN d''exploitation '!K460</f>
        <v>-20512.40643730899</v>
      </c>
      <c r="AR25" s="395">
        <f>'VAN d''exploitation '!L460</f>
        <v>49409.54015435397</v>
      </c>
      <c r="AS25" s="395">
        <f>'VAN d''exploitation '!M460</f>
        <v>45990.97207559512</v>
      </c>
      <c r="AT25" s="395">
        <f>'VAN d''exploitation '!N460</f>
        <v>42808.570218424895</v>
      </c>
      <c r="AU25" s="395">
        <f>'VAN d''exploitation '!O460</f>
        <v>39846.051138398412</v>
      </c>
      <c r="AV25" s="395">
        <f>'VAN d''exploitation '!P460</f>
        <v>37088.251314374647</v>
      </c>
      <c r="AW25" s="395">
        <f>'VAN d''exploitation '!Q460</f>
        <v>34521.050372380792</v>
      </c>
      <c r="AX25" s="395">
        <f>'VAN d''exploitation '!R460</f>
        <v>32131.299550762546</v>
      </c>
      <c r="AY25" s="395">
        <f>'VAN d''exploitation '!S460</f>
        <v>29906.755050781063</v>
      </c>
      <c r="AZ25" s="395">
        <f>'VAN d''exploitation '!T460</f>
        <v>27836.01594080064</v>
      </c>
      <c r="BA25" s="395">
        <f>'VAN d''exploitation '!U460</f>
        <v>25908.466304591973</v>
      </c>
      <c r="BB25" s="395">
        <f>'VAN d''exploitation '!V460</f>
        <v>33393.062580618287</v>
      </c>
      <c r="BC25" s="396">
        <f t="shared" si="17"/>
        <v>0.10079999999999999</v>
      </c>
      <c r="BD25" s="397">
        <f t="shared" si="18"/>
        <v>290260.5494199582</v>
      </c>
      <c r="BE25" s="398">
        <f t="shared" si="19"/>
        <v>288051.33122424741</v>
      </c>
      <c r="BF25" s="399">
        <f t="shared" si="20"/>
        <v>-2209.2181957107969</v>
      </c>
    </row>
    <row r="26" spans="1:58" s="324" customFormat="1" ht="30.75" customHeight="1">
      <c r="A26" s="368">
        <v>20</v>
      </c>
      <c r="B26" s="369">
        <v>1111212</v>
      </c>
      <c r="C26" s="327" t="str">
        <f t="shared" si="1"/>
        <v>1212</v>
      </c>
      <c r="D26" s="327" t="str">
        <f t="shared" si="2"/>
        <v>1</v>
      </c>
      <c r="E26" s="327">
        <v>1</v>
      </c>
      <c r="F26" s="359">
        <f t="shared" si="3"/>
        <v>0.6</v>
      </c>
      <c r="G26" s="327">
        <f t="shared" si="4"/>
        <v>2</v>
      </c>
      <c r="H26" s="327">
        <v>2</v>
      </c>
      <c r="I26" s="359">
        <f t="shared" si="5"/>
        <v>0.6</v>
      </c>
      <c r="J26" s="327">
        <f t="shared" si="6"/>
        <v>1</v>
      </c>
      <c r="K26" s="327">
        <v>1</v>
      </c>
      <c r="L26" s="359">
        <f t="shared" si="7"/>
        <v>0.4</v>
      </c>
      <c r="M26" s="327" t="str">
        <f t="shared" si="8"/>
        <v>2</v>
      </c>
      <c r="N26" s="360">
        <v>2</v>
      </c>
      <c r="O26" s="359">
        <f t="shared" si="9"/>
        <v>0.3</v>
      </c>
      <c r="P26" s="370">
        <f t="shared" si="10"/>
        <v>4.3199999999999995E-2</v>
      </c>
      <c r="Q26" s="371">
        <f>'VAN d''exploitation '!W484</f>
        <v>297062.15262903419</v>
      </c>
      <c r="R26" s="372">
        <f>'Scénario 1'!$C$27</f>
        <v>-90276.297039525976</v>
      </c>
      <c r="S26" s="372">
        <f t="shared" si="11"/>
        <v>206785.8555895082</v>
      </c>
      <c r="T26" s="372">
        <f t="shared" si="12"/>
        <v>8933.1489614667535</v>
      </c>
      <c r="U26" s="373">
        <f t="shared" si="13"/>
        <v>0.19060818023508896</v>
      </c>
      <c r="V26" s="374">
        <f t="shared" si="14"/>
        <v>8.234273386155842E-3</v>
      </c>
      <c r="W26" s="375">
        <f>1+(S26/-'Scénario 1'!$S$23)</f>
        <v>2.9210874729608718</v>
      </c>
      <c r="X26" s="376">
        <f t="shared" si="15"/>
        <v>0.12619097883190966</v>
      </c>
      <c r="Y26" s="393">
        <f t="shared" si="0"/>
        <v>110192037.11451769</v>
      </c>
      <c r="Z26" s="962">
        <f t="shared" si="16"/>
        <v>150.99020033566163</v>
      </c>
      <c r="AA26" s="963"/>
      <c r="AB26" s="327"/>
      <c r="AC26" s="327"/>
      <c r="AD26" s="327"/>
      <c r="AE26" s="333" t="s">
        <v>441</v>
      </c>
      <c r="AF26" s="401">
        <f>SUM(Y7:Y42)</f>
        <v>13672185531.224257</v>
      </c>
      <c r="AG26" s="327"/>
      <c r="AH26" s="327"/>
      <c r="AI26" s="327"/>
      <c r="AL26" s="328">
        <v>20</v>
      </c>
      <c r="AM26" s="395">
        <f>'Scénario 1'!C$25</f>
        <v>-4652.3076923076924</v>
      </c>
      <c r="AN26" s="395">
        <f>'Scénario 1'!D$25</f>
        <v>-16728.024760770848</v>
      </c>
      <c r="AO26" s="395">
        <f>'Scénario 1'!E$25</f>
        <v>-37460.238859854901</v>
      </c>
      <c r="AP26" s="395">
        <f>'Scénario 1'!F$25</f>
        <v>-29226.507530881718</v>
      </c>
      <c r="AQ26" s="395">
        <f>'VAN d''exploitation '!K484</f>
        <v>-20311.26885446973</v>
      </c>
      <c r="AR26" s="395">
        <f>'VAN d''exploitation '!L484</f>
        <v>49099.962218743196</v>
      </c>
      <c r="AS26" s="395">
        <f>'VAN d''exploitation '!M484</f>
        <v>28833.116460135367</v>
      </c>
      <c r="AT26" s="395">
        <f>'VAN d''exploitation '!N484</f>
        <v>41325.918213745179</v>
      </c>
      <c r="AU26" s="395">
        <f>'VAN d''exploitation '!O484</f>
        <v>24819.790612823763</v>
      </c>
      <c r="AV26" s="395">
        <f>'VAN d''exploitation '!P484</f>
        <v>34794.934209823376</v>
      </c>
      <c r="AW26" s="395">
        <f>'VAN d''exploitation '!Q484</f>
        <v>21347.191890292968</v>
      </c>
      <c r="AX26" s="395">
        <f>'VAN d''exploitation '!R484</f>
        <v>29306.008666482256</v>
      </c>
      <c r="AY26" s="395">
        <f>'VAN d''exploitation '!S484</f>
        <v>18346.185117429595</v>
      </c>
      <c r="AZ26" s="395">
        <f>'VAN d''exploitation '!T484</f>
        <v>24691.048448838701</v>
      </c>
      <c r="BA26" s="395">
        <f>'VAN d''exploitation '!U484</f>
        <v>15755.675969831947</v>
      </c>
      <c r="BB26" s="395">
        <f>'VAN d''exploitation '!V484</f>
        <v>29053.58967535754</v>
      </c>
      <c r="BC26" s="396">
        <f t="shared" si="17"/>
        <v>4.3199999999999995E-2</v>
      </c>
      <c r="BD26" s="397">
        <f t="shared" si="18"/>
        <v>208995.07378521896</v>
      </c>
      <c r="BE26" s="398">
        <f t="shared" si="19"/>
        <v>206785.8555895082</v>
      </c>
      <c r="BF26" s="399">
        <f t="shared" si="20"/>
        <v>-2209.2181957107678</v>
      </c>
    </row>
    <row r="27" spans="1:58" s="324" customFormat="1" ht="30.75" customHeight="1" thickBot="1">
      <c r="A27" s="368">
        <v>21</v>
      </c>
      <c r="B27" s="369">
        <v>1111221</v>
      </c>
      <c r="C27" s="327" t="str">
        <f t="shared" si="1"/>
        <v>1221</v>
      </c>
      <c r="D27" s="327" t="str">
        <f t="shared" si="2"/>
        <v>1</v>
      </c>
      <c r="E27" s="327">
        <v>1</v>
      </c>
      <c r="F27" s="359">
        <f t="shared" si="3"/>
        <v>0.6</v>
      </c>
      <c r="G27" s="327">
        <f t="shared" si="4"/>
        <v>2</v>
      </c>
      <c r="H27" s="327">
        <v>2</v>
      </c>
      <c r="I27" s="359">
        <f t="shared" si="5"/>
        <v>0.6</v>
      </c>
      <c r="J27" s="327">
        <f t="shared" si="6"/>
        <v>2</v>
      </c>
      <c r="K27" s="327">
        <v>2</v>
      </c>
      <c r="L27" s="359">
        <f t="shared" si="7"/>
        <v>0.6</v>
      </c>
      <c r="M27" s="327" t="str">
        <f t="shared" si="8"/>
        <v>1</v>
      </c>
      <c r="N27" s="360">
        <v>1</v>
      </c>
      <c r="O27" s="359">
        <f t="shared" si="9"/>
        <v>0.7</v>
      </c>
      <c r="P27" s="370">
        <f t="shared" si="10"/>
        <v>0.1512</v>
      </c>
      <c r="Q27" s="371">
        <f>'VAN d''exploitation '!W508</f>
        <v>185336.95958722007</v>
      </c>
      <c r="R27" s="372">
        <f>'Scénario 1'!$C$27</f>
        <v>-90276.297039525976</v>
      </c>
      <c r="S27" s="372">
        <f t="shared" si="11"/>
        <v>95060.662547694097</v>
      </c>
      <c r="T27" s="372">
        <f t="shared" si="12"/>
        <v>14373.172177211347</v>
      </c>
      <c r="U27" s="373">
        <f t="shared" si="13"/>
        <v>0.10746531733806375</v>
      </c>
      <c r="V27" s="374">
        <f t="shared" si="14"/>
        <v>1.6248755981515237E-2</v>
      </c>
      <c r="W27" s="375">
        <f>1+(S27/-'Scénario 1'!$S$23)</f>
        <v>1.8831351035646053</v>
      </c>
      <c r="X27" s="376">
        <f t="shared" si="15"/>
        <v>0.28473002765896832</v>
      </c>
      <c r="Y27" s="393">
        <f t="shared" si="0"/>
        <v>566686760.40120471</v>
      </c>
      <c r="Z27" s="962">
        <f t="shared" si="16"/>
        <v>154.8407928863185</v>
      </c>
      <c r="AA27" s="963"/>
      <c r="AB27" s="327"/>
      <c r="AC27" s="327"/>
      <c r="AD27" s="327"/>
      <c r="AE27" s="334" t="s">
        <v>440</v>
      </c>
      <c r="AF27" s="402">
        <f>SQRT(AF26)</f>
        <v>116928.121216516</v>
      </c>
      <c r="AG27" s="327"/>
      <c r="AH27" s="327"/>
      <c r="AI27" s="327"/>
      <c r="AL27" s="328">
        <v>21</v>
      </c>
      <c r="AM27" s="395">
        <f>'Scénario 1'!C$25</f>
        <v>-4652.3076923076924</v>
      </c>
      <c r="AN27" s="395">
        <f>'Scénario 1'!D$25</f>
        <v>-16728.024760770848</v>
      </c>
      <c r="AO27" s="395">
        <f>'Scénario 1'!E$25</f>
        <v>-37460.238859854901</v>
      </c>
      <c r="AP27" s="395">
        <f>'Scénario 1'!F$25</f>
        <v>-29226.507530881718</v>
      </c>
      <c r="AQ27" s="395">
        <f>'VAN d''exploitation '!K508</f>
        <v>-10256.185263148082</v>
      </c>
      <c r="AR27" s="395">
        <f>'VAN d''exploitation '!L508</f>
        <v>24176.494780658159</v>
      </c>
      <c r="AS27" s="395">
        <f>'VAN d''exploitation '!M508</f>
        <v>22513.604948517401</v>
      </c>
      <c r="AT27" s="395">
        <f>'VAN d''exploitation '!N508</f>
        <v>20964.723793860347</v>
      </c>
      <c r="AU27" s="395">
        <f>'VAN d''exploitation '!O508</f>
        <v>19522.0674194559</v>
      </c>
      <c r="AV27" s="395">
        <f>'VAN d''exploitation '!P508</f>
        <v>18178.380464808866</v>
      </c>
      <c r="AW27" s="395">
        <f>'VAN d''exploitation '!Q508</f>
        <v>16926.900477892061</v>
      </c>
      <c r="AX27" s="395">
        <f>'VAN d''exploitation '!R508</f>
        <v>15761.324665149938</v>
      </c>
      <c r="AY27" s="395">
        <f>'VAN d''exploitation '!S508</f>
        <v>14675.778863140104</v>
      </c>
      <c r="AZ27" s="395">
        <f>'VAN d''exploitation '!T508</f>
        <v>13664.788585300441</v>
      </c>
      <c r="BA27" s="395">
        <f>'VAN d''exploitation '!U508</f>
        <v>12723.252006815839</v>
      </c>
      <c r="BB27" s="395">
        <f>'VAN d''exploitation '!V508</f>
        <v>16485.828844769097</v>
      </c>
      <c r="BC27" s="396">
        <f t="shared" si="17"/>
        <v>0.1512</v>
      </c>
      <c r="BD27" s="397">
        <f t="shared" si="18"/>
        <v>97269.880743404909</v>
      </c>
      <c r="BE27" s="398">
        <f t="shared" si="19"/>
        <v>95060.662547694097</v>
      </c>
      <c r="BF27" s="399">
        <f t="shared" si="20"/>
        <v>-2209.2181957108114</v>
      </c>
    </row>
    <row r="28" spans="1:58" s="324" customFormat="1" ht="30.75" customHeight="1">
      <c r="A28" s="368">
        <v>22</v>
      </c>
      <c r="B28" s="369">
        <v>1111222</v>
      </c>
      <c r="C28" s="327" t="str">
        <f t="shared" si="1"/>
        <v>1222</v>
      </c>
      <c r="D28" s="327" t="str">
        <f t="shared" si="2"/>
        <v>1</v>
      </c>
      <c r="E28" s="327">
        <v>1</v>
      </c>
      <c r="F28" s="359">
        <f t="shared" si="3"/>
        <v>0.6</v>
      </c>
      <c r="G28" s="327">
        <f t="shared" si="4"/>
        <v>2</v>
      </c>
      <c r="H28" s="327">
        <v>2</v>
      </c>
      <c r="I28" s="359">
        <f t="shared" si="5"/>
        <v>0.6</v>
      </c>
      <c r="J28" s="327">
        <f t="shared" si="6"/>
        <v>2</v>
      </c>
      <c r="K28" s="327">
        <v>2</v>
      </c>
      <c r="L28" s="359">
        <f t="shared" si="7"/>
        <v>0.6</v>
      </c>
      <c r="M28" s="327" t="str">
        <f t="shared" si="8"/>
        <v>2</v>
      </c>
      <c r="N28" s="360">
        <v>2</v>
      </c>
      <c r="O28" s="359">
        <f t="shared" si="9"/>
        <v>0.3</v>
      </c>
      <c r="P28" s="370">
        <f t="shared" si="10"/>
        <v>6.4799999999999996E-2</v>
      </c>
      <c r="Q28" s="371">
        <f>'VAN d''exploitation '!W532</f>
        <v>175628.73532717227</v>
      </c>
      <c r="R28" s="372">
        <f>'Scénario 1'!$C$27</f>
        <v>-90276.297039525976</v>
      </c>
      <c r="S28" s="372">
        <f t="shared" si="11"/>
        <v>85352.438287646291</v>
      </c>
      <c r="T28" s="372">
        <f t="shared" si="12"/>
        <v>5530.8380010394794</v>
      </c>
      <c r="U28" s="373">
        <f t="shared" si="13"/>
        <v>0.10030196079702569</v>
      </c>
      <c r="V28" s="374">
        <f t="shared" si="14"/>
        <v>6.4995670596472641E-3</v>
      </c>
      <c r="W28" s="375">
        <f>1+(S28/-'Scénario 1'!$S$23)</f>
        <v>1.7929434995136224</v>
      </c>
      <c r="X28" s="376">
        <f t="shared" si="15"/>
        <v>0.11618273876848273</v>
      </c>
      <c r="Y28" s="393">
        <f t="shared" si="0"/>
        <v>325999678.42954606</v>
      </c>
      <c r="Z28" s="962">
        <f t="shared" si="16"/>
        <v>154.31042772546928</v>
      </c>
      <c r="AA28" s="963"/>
      <c r="AB28" s="327"/>
      <c r="AC28" s="327"/>
      <c r="AD28" s="327"/>
      <c r="AE28" s="332" t="s">
        <v>459</v>
      </c>
      <c r="AF28" s="400">
        <f>AF25+AF27</f>
        <v>331039.30962677393</v>
      </c>
      <c r="AG28" s="327"/>
      <c r="AH28" s="327"/>
      <c r="AI28" s="327"/>
      <c r="AL28" s="328">
        <v>22</v>
      </c>
      <c r="AM28" s="395">
        <f>'Scénario 1'!C$25</f>
        <v>-4652.3076923076924</v>
      </c>
      <c r="AN28" s="395">
        <f>'Scénario 1'!D$25</f>
        <v>-16728.024760770848</v>
      </c>
      <c r="AO28" s="395">
        <f>'Scénario 1'!E$25</f>
        <v>-37460.238859854901</v>
      </c>
      <c r="AP28" s="395">
        <f>'Scénario 1'!F$25</f>
        <v>-29226.507530881718</v>
      </c>
      <c r="AQ28" s="395">
        <f>'VAN d''exploitation '!K532</f>
        <v>-10155.634427234865</v>
      </c>
      <c r="AR28" s="395">
        <f>'VAN d''exploitation '!L532</f>
        <v>24021.750315768899</v>
      </c>
      <c r="AS28" s="395">
        <f>'VAN d''exploitation '!M532</f>
        <v>22140.869441264782</v>
      </c>
      <c r="AT28" s="395">
        <f>'VAN d''exploitation '!N532</f>
        <v>20407.168032077108</v>
      </c>
      <c r="AU28" s="395">
        <f>'VAN d''exploitation '!O532</f>
        <v>18809.137353829447</v>
      </c>
      <c r="AV28" s="395">
        <f>'VAN d''exploitation '!P532</f>
        <v>17336.167884932427</v>
      </c>
      <c r="AW28" s="395">
        <f>'VAN d''exploitation '!Q532</f>
        <v>15978.479121569319</v>
      </c>
      <c r="AX28" s="395">
        <f>'VAN d''exploitation '!R532</f>
        <v>14727.054856702138</v>
      </c>
      <c r="AY28" s="395">
        <f>'VAN d''exploitation '!S532</f>
        <v>13573.583506713132</v>
      </c>
      <c r="AZ28" s="395">
        <f>'VAN d''exploitation '!T532</f>
        <v>12510.403092464205</v>
      </c>
      <c r="BA28" s="395">
        <f>'VAN d''exploitation '!U532</f>
        <v>11530.450512149668</v>
      </c>
      <c r="BB28" s="395">
        <f>'VAN d''exploitation '!V532</f>
        <v>14749.305636936033</v>
      </c>
      <c r="BC28" s="396">
        <f t="shared" si="17"/>
        <v>6.4799999999999996E-2</v>
      </c>
      <c r="BD28" s="397">
        <f t="shared" si="18"/>
        <v>87561.656483357117</v>
      </c>
      <c r="BE28" s="398">
        <f t="shared" si="19"/>
        <v>85352.438287646291</v>
      </c>
      <c r="BF28" s="399">
        <f t="shared" si="20"/>
        <v>-2209.218195710826</v>
      </c>
    </row>
    <row r="29" spans="1:58" s="324" customFormat="1" ht="30.75" customHeight="1">
      <c r="A29" s="368">
        <v>23</v>
      </c>
      <c r="B29" s="369">
        <v>1112321</v>
      </c>
      <c r="C29" s="327" t="str">
        <f t="shared" si="1"/>
        <v>2321</v>
      </c>
      <c r="D29" s="327" t="str">
        <f t="shared" si="2"/>
        <v>2</v>
      </c>
      <c r="E29" s="327">
        <v>2</v>
      </c>
      <c r="F29" s="359">
        <f t="shared" si="3"/>
        <v>0.3</v>
      </c>
      <c r="G29" s="327">
        <f t="shared" si="4"/>
        <v>3</v>
      </c>
      <c r="H29" s="327">
        <v>3</v>
      </c>
      <c r="I29" s="359">
        <f t="shared" si="5"/>
        <v>0.3</v>
      </c>
      <c r="J29" s="327">
        <f t="shared" si="6"/>
        <v>2</v>
      </c>
      <c r="K29" s="327">
        <v>2</v>
      </c>
      <c r="L29" s="359">
        <f t="shared" si="7"/>
        <v>0.6</v>
      </c>
      <c r="M29" s="327" t="str">
        <f t="shared" si="8"/>
        <v>1</v>
      </c>
      <c r="N29" s="360">
        <v>1</v>
      </c>
      <c r="O29" s="359">
        <f t="shared" si="9"/>
        <v>0.7</v>
      </c>
      <c r="P29" s="370">
        <f t="shared" si="10"/>
        <v>3.78E-2</v>
      </c>
      <c r="Q29" s="371">
        <f>'VAN d''exploitation '!W557</f>
        <v>117226.7760310772</v>
      </c>
      <c r="R29" s="372">
        <f>'Scénario 1'!$C$27</f>
        <v>-90276.297039525976</v>
      </c>
      <c r="S29" s="372">
        <f t="shared" si="11"/>
        <v>26950.478991551223</v>
      </c>
      <c r="T29" s="372">
        <f t="shared" si="12"/>
        <v>1018.7281058806362</v>
      </c>
      <c r="U29" s="373">
        <f t="shared" si="13"/>
        <v>3.8748231233882713E-2</v>
      </c>
      <c r="V29" s="374">
        <f t="shared" si="14"/>
        <v>1.4646831406407667E-3</v>
      </c>
      <c r="W29" s="375">
        <f>1+(S29/-'Scénario 1'!$S$23)</f>
        <v>1.2503760590073507</v>
      </c>
      <c r="X29" s="376">
        <f t="shared" si="15"/>
        <v>4.7264215030477855E-2</v>
      </c>
      <c r="Y29" s="393">
        <f t="shared" si="0"/>
        <v>632257190.05726683</v>
      </c>
      <c r="Z29" s="962">
        <f t="shared" si="16"/>
        <v>148.85145558125268</v>
      </c>
      <c r="AA29" s="963"/>
      <c r="AB29" s="327"/>
      <c r="AC29" s="327"/>
      <c r="AD29" s="327"/>
      <c r="AE29" s="333" t="s">
        <v>460</v>
      </c>
      <c r="AF29" s="401">
        <f>AF25-AF27</f>
        <v>97183.067193741925</v>
      </c>
      <c r="AG29" s="327"/>
      <c r="AH29" s="327"/>
      <c r="AI29" s="327"/>
      <c r="AL29" s="328">
        <v>23</v>
      </c>
      <c r="AM29" s="395">
        <f>'Scénario 1'!C$25</f>
        <v>-4652.3076923076924</v>
      </c>
      <c r="AN29" s="395">
        <f>'Scénario 1'!D$25</f>
        <v>-16728.024760770848</v>
      </c>
      <c r="AO29" s="395">
        <f>'Scénario 1'!E$25</f>
        <v>-37460.238859854901</v>
      </c>
      <c r="AP29" s="395">
        <f>'Scénario 1'!F$25</f>
        <v>-29226.507530881718</v>
      </c>
      <c r="AQ29" s="395">
        <f>'VAN d''exploitation '!K557</f>
        <v>-6215.8698564533825</v>
      </c>
      <c r="AR29" s="395">
        <f>'VAN d''exploitation '!L557</f>
        <v>15241.990672822356</v>
      </c>
      <c r="AS29" s="395">
        <f>'VAN d''exploitation '!M557</f>
        <v>14200.749942739714</v>
      </c>
      <c r="AT29" s="395">
        <f>'VAN d''exploitation '!N557</f>
        <v>13230.264498410761</v>
      </c>
      <c r="AU29" s="395">
        <f>'VAN d''exploitation '!O557</f>
        <v>12325.759947307221</v>
      </c>
      <c r="AV29" s="395">
        <f>'VAN d''exploitation '!P557</f>
        <v>11482.781036912127</v>
      </c>
      <c r="AW29" s="395">
        <f>'VAN d''exploitation '!Q557</f>
        <v>10697.170595955049</v>
      </c>
      <c r="AX29" s="395">
        <f>'VAN d''exploitation '!R557</f>
        <v>9965.0498401952591</v>
      </c>
      <c r="AY29" s="395">
        <f>'VAN d''exploitation '!S557</f>
        <v>9282.7999566522249</v>
      </c>
      <c r="AZ29" s="395">
        <f>'VAN d''exploitation '!T557</f>
        <v>8647.0448853973721</v>
      </c>
      <c r="BA29" s="395">
        <f>'VAN d''exploitation '!U557</f>
        <v>8054.6352229401318</v>
      </c>
      <c r="BB29" s="395">
        <f>'VAN d''exploitation '!V557</f>
        <v>10314.399288198376</v>
      </c>
      <c r="BC29" s="396">
        <f t="shared" si="17"/>
        <v>3.78E-2</v>
      </c>
      <c r="BD29" s="397">
        <f t="shared" si="18"/>
        <v>29159.697187262042</v>
      </c>
      <c r="BE29" s="398">
        <f t="shared" si="19"/>
        <v>26950.478991551223</v>
      </c>
      <c r="BF29" s="399">
        <f t="shared" si="20"/>
        <v>-2209.2181957108187</v>
      </c>
    </row>
    <row r="30" spans="1:58" s="324" customFormat="1" ht="30.75" customHeight="1" thickBot="1">
      <c r="A30" s="368">
        <v>24</v>
      </c>
      <c r="B30" s="369">
        <v>1112322</v>
      </c>
      <c r="C30" s="327" t="str">
        <f t="shared" si="1"/>
        <v>2322</v>
      </c>
      <c r="D30" s="327" t="str">
        <f t="shared" si="2"/>
        <v>2</v>
      </c>
      <c r="E30" s="360">
        <v>2</v>
      </c>
      <c r="F30" s="359">
        <f t="shared" si="3"/>
        <v>0.3</v>
      </c>
      <c r="G30" s="327">
        <f t="shared" si="4"/>
        <v>3</v>
      </c>
      <c r="H30" s="327">
        <v>3</v>
      </c>
      <c r="I30" s="359">
        <f t="shared" si="5"/>
        <v>0.3</v>
      </c>
      <c r="J30" s="327">
        <f t="shared" si="6"/>
        <v>2</v>
      </c>
      <c r="K30" s="327">
        <v>2</v>
      </c>
      <c r="L30" s="359">
        <f t="shared" si="7"/>
        <v>0.6</v>
      </c>
      <c r="M30" s="327" t="str">
        <f t="shared" si="8"/>
        <v>2</v>
      </c>
      <c r="N30" s="360">
        <v>2</v>
      </c>
      <c r="O30" s="359">
        <f t="shared" si="9"/>
        <v>0.3</v>
      </c>
      <c r="P30" s="370">
        <f t="shared" si="10"/>
        <v>1.6199999999999999E-2</v>
      </c>
      <c r="Q30" s="371">
        <f>'VAN d''exploitation '!W582</f>
        <v>110944.7851310629</v>
      </c>
      <c r="R30" s="372">
        <f>'Scénario 1'!$C$27</f>
        <v>-90276.297039525976</v>
      </c>
      <c r="S30" s="372">
        <f t="shared" si="11"/>
        <v>20668.488091536929</v>
      </c>
      <c r="T30" s="372">
        <f t="shared" si="12"/>
        <v>334.8295070828982</v>
      </c>
      <c r="U30" s="373">
        <f t="shared" si="13"/>
        <v>3.1466110734338804E-2</v>
      </c>
      <c r="V30" s="374">
        <f t="shared" si="14"/>
        <v>5.0975099389628862E-4</v>
      </c>
      <c r="W30" s="375">
        <f>1+(S30/-'Scénario 1'!$S$23)</f>
        <v>1.1920149395349027</v>
      </c>
      <c r="X30" s="376">
        <f t="shared" si="15"/>
        <v>1.9310642020465424E-2</v>
      </c>
      <c r="Y30" s="393">
        <f t="shared" si="0"/>
        <v>297930154.31970048</v>
      </c>
      <c r="Z30" s="962">
        <f t="shared" si="16"/>
        <v>148.40124922323085</v>
      </c>
      <c r="AA30" s="963"/>
      <c r="AB30" s="327"/>
      <c r="AC30" s="327"/>
      <c r="AD30" s="327"/>
      <c r="AE30" s="334" t="s">
        <v>469</v>
      </c>
      <c r="AF30" s="403">
        <f>AF27/AF24</f>
        <v>0.74819158964805343</v>
      </c>
      <c r="AG30" s="327"/>
      <c r="AH30" s="327"/>
      <c r="AI30" s="327"/>
      <c r="AL30" s="328">
        <v>24</v>
      </c>
      <c r="AM30" s="395">
        <f>'Scénario 1'!C$25</f>
        <v>-4652.3076923076924</v>
      </c>
      <c r="AN30" s="395">
        <f>'Scénario 1'!D$25</f>
        <v>-16728.024760770848</v>
      </c>
      <c r="AO30" s="395">
        <f>'Scénario 1'!E$25</f>
        <v>-37460.238859854901</v>
      </c>
      <c r="AP30" s="395">
        <f>'Scénario 1'!F$25</f>
        <v>-29226.507530881718</v>
      </c>
      <c r="AQ30" s="395">
        <f>'VAN d''exploitation '!K582</f>
        <v>-6154.9299558999173</v>
      </c>
      <c r="AR30" s="395">
        <f>'VAN d''exploitation '!L582</f>
        <v>15138.345840499793</v>
      </c>
      <c r="AS30" s="395">
        <f>'VAN d''exploitation '!M582</f>
        <v>13956.591092834709</v>
      </c>
      <c r="AT30" s="395">
        <f>'VAN d''exploitation '!N582</f>
        <v>12866.99441158548</v>
      </c>
      <c r="AU30" s="395">
        <f>'VAN d''exploitation '!O582</f>
        <v>11862.377260062147</v>
      </c>
      <c r="AV30" s="395">
        <f>'VAN d''exploitation '!P582</f>
        <v>10936.11952673409</v>
      </c>
      <c r="AW30" s="395">
        <f>'VAN d''exploitation '!Q582</f>
        <v>10082.116150286127</v>
      </c>
      <c r="AX30" s="395">
        <f>'VAN d''exploitation '!R582</f>
        <v>9294.7371079489512</v>
      </c>
      <c r="AY30" s="395">
        <f>'VAN d''exploitation '!S582</f>
        <v>8568.7905068349646</v>
      </c>
      <c r="AZ30" s="395">
        <f>'VAN d''exploitation '!T582</f>
        <v>7899.4885381050826</v>
      </c>
      <c r="BA30" s="395">
        <f>'VAN d''exploitation '!U582</f>
        <v>7282.4160723400009</v>
      </c>
      <c r="BB30" s="395">
        <f>'VAN d''exploitation '!V582</f>
        <v>9211.7385797314782</v>
      </c>
      <c r="BC30" s="396">
        <f t="shared" si="17"/>
        <v>1.6199999999999999E-2</v>
      </c>
      <c r="BD30" s="397">
        <f t="shared" si="18"/>
        <v>22877.70628724774</v>
      </c>
      <c r="BE30" s="398">
        <f t="shared" si="19"/>
        <v>20668.488091536929</v>
      </c>
      <c r="BF30" s="399">
        <f t="shared" si="20"/>
        <v>-2209.2181957108114</v>
      </c>
    </row>
    <row r="31" spans="1:58" s="324" customFormat="1" ht="30.75" customHeight="1" thickBot="1">
      <c r="A31" s="368">
        <v>25</v>
      </c>
      <c r="B31" s="369">
        <v>1113111</v>
      </c>
      <c r="C31" s="327" t="str">
        <f t="shared" si="1"/>
        <v>3111</v>
      </c>
      <c r="D31" s="327" t="str">
        <f t="shared" si="2"/>
        <v>3</v>
      </c>
      <c r="E31" s="360">
        <v>3</v>
      </c>
      <c r="F31" s="359">
        <f t="shared" si="3"/>
        <v>0.1</v>
      </c>
      <c r="G31" s="327">
        <f t="shared" si="4"/>
        <v>1</v>
      </c>
      <c r="H31" s="327">
        <v>1</v>
      </c>
      <c r="I31" s="359">
        <f t="shared" si="5"/>
        <v>0.1</v>
      </c>
      <c r="J31" s="327">
        <f t="shared" si="6"/>
        <v>1</v>
      </c>
      <c r="K31" s="327">
        <v>1</v>
      </c>
      <c r="L31" s="359">
        <f t="shared" si="7"/>
        <v>0.4</v>
      </c>
      <c r="M31" s="327" t="str">
        <f t="shared" si="8"/>
        <v>1</v>
      </c>
      <c r="N31" s="360">
        <v>1</v>
      </c>
      <c r="O31" s="359">
        <f t="shared" si="9"/>
        <v>0.7</v>
      </c>
      <c r="P31" s="370">
        <f t="shared" si="10"/>
        <v>2.8000000000000004E-3</v>
      </c>
      <c r="Q31" s="371">
        <f>'VAN d''exploitation '!W606</f>
        <v>656327.22133760632</v>
      </c>
      <c r="R31" s="372">
        <f>'Scénario 1'!$C$27</f>
        <v>-90276.297039525976</v>
      </c>
      <c r="S31" s="372">
        <f t="shared" si="11"/>
        <v>566050.92429808038</v>
      </c>
      <c r="T31" s="372">
        <f t="shared" si="12"/>
        <v>1584.9425880346253</v>
      </c>
      <c r="U31" s="373">
        <f t="shared" si="13"/>
        <v>0.35767500245785122</v>
      </c>
      <c r="V31" s="374">
        <f t="shared" si="14"/>
        <v>1.0014900068819835E-3</v>
      </c>
      <c r="W31" s="375">
        <f>1+(S31/-'Scénario 1'!$S$23)</f>
        <v>6.2587414000193284</v>
      </c>
      <c r="X31" s="376">
        <f t="shared" si="15"/>
        <v>1.7524475920054121E-2</v>
      </c>
      <c r="Y31" s="393">
        <f t="shared" si="0"/>
        <v>470151920.79837221</v>
      </c>
      <c r="Z31" s="962">
        <f t="shared" si="16"/>
        <v>132.73294689334259</v>
      </c>
      <c r="AA31" s="963"/>
      <c r="AB31" s="327"/>
      <c r="AC31" s="327"/>
      <c r="AD31" s="327"/>
      <c r="AE31" s="335" t="s">
        <v>438</v>
      </c>
      <c r="AF31" s="404">
        <f>SUM(V7:V42)</f>
        <v>0.14347056855680812</v>
      </c>
      <c r="AG31" s="327"/>
      <c r="AH31" s="327"/>
      <c r="AI31" s="327"/>
      <c r="AL31" s="328">
        <v>25</v>
      </c>
      <c r="AM31" s="395">
        <f>'Scénario 1'!C$25</f>
        <v>-4652.3076923076924</v>
      </c>
      <c r="AN31" s="395">
        <f>'Scénario 1'!D$25</f>
        <v>-16728.024760770848</v>
      </c>
      <c r="AO31" s="395">
        <f>'Scénario 1'!E$25</f>
        <v>-37460.238859854901</v>
      </c>
      <c r="AP31" s="395">
        <f>'Scénario 1'!F$25</f>
        <v>-29226.507530881718</v>
      </c>
      <c r="AQ31" s="395">
        <f>'VAN d''exploitation '!K606</f>
        <v>-31079.34928226691</v>
      </c>
      <c r="AR31" s="395">
        <f>'VAN d''exploitation '!L606</f>
        <v>85464.556868031053</v>
      </c>
      <c r="AS31" s="395">
        <f>'VAN d''exploitation '!M606</f>
        <v>79537.337611039184</v>
      </c>
      <c r="AT31" s="395">
        <f>'VAN d''exploitation '!N606</f>
        <v>74020.832537045673</v>
      </c>
      <c r="AU31" s="395">
        <f>'VAN d''exploitation '!O606</f>
        <v>68886.613434501385</v>
      </c>
      <c r="AV31" s="395">
        <f>'VAN d''exploitation '!P606</f>
        <v>64108.217028342013</v>
      </c>
      <c r="AW31" s="395">
        <f>'VAN d''exploitation '!Q606</f>
        <v>59661.009409227321</v>
      </c>
      <c r="AX31" s="395">
        <f>'VAN d''exploitation '!R606</f>
        <v>55522.059794897301</v>
      </c>
      <c r="AY31" s="395">
        <f>'VAN d''exploitation '!S606</f>
        <v>51670.022983173745</v>
      </c>
      <c r="AZ31" s="395">
        <f>'VAN d''exploitation '!T606</f>
        <v>48085.029899921712</v>
      </c>
      <c r="BA31" s="395">
        <f>'VAN d''exploitation '!U606</f>
        <v>44748.585686094259</v>
      </c>
      <c r="BB31" s="395">
        <f>'VAN d''exploitation '!V606</f>
        <v>55702.305367599562</v>
      </c>
      <c r="BC31" s="396">
        <f t="shared" si="17"/>
        <v>2.8000000000000004E-3</v>
      </c>
      <c r="BD31" s="397">
        <f t="shared" si="18"/>
        <v>568260.14249379118</v>
      </c>
      <c r="BE31" s="398">
        <f t="shared" si="19"/>
        <v>566050.92429808038</v>
      </c>
      <c r="BF31" s="399">
        <f t="shared" si="20"/>
        <v>-2209.2181957107969</v>
      </c>
    </row>
    <row r="32" spans="1:58" s="324" customFormat="1" ht="30.75" customHeight="1" thickBot="1">
      <c r="A32" s="368">
        <v>26</v>
      </c>
      <c r="B32" s="369">
        <v>1113112</v>
      </c>
      <c r="C32" s="327" t="str">
        <f t="shared" si="1"/>
        <v>3112</v>
      </c>
      <c r="D32" s="327" t="str">
        <f t="shared" si="2"/>
        <v>3</v>
      </c>
      <c r="E32" s="360">
        <v>3</v>
      </c>
      <c r="F32" s="359">
        <f t="shared" si="3"/>
        <v>0.1</v>
      </c>
      <c r="G32" s="327">
        <f t="shared" si="4"/>
        <v>1</v>
      </c>
      <c r="H32" s="327">
        <v>1</v>
      </c>
      <c r="I32" s="359">
        <f t="shared" si="5"/>
        <v>0.1</v>
      </c>
      <c r="J32" s="327">
        <f t="shared" si="6"/>
        <v>1</v>
      </c>
      <c r="K32" s="327">
        <v>1</v>
      </c>
      <c r="L32" s="359">
        <f t="shared" si="7"/>
        <v>0.4</v>
      </c>
      <c r="M32" s="327" t="str">
        <f t="shared" si="8"/>
        <v>2</v>
      </c>
      <c r="N32" s="360">
        <v>2</v>
      </c>
      <c r="O32" s="359">
        <f t="shared" si="9"/>
        <v>0.3</v>
      </c>
      <c r="P32" s="370">
        <f t="shared" si="10"/>
        <v>1.2000000000000003E-3</v>
      </c>
      <c r="Q32" s="371">
        <f>'VAN d''exploitation '!W631</f>
        <v>622926.17373154743</v>
      </c>
      <c r="R32" s="372">
        <f>'Scénario 1'!$C$27</f>
        <v>-90276.297039525976</v>
      </c>
      <c r="S32" s="372">
        <f t="shared" si="11"/>
        <v>532649.8766920215</v>
      </c>
      <c r="T32" s="372">
        <f t="shared" si="12"/>
        <v>639.17985203042599</v>
      </c>
      <c r="U32" s="373">
        <f t="shared" si="13"/>
        <v>0.35066627934896166</v>
      </c>
      <c r="V32" s="374">
        <f t="shared" si="14"/>
        <v>4.207995352187541E-4</v>
      </c>
      <c r="W32" s="375">
        <f>1+(S32/-'Scénario 1'!$S$23)</f>
        <v>5.9484380963584318</v>
      </c>
      <c r="X32" s="376">
        <f t="shared" si="15"/>
        <v>7.1381257156301198E-3</v>
      </c>
      <c r="Y32" s="393">
        <f t="shared" si="0"/>
        <v>169984247.99996763</v>
      </c>
      <c r="Z32" s="962">
        <f t="shared" si="16"/>
        <v>132.31024707561238</v>
      </c>
      <c r="AA32" s="963"/>
      <c r="AB32" s="327"/>
      <c r="AC32" s="327"/>
      <c r="AD32" s="327"/>
      <c r="AE32" s="335" t="s">
        <v>439</v>
      </c>
      <c r="AF32" s="405">
        <f>SUM(X7:X42)</f>
        <v>2.4518858091654816</v>
      </c>
      <c r="AG32" s="327"/>
      <c r="AH32" s="327"/>
      <c r="AI32" s="327"/>
      <c r="AL32" s="328">
        <v>26</v>
      </c>
      <c r="AM32" s="395">
        <f>'Scénario 1'!C$25</f>
        <v>-4652.3076923076924</v>
      </c>
      <c r="AN32" s="395">
        <f>'Scénario 1'!D$25</f>
        <v>-16728.024760770848</v>
      </c>
      <c r="AO32" s="395">
        <f>'Scénario 1'!E$25</f>
        <v>-37460.238859854901</v>
      </c>
      <c r="AP32" s="395">
        <f>'Scénario 1'!F$25</f>
        <v>-29226.507530881718</v>
      </c>
      <c r="AQ32" s="395">
        <f>'VAN d''exploitation '!K631</f>
        <v>-30774.649779499585</v>
      </c>
      <c r="AR32" s="395">
        <f>'VAN d''exploitation '!L631</f>
        <v>84897.031165681983</v>
      </c>
      <c r="AS32" s="395">
        <f>'VAN d''exploitation '!M631</f>
        <v>78225.250649118243</v>
      </c>
      <c r="AT32" s="395">
        <f>'VAN d''exploitation '!N631</f>
        <v>72077.694583287535</v>
      </c>
      <c r="AU32" s="395">
        <f>'VAN d''exploitation '!O631</f>
        <v>66413.180700312616</v>
      </c>
      <c r="AV32" s="395">
        <f>'VAN d''exploitation '!P631</f>
        <v>61193.761259520601</v>
      </c>
      <c r="AW32" s="395">
        <f>'VAN d''exploitation '!Q631</f>
        <v>56384.469062606971</v>
      </c>
      <c r="AX32" s="395">
        <f>'VAN d''exploitation '!R631</f>
        <v>51953.083407124563</v>
      </c>
      <c r="AY32" s="395">
        <f>'VAN d''exploitation '!S631</f>
        <v>47869.91441356772</v>
      </c>
      <c r="AZ32" s="395">
        <f>'VAN d''exploitation '!T631</f>
        <v>44107.604284078341</v>
      </c>
      <c r="BA32" s="395">
        <f>'VAN d''exploitation '!U631</f>
        <v>40640.944163929831</v>
      </c>
      <c r="BB32" s="395">
        <f>'VAN d''exploitation '!V631</f>
        <v>49937.889821818673</v>
      </c>
      <c r="BC32" s="396">
        <f t="shared" si="17"/>
        <v>1.2000000000000003E-3</v>
      </c>
      <c r="BD32" s="397">
        <f t="shared" si="18"/>
        <v>534859.0948877323</v>
      </c>
      <c r="BE32" s="398">
        <f t="shared" si="19"/>
        <v>532649.8766920215</v>
      </c>
      <c r="BF32" s="399">
        <f t="shared" si="20"/>
        <v>-2209.2181957107969</v>
      </c>
    </row>
    <row r="33" spans="1:58" s="324" customFormat="1" ht="30.75" customHeight="1">
      <c r="A33" s="368">
        <v>27</v>
      </c>
      <c r="B33" s="369">
        <v>1113121</v>
      </c>
      <c r="C33" s="327" t="str">
        <f t="shared" si="1"/>
        <v>3121</v>
      </c>
      <c r="D33" s="327" t="str">
        <f t="shared" si="2"/>
        <v>3</v>
      </c>
      <c r="E33" s="360">
        <v>3</v>
      </c>
      <c r="F33" s="359">
        <f t="shared" si="3"/>
        <v>0.1</v>
      </c>
      <c r="G33" s="327">
        <f t="shared" si="4"/>
        <v>1</v>
      </c>
      <c r="H33" s="327">
        <v>1</v>
      </c>
      <c r="I33" s="359">
        <f t="shared" si="5"/>
        <v>0.1</v>
      </c>
      <c r="J33" s="327">
        <f t="shared" si="6"/>
        <v>2</v>
      </c>
      <c r="K33" s="327">
        <v>2</v>
      </c>
      <c r="L33" s="359">
        <f t="shared" si="7"/>
        <v>0.6</v>
      </c>
      <c r="M33" s="327" t="str">
        <f t="shared" si="8"/>
        <v>1</v>
      </c>
      <c r="N33" s="360">
        <v>1</v>
      </c>
      <c r="O33" s="359">
        <f t="shared" si="9"/>
        <v>0.7</v>
      </c>
      <c r="P33" s="370">
        <f t="shared" si="10"/>
        <v>4.2000000000000006E-3</v>
      </c>
      <c r="Q33" s="371">
        <f>'VAN d''exploitation '!W655</f>
        <v>324337.06708350487</v>
      </c>
      <c r="R33" s="372">
        <f>'Scénario 1'!$C$27</f>
        <v>-90276.297039525976</v>
      </c>
      <c r="S33" s="372">
        <f t="shared" si="11"/>
        <v>234060.77004397888</v>
      </c>
      <c r="T33" s="372">
        <f t="shared" si="12"/>
        <v>983.05523418471137</v>
      </c>
      <c r="U33" s="373">
        <f t="shared" si="13"/>
        <v>0.2074006997160045</v>
      </c>
      <c r="V33" s="374">
        <f t="shared" si="14"/>
        <v>8.7108293880721905E-4</v>
      </c>
      <c r="W33" s="375">
        <f>1+(S33/-'Scénario 1'!$S$23)</f>
        <v>3.1744776109622719</v>
      </c>
      <c r="X33" s="376">
        <f t="shared" si="15"/>
        <v>1.3332805966041543E-2</v>
      </c>
      <c r="Y33" s="393">
        <f t="shared" si="0"/>
        <v>25408716.552454881</v>
      </c>
      <c r="Z33" s="962">
        <f t="shared" si="16"/>
        <v>134.39424797214141</v>
      </c>
      <c r="AA33" s="963"/>
      <c r="AB33" s="327"/>
      <c r="AC33" s="327"/>
      <c r="AD33" s="327"/>
      <c r="AE33" s="332" t="s">
        <v>466</v>
      </c>
      <c r="AF33" s="406">
        <f>AVERAGE(Z7:AA42)</f>
        <v>296.31127903981701</v>
      </c>
      <c r="AG33" s="327"/>
      <c r="AH33" s="327"/>
      <c r="AI33" s="327"/>
      <c r="AL33" s="328">
        <v>27</v>
      </c>
      <c r="AM33" s="395">
        <f>'Scénario 1'!C$25</f>
        <v>-4652.3076923076924</v>
      </c>
      <c r="AN33" s="395">
        <f>'Scénario 1'!D$25</f>
        <v>-16728.024760770848</v>
      </c>
      <c r="AO33" s="395">
        <f>'Scénario 1'!E$25</f>
        <v>-37460.238859854901</v>
      </c>
      <c r="AP33" s="395">
        <f>'Scénario 1'!F$25</f>
        <v>-29226.507530881718</v>
      </c>
      <c r="AQ33" s="395">
        <f>'VAN d''exploitation '!K655</f>
        <v>-15539.674641133455</v>
      </c>
      <c r="AR33" s="395">
        <f>'VAN d''exploitation '!L655</f>
        <v>42204.047640412828</v>
      </c>
      <c r="AS33" s="395">
        <f>'VAN d''exploitation '!M655</f>
        <v>39286.828310819263</v>
      </c>
      <c r="AT33" s="395">
        <f>'VAN d''exploitation '!N655</f>
        <v>36570.891982652298</v>
      </c>
      <c r="AU33" s="395">
        <f>'VAN d''exploitation '!O655</f>
        <v>34042.382344984828</v>
      </c>
      <c r="AV33" s="395">
        <f>'VAN d''exploitation '!P655</f>
        <v>31688.394132863468</v>
      </c>
      <c r="AW33" s="395">
        <f>'VAN d''exploitation '!Q655</f>
        <v>29496.908101495537</v>
      </c>
      <c r="AX33" s="395">
        <f>'VAN d''exploitation '!R655</f>
        <v>27456.730424143654</v>
      </c>
      <c r="AY33" s="395">
        <f>'VAN d''exploitation '!S655</f>
        <v>25557.436214775938</v>
      </c>
      <c r="AZ33" s="395">
        <f>'VAN d''exploitation '!T655</f>
        <v>23789.31689654378</v>
      </c>
      <c r="BA33" s="395">
        <f>'VAN d''exploitation '!U655</f>
        <v>22143.33115585817</v>
      </c>
      <c r="BB33" s="395">
        <f>'VAN d''exploitation '!V655</f>
        <v>27640.47452008853</v>
      </c>
      <c r="BC33" s="396">
        <f t="shared" si="17"/>
        <v>4.2000000000000006E-3</v>
      </c>
      <c r="BD33" s="397">
        <f t="shared" si="18"/>
        <v>236269.98823968967</v>
      </c>
      <c r="BE33" s="398">
        <f t="shared" si="19"/>
        <v>234060.77004397888</v>
      </c>
      <c r="BF33" s="399">
        <f t="shared" si="20"/>
        <v>-2209.2181957107969</v>
      </c>
    </row>
    <row r="34" spans="1:58" s="324" customFormat="1" ht="30.75" customHeight="1">
      <c r="A34" s="368">
        <v>28</v>
      </c>
      <c r="B34" s="369">
        <v>1113122</v>
      </c>
      <c r="C34" s="327" t="str">
        <f t="shared" si="1"/>
        <v>3122</v>
      </c>
      <c r="D34" s="327" t="str">
        <f t="shared" si="2"/>
        <v>3</v>
      </c>
      <c r="E34" s="360">
        <v>3</v>
      </c>
      <c r="F34" s="359">
        <f t="shared" si="3"/>
        <v>0.1</v>
      </c>
      <c r="G34" s="327">
        <f t="shared" si="4"/>
        <v>1</v>
      </c>
      <c r="H34" s="327">
        <v>1</v>
      </c>
      <c r="I34" s="359">
        <f t="shared" si="5"/>
        <v>0.1</v>
      </c>
      <c r="J34" s="327">
        <f t="shared" si="6"/>
        <v>2</v>
      </c>
      <c r="K34" s="327">
        <v>2</v>
      </c>
      <c r="L34" s="359">
        <f t="shared" si="7"/>
        <v>0.6</v>
      </c>
      <c r="M34" s="327" t="str">
        <f t="shared" si="8"/>
        <v>2</v>
      </c>
      <c r="N34" s="360">
        <v>2</v>
      </c>
      <c r="O34" s="359">
        <f t="shared" si="9"/>
        <v>0.3</v>
      </c>
      <c r="P34" s="370">
        <f t="shared" si="10"/>
        <v>1.8000000000000002E-3</v>
      </c>
      <c r="Q34" s="371">
        <f>'VAN d''exploitation '!W680</f>
        <v>307636.54328047542</v>
      </c>
      <c r="R34" s="372">
        <f>'Scénario 1'!$C$27</f>
        <v>-90276.297039525976</v>
      </c>
      <c r="S34" s="372">
        <f t="shared" si="11"/>
        <v>217360.24624094943</v>
      </c>
      <c r="T34" s="372">
        <f t="shared" si="12"/>
        <v>391.248443233709</v>
      </c>
      <c r="U34" s="373">
        <f t="shared" si="13"/>
        <v>0.20026283172336012</v>
      </c>
      <c r="V34" s="374">
        <f t="shared" si="14"/>
        <v>3.6047309710204823E-4</v>
      </c>
      <c r="W34" s="375">
        <f>1+(S34/-'Scénario 1'!$S$23)</f>
        <v>3.0193259591318236</v>
      </c>
      <c r="X34" s="376">
        <f t="shared" si="15"/>
        <v>5.4347867264372832E-3</v>
      </c>
      <c r="Y34" s="393">
        <f t="shared" si="0"/>
        <v>6715216.3074475164</v>
      </c>
      <c r="Z34" s="962">
        <f t="shared" si="16"/>
        <v>133.97746730481421</v>
      </c>
      <c r="AA34" s="963"/>
      <c r="AB34" s="327"/>
      <c r="AC34" s="327"/>
      <c r="AD34" s="327"/>
      <c r="AE34" s="336" t="s">
        <v>467</v>
      </c>
      <c r="AF34" s="407">
        <f>MIN(Z7:AA42)</f>
        <v>132.31024707561238</v>
      </c>
      <c r="AG34" s="327"/>
      <c r="AH34" s="327"/>
      <c r="AI34" s="327"/>
      <c r="AL34" s="328">
        <v>28</v>
      </c>
      <c r="AM34" s="395">
        <f>'Scénario 1'!C$25</f>
        <v>-4652.3076923076924</v>
      </c>
      <c r="AN34" s="395">
        <f>'Scénario 1'!D$25</f>
        <v>-16728.024760770848</v>
      </c>
      <c r="AO34" s="395">
        <f>'Scénario 1'!E$25</f>
        <v>-37460.238859854901</v>
      </c>
      <c r="AP34" s="395">
        <f>'Scénario 1'!F$25</f>
        <v>-29226.507530881718</v>
      </c>
      <c r="AQ34" s="395">
        <f>'VAN d''exploitation '!K680</f>
        <v>-15387.324889749792</v>
      </c>
      <c r="AR34" s="395">
        <f>'VAN d''exploitation '!L680</f>
        <v>41920.284789238292</v>
      </c>
      <c r="AS34" s="395">
        <f>'VAN d''exploitation '!M680</f>
        <v>38630.7848298588</v>
      </c>
      <c r="AT34" s="395">
        <f>'VAN d''exploitation '!N680</f>
        <v>35599.323005773229</v>
      </c>
      <c r="AU34" s="395">
        <f>'VAN d''exploitation '!O680</f>
        <v>32805.665977890436</v>
      </c>
      <c r="AV34" s="395">
        <f>'VAN d''exploitation '!P680</f>
        <v>30231.166248452762</v>
      </c>
      <c r="AW34" s="395">
        <f>'VAN d''exploitation '!Q680</f>
        <v>27858.637928185362</v>
      </c>
      <c r="AX34" s="395">
        <f>'VAN d''exploitation '!R680</f>
        <v>25672.242230257278</v>
      </c>
      <c r="AY34" s="395">
        <f>'VAN d''exploitation '!S680</f>
        <v>23657.381929972922</v>
      </c>
      <c r="AZ34" s="395">
        <f>'VAN d''exploitation '!T680</f>
        <v>21800.604088622094</v>
      </c>
      <c r="BA34" s="395">
        <f>'VAN d''exploitation '!U680</f>
        <v>20089.510394775953</v>
      </c>
      <c r="BB34" s="395">
        <f>'VAN d''exploitation '!V680</f>
        <v>24758.266747198093</v>
      </c>
      <c r="BC34" s="396">
        <f t="shared" si="17"/>
        <v>1.8000000000000002E-3</v>
      </c>
      <c r="BD34" s="397">
        <f t="shared" si="18"/>
        <v>219569.46443666026</v>
      </c>
      <c r="BE34" s="398">
        <f t="shared" si="19"/>
        <v>217360.24624094943</v>
      </c>
      <c r="BF34" s="399">
        <f t="shared" si="20"/>
        <v>-2209.218195710826</v>
      </c>
    </row>
    <row r="35" spans="1:58" s="324" customFormat="1" ht="30.75" customHeight="1" thickBot="1">
      <c r="A35" s="368">
        <v>29</v>
      </c>
      <c r="B35" s="369">
        <v>1113211</v>
      </c>
      <c r="C35" s="327" t="str">
        <f t="shared" si="1"/>
        <v>3211</v>
      </c>
      <c r="D35" s="327" t="str">
        <f t="shared" si="2"/>
        <v>3</v>
      </c>
      <c r="E35" s="360">
        <v>3</v>
      </c>
      <c r="F35" s="359">
        <f t="shared" si="3"/>
        <v>0.1</v>
      </c>
      <c r="G35" s="327">
        <f t="shared" si="4"/>
        <v>2</v>
      </c>
      <c r="H35" s="327">
        <v>2</v>
      </c>
      <c r="I35" s="359">
        <f t="shared" si="5"/>
        <v>0.6</v>
      </c>
      <c r="J35" s="327">
        <f t="shared" si="6"/>
        <v>1</v>
      </c>
      <c r="K35" s="327">
        <v>1</v>
      </c>
      <c r="L35" s="359">
        <f t="shared" si="7"/>
        <v>0.4</v>
      </c>
      <c r="M35" s="327" t="str">
        <f t="shared" si="8"/>
        <v>1</v>
      </c>
      <c r="N35" s="360">
        <v>1</v>
      </c>
      <c r="O35" s="359">
        <f t="shared" si="9"/>
        <v>0.7</v>
      </c>
      <c r="P35" s="370">
        <f t="shared" si="10"/>
        <v>1.6799999999999999E-2</v>
      </c>
      <c r="Q35" s="371">
        <f>'VAN d''exploitation '!W705</f>
        <v>430573.91644481727</v>
      </c>
      <c r="R35" s="372">
        <f>'Scénario 1'!$C$27</f>
        <v>-90276.297039525976</v>
      </c>
      <c r="S35" s="372">
        <f t="shared" si="11"/>
        <v>340297.61940529128</v>
      </c>
      <c r="T35" s="372">
        <f t="shared" si="12"/>
        <v>5717.0000060088933</v>
      </c>
      <c r="U35" s="373">
        <f t="shared" si="13"/>
        <v>0.26418103247399949</v>
      </c>
      <c r="V35" s="374">
        <f t="shared" si="14"/>
        <v>4.4382413455631908E-3</v>
      </c>
      <c r="W35" s="375">
        <f>1+(S35/-'Scénario 1'!$S$23)</f>
        <v>4.1614420234605287</v>
      </c>
      <c r="X35" s="376">
        <f t="shared" si="15"/>
        <v>6.9912225994136878E-2</v>
      </c>
      <c r="Y35" s="393">
        <f t="shared" si="0"/>
        <v>568883623.56436169</v>
      </c>
      <c r="Z35" s="962">
        <f t="shared" si="16"/>
        <v>133.5836065011664</v>
      </c>
      <c r="AA35" s="963"/>
      <c r="AB35" s="327"/>
      <c r="AC35" s="327"/>
      <c r="AD35" s="327"/>
      <c r="AE35" s="337" t="s">
        <v>468</v>
      </c>
      <c r="AF35" s="408">
        <f>MAX(Z7:AA42)</f>
        <v>5630.2174496206535</v>
      </c>
      <c r="AG35" s="327"/>
      <c r="AH35" s="327"/>
      <c r="AI35" s="327"/>
      <c r="AL35" s="328">
        <v>29</v>
      </c>
      <c r="AM35" s="395">
        <f>'Scénario 1'!C$25</f>
        <v>-4652.3076923076924</v>
      </c>
      <c r="AN35" s="395">
        <f>'Scénario 1'!D$25</f>
        <v>-16728.024760770848</v>
      </c>
      <c r="AO35" s="395">
        <f>'Scénario 1'!E$25</f>
        <v>-37460.238859854901</v>
      </c>
      <c r="AP35" s="395">
        <f>'Scénario 1'!F$25</f>
        <v>-29226.507530881718</v>
      </c>
      <c r="AQ35" s="395">
        <f>'VAN d''exploitation '!K705</f>
        <v>-20512.370526296163</v>
      </c>
      <c r="AR35" s="395">
        <f>'VAN d''exploitation '!L705</f>
        <v>56047.41059325065</v>
      </c>
      <c r="AS35" s="395">
        <f>'VAN d''exploitation '!M705</f>
        <v>52166.991286889635</v>
      </c>
      <c r="AT35" s="395">
        <f>'VAN d''exploitation '!N705</f>
        <v>48554.872960058186</v>
      </c>
      <c r="AU35" s="395">
        <f>'VAN d''exploitation '!O705</f>
        <v>45192.536293630124</v>
      </c>
      <c r="AV35" s="395">
        <f>'VAN d''exploitation '!P705</f>
        <v>42062.73745941661</v>
      </c>
      <c r="AW35" s="395">
        <f>'VAN d''exploitation '!Q705</f>
        <v>39149.42051996971</v>
      </c>
      <c r="AX35" s="395">
        <f>'VAN d''exploitation '!R705</f>
        <v>36437.635822784818</v>
      </c>
      <c r="AY35" s="395">
        <f>'VAN d''exploitation '!S705</f>
        <v>33913.46398066324</v>
      </c>
      <c r="AZ35" s="395">
        <f>'VAN d''exploitation '!T705</f>
        <v>31563.945057624718</v>
      </c>
      <c r="BA35" s="395">
        <f>'VAN d''exploitation '!U705</f>
        <v>29377.012605533724</v>
      </c>
      <c r="BB35" s="395">
        <f>'VAN d''exploitation '!V705</f>
        <v>36620.260391292053</v>
      </c>
      <c r="BC35" s="396">
        <f t="shared" si="17"/>
        <v>1.6799999999999999E-2</v>
      </c>
      <c r="BD35" s="397">
        <f t="shared" si="18"/>
        <v>342506.83760100213</v>
      </c>
      <c r="BE35" s="398">
        <f t="shared" si="19"/>
        <v>340297.61940529128</v>
      </c>
      <c r="BF35" s="399">
        <f t="shared" si="20"/>
        <v>-2209.2181957108551</v>
      </c>
    </row>
    <row r="36" spans="1:58" s="324" customFormat="1" ht="30.75" customHeight="1">
      <c r="A36" s="368">
        <v>30</v>
      </c>
      <c r="B36" s="369">
        <v>1113212</v>
      </c>
      <c r="C36" s="327" t="str">
        <f t="shared" si="1"/>
        <v>3212</v>
      </c>
      <c r="D36" s="327" t="str">
        <f t="shared" si="2"/>
        <v>3</v>
      </c>
      <c r="E36" s="360">
        <v>3</v>
      </c>
      <c r="F36" s="359">
        <f t="shared" si="3"/>
        <v>0.1</v>
      </c>
      <c r="G36" s="327">
        <f t="shared" si="4"/>
        <v>2</v>
      </c>
      <c r="H36" s="327">
        <v>2</v>
      </c>
      <c r="I36" s="359">
        <f t="shared" si="5"/>
        <v>0.6</v>
      </c>
      <c r="J36" s="327">
        <f t="shared" si="6"/>
        <v>1</v>
      </c>
      <c r="K36" s="327">
        <v>1</v>
      </c>
      <c r="L36" s="359">
        <f t="shared" si="7"/>
        <v>0.4</v>
      </c>
      <c r="M36" s="327" t="str">
        <f t="shared" si="8"/>
        <v>2</v>
      </c>
      <c r="N36" s="360">
        <v>2</v>
      </c>
      <c r="O36" s="359">
        <f t="shared" si="9"/>
        <v>0.3</v>
      </c>
      <c r="P36" s="370">
        <f t="shared" si="10"/>
        <v>7.1999999999999998E-3</v>
      </c>
      <c r="Q36" s="371">
        <f>'VAN d''exploitation '!W729</f>
        <v>408529.22502481838</v>
      </c>
      <c r="R36" s="372">
        <f>'Scénario 1'!$C$27</f>
        <v>-90276.297039525976</v>
      </c>
      <c r="S36" s="372">
        <f t="shared" si="11"/>
        <v>318252.92798529239</v>
      </c>
      <c r="T36" s="372">
        <f t="shared" si="12"/>
        <v>2291.4210814941052</v>
      </c>
      <c r="U36" s="373">
        <f t="shared" si="13"/>
        <v>0.25709275669535803</v>
      </c>
      <c r="V36" s="374">
        <f t="shared" si="14"/>
        <v>1.8510678482065778E-3</v>
      </c>
      <c r="W36" s="375">
        <f>1+(S36/-'Scénario 1'!$S$23)</f>
        <v>3.9566418430443373</v>
      </c>
      <c r="X36" s="376">
        <f t="shared" si="15"/>
        <v>2.8487821269919229E-2</v>
      </c>
      <c r="Y36" s="393">
        <f t="shared" si="0"/>
        <v>188891346.10384583</v>
      </c>
      <c r="Z36" s="962">
        <f t="shared" si="16"/>
        <v>133.16390269539681</v>
      </c>
      <c r="AA36" s="963"/>
      <c r="AB36" s="327"/>
      <c r="AC36" s="327"/>
      <c r="AD36" s="327"/>
      <c r="AE36" s="327"/>
      <c r="AF36" s="327"/>
      <c r="AG36" s="327"/>
      <c r="AH36" s="327"/>
      <c r="AI36" s="327"/>
      <c r="AL36" s="328">
        <v>30</v>
      </c>
      <c r="AM36" s="395">
        <f>'Scénario 1'!C$25</f>
        <v>-4652.3076923076924</v>
      </c>
      <c r="AN36" s="395">
        <f>'Scénario 1'!D$25</f>
        <v>-16728.024760770848</v>
      </c>
      <c r="AO36" s="395">
        <f>'Scénario 1'!E$25</f>
        <v>-37460.238859854901</v>
      </c>
      <c r="AP36" s="395">
        <f>'Scénario 1'!F$25</f>
        <v>-29226.507530881718</v>
      </c>
      <c r="AQ36" s="395">
        <f>'VAN d''exploitation '!K729</f>
        <v>-20311.26885446973</v>
      </c>
      <c r="AR36" s="395">
        <f>'VAN d''exploitation '!L729</f>
        <v>55672.843629700285</v>
      </c>
      <c r="AS36" s="395">
        <f>'VAN d''exploitation '!M729</f>
        <v>51301.013892021823</v>
      </c>
      <c r="AT36" s="395">
        <f>'VAN d''exploitation '!N729</f>
        <v>47272.401910577813</v>
      </c>
      <c r="AU36" s="395">
        <f>'VAN d''exploitation '!O729</f>
        <v>43560.070689065535</v>
      </c>
      <c r="AV36" s="395">
        <f>'VAN d''exploitation '!P729</f>
        <v>40139.196651994469</v>
      </c>
      <c r="AW36" s="395">
        <f>'VAN d''exploitation '!Q729</f>
        <v>36986.903891200272</v>
      </c>
      <c r="AX36" s="395">
        <f>'VAN d''exploitation '!R729</f>
        <v>34082.11140685482</v>
      </c>
      <c r="AY36" s="395">
        <f>'VAN d''exploitation '!S729</f>
        <v>31405.392324723267</v>
      </c>
      <c r="AZ36" s="395">
        <f>'VAN d''exploitation '!T729</f>
        <v>28938.844151168094</v>
      </c>
      <c r="BA36" s="395">
        <f>'VAN d''exploitation '!U729</f>
        <v>26665.969200905198</v>
      </c>
      <c r="BB36" s="395">
        <f>'VAN d''exploitation '!V729</f>
        <v>32815.746131076674</v>
      </c>
      <c r="BC36" s="396">
        <f t="shared" si="17"/>
        <v>7.1999999999999998E-3</v>
      </c>
      <c r="BD36" s="397">
        <f t="shared" si="18"/>
        <v>320462.14618100337</v>
      </c>
      <c r="BE36" s="398">
        <f t="shared" si="19"/>
        <v>318252.92798529239</v>
      </c>
      <c r="BF36" s="399">
        <f t="shared" si="20"/>
        <v>-2209.2181957109715</v>
      </c>
    </row>
    <row r="37" spans="1:58" s="324" customFormat="1" ht="30.75" customHeight="1">
      <c r="A37" s="368">
        <v>31</v>
      </c>
      <c r="B37" s="369">
        <v>1113221</v>
      </c>
      <c r="C37" s="327" t="str">
        <f t="shared" si="1"/>
        <v>3221</v>
      </c>
      <c r="D37" s="327" t="str">
        <f t="shared" si="2"/>
        <v>3</v>
      </c>
      <c r="E37" s="360">
        <v>3</v>
      </c>
      <c r="F37" s="359">
        <f t="shared" si="3"/>
        <v>0.1</v>
      </c>
      <c r="G37" s="327">
        <f t="shared" si="4"/>
        <v>2</v>
      </c>
      <c r="H37" s="327">
        <v>2</v>
      </c>
      <c r="I37" s="359">
        <f t="shared" si="5"/>
        <v>0.6</v>
      </c>
      <c r="J37" s="327">
        <f t="shared" si="6"/>
        <v>2</v>
      </c>
      <c r="K37" s="327">
        <v>2</v>
      </c>
      <c r="L37" s="359">
        <f t="shared" si="7"/>
        <v>0.6</v>
      </c>
      <c r="M37" s="327" t="str">
        <f t="shared" si="8"/>
        <v>1</v>
      </c>
      <c r="N37" s="360">
        <v>1</v>
      </c>
      <c r="O37" s="359">
        <f t="shared" si="9"/>
        <v>0.7</v>
      </c>
      <c r="P37" s="370">
        <f t="shared" si="10"/>
        <v>2.5199999999999997E-2</v>
      </c>
      <c r="Q37" s="371">
        <f>'VAN d''exploitation '!W754</f>
        <v>211460.41463711031</v>
      </c>
      <c r="R37" s="372">
        <f>'Scénario 1'!$C$27</f>
        <v>-90276.297039525976</v>
      </c>
      <c r="S37" s="372">
        <f t="shared" si="11"/>
        <v>121184.11759758434</v>
      </c>
      <c r="T37" s="372">
        <f t="shared" si="12"/>
        <v>3053.8397634591247</v>
      </c>
      <c r="U37" s="373">
        <f t="shared" si="13"/>
        <v>0.13025778463252258</v>
      </c>
      <c r="V37" s="374">
        <f t="shared" si="14"/>
        <v>3.2824961727395685E-3</v>
      </c>
      <c r="W37" s="375">
        <f>1+(S37/-'Scénario 1'!$S$23)</f>
        <v>2.1258279226828725</v>
      </c>
      <c r="X37" s="376">
        <f t="shared" si="15"/>
        <v>5.3570863651608382E-2</v>
      </c>
      <c r="Y37" s="393">
        <f t="shared" si="0"/>
        <v>31041116.745423596</v>
      </c>
      <c r="Z37" s="962">
        <f t="shared" si="16"/>
        <v>136.14995517307838</v>
      </c>
      <c r="AA37" s="963"/>
      <c r="AB37" s="327"/>
      <c r="AC37" s="327"/>
      <c r="AD37" s="327"/>
      <c r="AE37" s="338" t="s">
        <v>448</v>
      </c>
      <c r="AF37" s="339" t="s">
        <v>448</v>
      </c>
      <c r="AG37" s="339" t="s">
        <v>449</v>
      </c>
      <c r="AH37" s="339" t="s">
        <v>360</v>
      </c>
      <c r="AI37" s="340" t="s">
        <v>470</v>
      </c>
      <c r="AL37" s="328">
        <v>31</v>
      </c>
      <c r="AM37" s="395">
        <f>'Scénario 1'!C$25</f>
        <v>-4652.3076923076924</v>
      </c>
      <c r="AN37" s="395">
        <f>'Scénario 1'!D$25</f>
        <v>-16728.024760770848</v>
      </c>
      <c r="AO37" s="395">
        <f>'Scénario 1'!E$25</f>
        <v>-37460.238859854901</v>
      </c>
      <c r="AP37" s="395">
        <f>'Scénario 1'!F$25</f>
        <v>-29226.507530881718</v>
      </c>
      <c r="AQ37" s="395">
        <f>'VAN d''exploitation '!K754</f>
        <v>-10256.185263148082</v>
      </c>
      <c r="AR37" s="395">
        <f>'VAN d''exploitation '!L754</f>
        <v>27495.474503022626</v>
      </c>
      <c r="AS37" s="395">
        <f>'VAN d''exploitation '!M754</f>
        <v>25601.655148744496</v>
      </c>
      <c r="AT37" s="395">
        <f>'VAN d''exploitation '!N754</f>
        <v>23837.912194158554</v>
      </c>
      <c r="AU37" s="395">
        <f>'VAN d''exploitation '!O754</f>
        <v>22195.343774549194</v>
      </c>
      <c r="AV37" s="395">
        <f>'VAN d''exploitation '!P754</f>
        <v>20665.654348400752</v>
      </c>
      <c r="AW37" s="395">
        <f>'VAN d''exploitation '!Q754</f>
        <v>19241.113656866732</v>
      </c>
      <c r="AX37" s="395">
        <f>'VAN d''exploitation '!R754</f>
        <v>17914.518438087405</v>
      </c>
      <c r="AY37" s="395">
        <f>'VAN d''exploitation '!S754</f>
        <v>16679.156713520682</v>
      </c>
      <c r="AZ37" s="395">
        <f>'VAN d''exploitation '!T754</f>
        <v>15528.774475395283</v>
      </c>
      <c r="BA37" s="395">
        <f>'VAN d''exploitation '!U754</f>
        <v>14457.544615577899</v>
      </c>
      <c r="BB37" s="395">
        <f>'VAN d''exploitation '!V754</f>
        <v>18099.452031934787</v>
      </c>
      <c r="BC37" s="396">
        <f t="shared" si="17"/>
        <v>2.5199999999999997E-2</v>
      </c>
      <c r="BD37" s="397">
        <f t="shared" si="18"/>
        <v>123393.33579329515</v>
      </c>
      <c r="BE37" s="398">
        <f t="shared" si="19"/>
        <v>121184.11759758434</v>
      </c>
      <c r="BF37" s="399">
        <f t="shared" si="20"/>
        <v>-2209.2181957108114</v>
      </c>
    </row>
    <row r="38" spans="1:58" s="324" customFormat="1" ht="30.75" customHeight="1">
      <c r="A38" s="368">
        <v>32</v>
      </c>
      <c r="B38" s="369">
        <v>1113222</v>
      </c>
      <c r="C38" s="327" t="str">
        <f t="shared" si="1"/>
        <v>3222</v>
      </c>
      <c r="D38" s="327" t="str">
        <f t="shared" si="2"/>
        <v>3</v>
      </c>
      <c r="E38" s="360">
        <v>3</v>
      </c>
      <c r="F38" s="359">
        <f t="shared" si="3"/>
        <v>0.1</v>
      </c>
      <c r="G38" s="327">
        <f t="shared" si="4"/>
        <v>2</v>
      </c>
      <c r="H38" s="327">
        <v>2</v>
      </c>
      <c r="I38" s="359">
        <f t="shared" si="5"/>
        <v>0.6</v>
      </c>
      <c r="J38" s="327">
        <f t="shared" si="6"/>
        <v>2</v>
      </c>
      <c r="K38" s="327">
        <v>2</v>
      </c>
      <c r="L38" s="359">
        <f t="shared" si="7"/>
        <v>0.6</v>
      </c>
      <c r="M38" s="327" t="str">
        <f t="shared" si="8"/>
        <v>2</v>
      </c>
      <c r="N38" s="360">
        <v>2</v>
      </c>
      <c r="O38" s="359">
        <f t="shared" si="9"/>
        <v>0.3</v>
      </c>
      <c r="P38" s="370">
        <f t="shared" si="10"/>
        <v>1.0799999999999999E-2</v>
      </c>
      <c r="Q38" s="371">
        <f>'VAN d''exploitation '!W778</f>
        <v>200438.06892711093</v>
      </c>
      <c r="R38" s="372">
        <f>'Scénario 1'!$C$27</f>
        <v>-90276.297039525976</v>
      </c>
      <c r="S38" s="372">
        <f t="shared" si="11"/>
        <v>110161.77188758495</v>
      </c>
      <c r="T38" s="372">
        <f t="shared" si="12"/>
        <v>1189.7471363859174</v>
      </c>
      <c r="U38" s="373">
        <f t="shared" si="13"/>
        <v>0.12305065254599645</v>
      </c>
      <c r="V38" s="374">
        <f t="shared" si="14"/>
        <v>1.3289470474967615E-3</v>
      </c>
      <c r="W38" s="375">
        <f>1+(S38/-'Scénario 1'!$S$23)</f>
        <v>2.023427832474777</v>
      </c>
      <c r="X38" s="376">
        <f t="shared" si="15"/>
        <v>2.1853020590727589E-2</v>
      </c>
      <c r="Y38" s="393">
        <f t="shared" si="0"/>
        <v>22971407.120760694</v>
      </c>
      <c r="Z38" s="962">
        <f t="shared" si="16"/>
        <v>135.73973329308424</v>
      </c>
      <c r="AA38" s="963"/>
      <c r="AB38" s="327"/>
      <c r="AC38" s="327"/>
      <c r="AD38" s="341" t="s">
        <v>450</v>
      </c>
      <c r="AE38" s="341" t="s">
        <v>451</v>
      </c>
      <c r="AF38" s="342" t="s">
        <v>451</v>
      </c>
      <c r="AG38" s="343">
        <f>'Chances de réussites'!Q11</f>
        <v>0.4158</v>
      </c>
      <c r="AH38" s="344">
        <f>AF24</f>
        <v>156280.98849857235</v>
      </c>
      <c r="AI38" s="345">
        <f>AG38*AH38</f>
        <v>64981.63501770638</v>
      </c>
      <c r="AL38" s="328">
        <v>32</v>
      </c>
      <c r="AM38" s="395">
        <f>'Scénario 1'!C$25</f>
        <v>-4652.3076923076924</v>
      </c>
      <c r="AN38" s="395">
        <f>'Scénario 1'!D$25</f>
        <v>-16728.024760770848</v>
      </c>
      <c r="AO38" s="395">
        <f>'Scénario 1'!E$25</f>
        <v>-37460.238859854901</v>
      </c>
      <c r="AP38" s="395">
        <f>'Scénario 1'!F$25</f>
        <v>-29226.507530881718</v>
      </c>
      <c r="AQ38" s="395">
        <f>'VAN d''exploitation '!K778</f>
        <v>-10155.634427234865</v>
      </c>
      <c r="AR38" s="395">
        <f>'VAN d''exploitation '!L778</f>
        <v>27308.191021247443</v>
      </c>
      <c r="AS38" s="395">
        <f>'VAN d''exploitation '!M778</f>
        <v>25168.66645131059</v>
      </c>
      <c r="AT38" s="395">
        <f>'VAN d''exploitation '!N778</f>
        <v>23196.676669418368</v>
      </c>
      <c r="AU38" s="395">
        <f>'VAN d''exploitation '!O778</f>
        <v>21379.110972266899</v>
      </c>
      <c r="AV38" s="395">
        <f>'VAN d''exploitation '!P778</f>
        <v>19703.883944689689</v>
      </c>
      <c r="AW38" s="395">
        <f>'VAN d''exploitation '!Q778</f>
        <v>18159.855342482013</v>
      </c>
      <c r="AX38" s="395">
        <f>'VAN d''exploitation '!R778</f>
        <v>16736.756230122406</v>
      </c>
      <c r="AY38" s="395">
        <f>'VAN d''exploitation '!S778</f>
        <v>15425.120885550694</v>
      </c>
      <c r="AZ38" s="395">
        <f>'VAN d''exploitation '!T778</f>
        <v>14216.224022166971</v>
      </c>
      <c r="BA38" s="395">
        <f>'VAN d''exploitation '!U778</f>
        <v>13102.022913263636</v>
      </c>
      <c r="BB38" s="395">
        <f>'VAN d''exploitation '!V778</f>
        <v>16197.194901827093</v>
      </c>
      <c r="BC38" s="396">
        <f t="shared" si="17"/>
        <v>1.0799999999999999E-2</v>
      </c>
      <c r="BD38" s="397">
        <f t="shared" si="18"/>
        <v>112370.99008329579</v>
      </c>
      <c r="BE38" s="398">
        <f t="shared" si="19"/>
        <v>110161.77188758495</v>
      </c>
      <c r="BF38" s="399">
        <f t="shared" si="20"/>
        <v>-2209.2181957108405</v>
      </c>
    </row>
    <row r="39" spans="1:58" s="324" customFormat="1" ht="30.75" customHeight="1">
      <c r="A39" s="368">
        <v>33</v>
      </c>
      <c r="B39" s="369">
        <v>1113311</v>
      </c>
      <c r="C39" s="327" t="str">
        <f t="shared" si="1"/>
        <v>3311</v>
      </c>
      <c r="D39" s="327" t="str">
        <f t="shared" si="2"/>
        <v>3</v>
      </c>
      <c r="E39" s="360">
        <v>3</v>
      </c>
      <c r="F39" s="359">
        <f t="shared" si="3"/>
        <v>0.1</v>
      </c>
      <c r="G39" s="327">
        <f t="shared" si="4"/>
        <v>3</v>
      </c>
      <c r="H39" s="327">
        <v>3</v>
      </c>
      <c r="I39" s="359">
        <f t="shared" si="5"/>
        <v>0.3</v>
      </c>
      <c r="J39" s="327">
        <f t="shared" si="6"/>
        <v>1</v>
      </c>
      <c r="K39" s="327">
        <v>1</v>
      </c>
      <c r="L39" s="359">
        <f t="shared" si="7"/>
        <v>0.4</v>
      </c>
      <c r="M39" s="327" t="str">
        <f t="shared" si="8"/>
        <v>1</v>
      </c>
      <c r="N39" s="360">
        <v>1</v>
      </c>
      <c r="O39" s="359">
        <f t="shared" si="9"/>
        <v>0.7</v>
      </c>
      <c r="P39" s="370">
        <f t="shared" si="10"/>
        <v>8.3999999999999995E-3</v>
      </c>
      <c r="Q39" s="371">
        <f>'VAN d''exploitation '!W802</f>
        <v>257939.03623268456</v>
      </c>
      <c r="R39" s="372">
        <f>'Scénario 1'!$C$27</f>
        <v>-90276.297039525976</v>
      </c>
      <c r="S39" s="372">
        <f t="shared" si="11"/>
        <v>167662.73919315857</v>
      </c>
      <c r="T39" s="372">
        <f t="shared" si="12"/>
        <v>1408.367009222532</v>
      </c>
      <c r="U39" s="373">
        <f t="shared" si="13"/>
        <v>0.16485975692295796</v>
      </c>
      <c r="V39" s="374">
        <f t="shared" si="14"/>
        <v>1.3848219581528468E-3</v>
      </c>
      <c r="W39" s="375">
        <f>1+(S39/-'Scénario 1'!$S$23)</f>
        <v>2.5576248531508607</v>
      </c>
      <c r="X39" s="376">
        <f t="shared" si="15"/>
        <v>2.1484048766467229E-2</v>
      </c>
      <c r="Y39" s="393">
        <f t="shared" si="0"/>
        <v>1088171.690539198</v>
      </c>
      <c r="Z39" s="962">
        <f t="shared" si="16"/>
        <v>135.24059149803944</v>
      </c>
      <c r="AA39" s="963"/>
      <c r="AB39" s="327"/>
      <c r="AC39" s="327"/>
      <c r="AD39" s="341" t="s">
        <v>452</v>
      </c>
      <c r="AE39" s="341" t="s">
        <v>451</v>
      </c>
      <c r="AF39" s="346" t="s">
        <v>453</v>
      </c>
      <c r="AG39" s="343">
        <f>'Chances de réussites'!Q15</f>
        <v>0.1242</v>
      </c>
      <c r="AH39" s="347">
        <f>'Scénario 2'!C28</f>
        <v>-86618.750547212971</v>
      </c>
      <c r="AI39" s="345">
        <f>AG39*AH39</f>
        <v>-10758.048817963851</v>
      </c>
      <c r="AL39" s="328">
        <v>33</v>
      </c>
      <c r="AM39" s="395">
        <f>'Scénario 1'!C$25</f>
        <v>-4652.3076923076924</v>
      </c>
      <c r="AN39" s="395">
        <f>'Scénario 1'!D$25</f>
        <v>-16728.024760770848</v>
      </c>
      <c r="AO39" s="395">
        <f>'Scénario 1'!E$25</f>
        <v>-37460.238859854901</v>
      </c>
      <c r="AP39" s="395">
        <f>'Scénario 1'!F$25</f>
        <v>-29226.507530881718</v>
      </c>
      <c r="AQ39" s="395">
        <f>'VAN d''exploitation '!K802</f>
        <v>-12431.739712906765</v>
      </c>
      <c r="AR39" s="395">
        <f>'VAN d''exploitation '!L802</f>
        <v>33551.94579488918</v>
      </c>
      <c r="AS39" s="395">
        <f>'VAN d''exploitation '!M802</f>
        <v>31236.726450775277</v>
      </c>
      <c r="AT39" s="395">
        <f>'VAN d''exploitation '!N802</f>
        <v>29080.903871773629</v>
      </c>
      <c r="AU39" s="395">
        <f>'VAN d''exploitation '!O802</f>
        <v>27073.536127081516</v>
      </c>
      <c r="AV39" s="395">
        <f>'VAN d''exploitation '!P802</f>
        <v>25204.429553767761</v>
      </c>
      <c r="AW39" s="395">
        <f>'VAN d''exploitation '!Q802</f>
        <v>23464.08783994917</v>
      </c>
      <c r="AX39" s="395">
        <f>'VAN d''exploitation '!R802</f>
        <v>21843.664549992929</v>
      </c>
      <c r="AY39" s="395">
        <f>'VAN d''exploitation '!S802</f>
        <v>20334.918861096372</v>
      </c>
      <c r="AZ39" s="395">
        <f>'VAN d''exploitation '!T802</f>
        <v>18930.174295868201</v>
      </c>
      <c r="BA39" s="395">
        <f>'VAN d''exploitation '!U802</f>
        <v>17622.280249810956</v>
      </c>
      <c r="BB39" s="395">
        <f>'VAN d''exploitation '!V802</f>
        <v>22028.108350586328</v>
      </c>
      <c r="BC39" s="396">
        <f t="shared" si="17"/>
        <v>8.3999999999999995E-3</v>
      </c>
      <c r="BD39" s="397">
        <f t="shared" si="18"/>
        <v>169871.9573888694</v>
      </c>
      <c r="BE39" s="398">
        <f t="shared" si="19"/>
        <v>167662.73919315857</v>
      </c>
      <c r="BF39" s="399">
        <f t="shared" si="20"/>
        <v>-2209.218195710826</v>
      </c>
    </row>
    <row r="40" spans="1:58" s="324" customFormat="1" ht="30.75" customHeight="1">
      <c r="A40" s="368">
        <v>34</v>
      </c>
      <c r="B40" s="369">
        <v>1113312</v>
      </c>
      <c r="C40" s="327" t="str">
        <f t="shared" si="1"/>
        <v>3312</v>
      </c>
      <c r="D40" s="327" t="str">
        <f t="shared" si="2"/>
        <v>3</v>
      </c>
      <c r="E40" s="360">
        <v>3</v>
      </c>
      <c r="F40" s="359">
        <f t="shared" si="3"/>
        <v>0.1</v>
      </c>
      <c r="G40" s="327">
        <f t="shared" si="4"/>
        <v>3</v>
      </c>
      <c r="H40" s="327">
        <v>3</v>
      </c>
      <c r="I40" s="359">
        <f t="shared" si="5"/>
        <v>0.3</v>
      </c>
      <c r="J40" s="327">
        <f t="shared" si="6"/>
        <v>1</v>
      </c>
      <c r="K40" s="327">
        <v>1</v>
      </c>
      <c r="L40" s="359">
        <f t="shared" si="7"/>
        <v>0.4</v>
      </c>
      <c r="M40" s="327" t="str">
        <f t="shared" si="8"/>
        <v>2</v>
      </c>
      <c r="N40" s="360">
        <v>2</v>
      </c>
      <c r="O40" s="359">
        <f t="shared" si="9"/>
        <v>0.3</v>
      </c>
      <c r="P40" s="370">
        <f t="shared" si="10"/>
        <v>3.5999999999999999E-3</v>
      </c>
      <c r="Q40" s="371">
        <f>'VAN d''exploitation '!W826</f>
        <v>244578.61719026105</v>
      </c>
      <c r="R40" s="372">
        <f>'Scénario 1'!$C$27</f>
        <v>-90276.297039525976</v>
      </c>
      <c r="S40" s="372">
        <f t="shared" si="11"/>
        <v>154302.32015073509</v>
      </c>
      <c r="T40" s="372">
        <f t="shared" si="12"/>
        <v>555.48835254264634</v>
      </c>
      <c r="U40" s="373">
        <f t="shared" si="13"/>
        <v>0.15768421098304963</v>
      </c>
      <c r="V40" s="374">
        <f t="shared" si="14"/>
        <v>5.6766315953897864E-4</v>
      </c>
      <c r="W40" s="375">
        <f>1+(S40/-'Scénario 1'!$S$23)</f>
        <v>2.4335035316865028</v>
      </c>
      <c r="X40" s="376">
        <f t="shared" si="15"/>
        <v>8.7606127140714106E-3</v>
      </c>
      <c r="Y40" s="393">
        <f t="shared" si="0"/>
        <v>14094.462350638885</v>
      </c>
      <c r="Z40" s="962">
        <f t="shared" si="16"/>
        <v>134.82693360130173</v>
      </c>
      <c r="AA40" s="963"/>
      <c r="AB40" s="327"/>
      <c r="AC40" s="327"/>
      <c r="AD40" s="341" t="s">
        <v>454</v>
      </c>
      <c r="AE40" s="348" t="s">
        <v>453</v>
      </c>
      <c r="AF40" s="342"/>
      <c r="AG40" s="343">
        <f>'Chances de réussites'!Q19</f>
        <v>0.46</v>
      </c>
      <c r="AH40" s="344">
        <f>'Scénario 3'!C25</f>
        <v>-22633.414932534735</v>
      </c>
      <c r="AI40" s="345">
        <f>AG40*AH40</f>
        <v>-10411.370868965978</v>
      </c>
      <c r="AL40" s="328">
        <v>34</v>
      </c>
      <c r="AM40" s="395">
        <f>'Scénario 1'!C$25</f>
        <v>-4652.3076923076924</v>
      </c>
      <c r="AN40" s="395">
        <f>'Scénario 1'!D$25</f>
        <v>-16728.024760770848</v>
      </c>
      <c r="AO40" s="395">
        <f>'Scénario 1'!E$25</f>
        <v>-37460.238859854901</v>
      </c>
      <c r="AP40" s="395">
        <f>'Scénario 1'!F$25</f>
        <v>-29226.507530881718</v>
      </c>
      <c r="AQ40" s="395">
        <f>'VAN d''exploitation '!K826</f>
        <v>-12309.859911799835</v>
      </c>
      <c r="AR40" s="395">
        <f>'VAN d''exploitation '!L826</f>
        <v>33324.93551394956</v>
      </c>
      <c r="AS40" s="395">
        <f>'VAN d''exploitation '!M826</f>
        <v>30711.891666006912</v>
      </c>
      <c r="AT40" s="395">
        <f>'VAN d''exploitation '!N826</f>
        <v>28303.648690270376</v>
      </c>
      <c r="AU40" s="395">
        <f>'VAN d''exploitation '!O826</f>
        <v>26084.163033406003</v>
      </c>
      <c r="AV40" s="395">
        <f>'VAN d''exploitation '!P826</f>
        <v>24038.647246239183</v>
      </c>
      <c r="AW40" s="395">
        <f>'VAN d''exploitation '!Q826</f>
        <v>22153.471701301049</v>
      </c>
      <c r="AX40" s="395">
        <f>'VAN d''exploitation '!R826</f>
        <v>20416.07399488382</v>
      </c>
      <c r="AY40" s="395">
        <f>'VAN d''exploitation '!S826</f>
        <v>18814.875433253968</v>
      </c>
      <c r="AZ40" s="395">
        <f>'VAN d''exploitation '!T826</f>
        <v>17339.204049530847</v>
      </c>
      <c r="BA40" s="395">
        <f>'VAN d''exploitation '!U826</f>
        <v>15979.223640945173</v>
      </c>
      <c r="BB40" s="395">
        <f>'VAN d''exploitation '!V826</f>
        <v>19722.34213227397</v>
      </c>
      <c r="BC40" s="396">
        <f t="shared" si="17"/>
        <v>3.5999999999999999E-3</v>
      </c>
      <c r="BD40" s="397">
        <f t="shared" si="18"/>
        <v>156511.53834644586</v>
      </c>
      <c r="BE40" s="398">
        <f t="shared" si="19"/>
        <v>154302.32015073509</v>
      </c>
      <c r="BF40" s="399">
        <f t="shared" si="20"/>
        <v>-2209.2181957107678</v>
      </c>
    </row>
    <row r="41" spans="1:58" s="324" customFormat="1" ht="30.75" customHeight="1">
      <c r="A41" s="368">
        <v>35</v>
      </c>
      <c r="B41" s="369">
        <v>1113321</v>
      </c>
      <c r="C41" s="327" t="str">
        <f t="shared" si="1"/>
        <v>3321</v>
      </c>
      <c r="D41" s="327" t="str">
        <f t="shared" si="2"/>
        <v>3</v>
      </c>
      <c r="E41" s="360">
        <v>3</v>
      </c>
      <c r="F41" s="359">
        <f t="shared" si="3"/>
        <v>0.1</v>
      </c>
      <c r="G41" s="327">
        <f t="shared" si="4"/>
        <v>3</v>
      </c>
      <c r="H41" s="327">
        <v>3</v>
      </c>
      <c r="I41" s="359">
        <f t="shared" si="5"/>
        <v>0.3</v>
      </c>
      <c r="J41" s="327">
        <f t="shared" si="6"/>
        <v>2</v>
      </c>
      <c r="K41" s="327">
        <v>2</v>
      </c>
      <c r="L41" s="359">
        <f t="shared" si="7"/>
        <v>0.6</v>
      </c>
      <c r="M41" s="327" t="str">
        <f t="shared" si="8"/>
        <v>1</v>
      </c>
      <c r="N41" s="360">
        <v>1</v>
      </c>
      <c r="O41" s="359">
        <f t="shared" si="9"/>
        <v>0.7</v>
      </c>
      <c r="P41" s="370">
        <f t="shared" si="10"/>
        <v>1.2599999999999998E-2</v>
      </c>
      <c r="Q41" s="371">
        <f>'VAN d''exploitation '!W849</f>
        <v>125142.97453104395</v>
      </c>
      <c r="R41" s="372">
        <f>'Scénario 1'!$C$27</f>
        <v>-90276.297039525976</v>
      </c>
      <c r="S41" s="372">
        <f t="shared" si="11"/>
        <v>34866.67749151797</v>
      </c>
      <c r="T41" s="372">
        <f t="shared" si="12"/>
        <v>439.32013639312635</v>
      </c>
      <c r="U41" s="373">
        <f t="shared" si="13"/>
        <v>4.8236058994850284E-2</v>
      </c>
      <c r="V41" s="374">
        <f t="shared" si="14"/>
        <v>6.0777434333511354E-4</v>
      </c>
      <c r="W41" s="375">
        <f>1+(S41/-'Scénario 1'!$S$23)</f>
        <v>1.3239193375280376</v>
      </c>
      <c r="X41" s="376">
        <f t="shared" si="15"/>
        <v>1.6681383652853272E-2</v>
      </c>
      <c r="Y41" s="393">
        <f t="shared" si="0"/>
        <v>185742079.95820332</v>
      </c>
      <c r="Z41" s="962">
        <f t="shared" si="16"/>
        <v>139.63740211441518</v>
      </c>
      <c r="AA41" s="963"/>
      <c r="AB41" s="327"/>
      <c r="AC41" s="327"/>
      <c r="AD41" s="327"/>
      <c r="AE41" s="327"/>
      <c r="AF41" s="327"/>
      <c r="AG41" s="327"/>
      <c r="AH41" s="349"/>
      <c r="AI41" s="350">
        <f>SUM(AI38:AI40)</f>
        <v>43812.215330776555</v>
      </c>
      <c r="AL41" s="328">
        <v>35</v>
      </c>
      <c r="AM41" s="395">
        <f>'Scénario 1'!C$25</f>
        <v>-4652.3076923076924</v>
      </c>
      <c r="AN41" s="395">
        <f>'Scénario 1'!D$25</f>
        <v>-16728.024760770848</v>
      </c>
      <c r="AO41" s="395">
        <f>'Scénario 1'!E$25</f>
        <v>-37460.238859854901</v>
      </c>
      <c r="AP41" s="395">
        <f>'Scénario 1'!F$25</f>
        <v>-29226.507530881718</v>
      </c>
      <c r="AQ41" s="395">
        <f>'VAN d''exploitation '!K849</f>
        <v>-6215.8698564533825</v>
      </c>
      <c r="AR41" s="395">
        <f>'VAN d''exploitation '!L849</f>
        <v>16247.742103841892</v>
      </c>
      <c r="AS41" s="395">
        <f>'VAN d''exploitation '!M849</f>
        <v>15136.522730687317</v>
      </c>
      <c r="AT41" s="395">
        <f>'VAN d''exploitation '!N849</f>
        <v>14100.92765001628</v>
      </c>
      <c r="AU41" s="395">
        <f>'VAN d''exploitation '!O849</f>
        <v>13135.843691274886</v>
      </c>
      <c r="AV41" s="395">
        <f>'VAN d''exploitation '!P849</f>
        <v>12236.500395576335</v>
      </c>
      <c r="AW41" s="395">
        <f>'VAN d''exploitation '!Q849</f>
        <v>11398.447316856462</v>
      </c>
      <c r="AX41" s="395">
        <f>'VAN d''exploitation '!R849</f>
        <v>10617.532801691461</v>
      </c>
      <c r="AY41" s="395">
        <f>'VAN d''exploitation '!S849</f>
        <v>9889.8841537372482</v>
      </c>
      <c r="AZ41" s="395">
        <f>'VAN d''exploitation '!T849</f>
        <v>9211.8890945170187</v>
      </c>
      <c r="BA41" s="395">
        <f>'VAN d''exploitation '!U849</f>
        <v>8580.1784377165168</v>
      </c>
      <c r="BB41" s="395">
        <f>'VAN d''exploitation '!V849</f>
        <v>10803.376011581917</v>
      </c>
      <c r="BC41" s="396">
        <f t="shared" si="17"/>
        <v>1.2599999999999998E-2</v>
      </c>
      <c r="BD41" s="397">
        <f t="shared" si="18"/>
        <v>37075.895687228789</v>
      </c>
      <c r="BE41" s="398">
        <f t="shared" si="19"/>
        <v>34866.67749151797</v>
      </c>
      <c r="BF41" s="399">
        <f t="shared" si="20"/>
        <v>-2209.2181957108187</v>
      </c>
    </row>
    <row r="42" spans="1:58" s="324" customFormat="1" ht="30.75" customHeight="1">
      <c r="A42" s="377">
        <v>36</v>
      </c>
      <c r="B42" s="378">
        <v>1113322</v>
      </c>
      <c r="C42" s="327" t="str">
        <f t="shared" si="1"/>
        <v>3322</v>
      </c>
      <c r="D42" s="327" t="str">
        <f t="shared" si="2"/>
        <v>3</v>
      </c>
      <c r="E42" s="360">
        <v>3</v>
      </c>
      <c r="F42" s="359">
        <f t="shared" si="3"/>
        <v>0.1</v>
      </c>
      <c r="G42" s="327">
        <f t="shared" si="4"/>
        <v>3</v>
      </c>
      <c r="H42" s="327">
        <v>3</v>
      </c>
      <c r="I42" s="359">
        <f t="shared" si="5"/>
        <v>0.3</v>
      </c>
      <c r="J42" s="327">
        <f t="shared" si="6"/>
        <v>2</v>
      </c>
      <c r="K42" s="327">
        <v>2</v>
      </c>
      <c r="L42" s="359">
        <f t="shared" si="7"/>
        <v>0.6</v>
      </c>
      <c r="M42" s="327" t="str">
        <f t="shared" si="8"/>
        <v>2</v>
      </c>
      <c r="N42" s="360">
        <v>2</v>
      </c>
      <c r="O42" s="359">
        <f t="shared" si="9"/>
        <v>0.3</v>
      </c>
      <c r="P42" s="379">
        <f t="shared" si="10"/>
        <v>5.3999999999999994E-3</v>
      </c>
      <c r="Q42" s="380">
        <f>'VAN d''exploitation '!W875</f>
        <v>118462.7650098322</v>
      </c>
      <c r="R42" s="381">
        <f>'Scénario 1'!$C$27</f>
        <v>-90276.297039525976</v>
      </c>
      <c r="S42" s="381">
        <f t="shared" si="11"/>
        <v>28186.467970306228</v>
      </c>
      <c r="T42" s="381">
        <f t="shared" si="12"/>
        <v>152.20692703965361</v>
      </c>
      <c r="U42" s="382">
        <f t="shared" si="13"/>
        <v>4.0940526859248205E-2</v>
      </c>
      <c r="V42" s="383">
        <f t="shared" si="14"/>
        <v>2.2107884503994027E-4</v>
      </c>
      <c r="W42" s="384">
        <f>1+(S42/-'Scénario 1'!$S$23)</f>
        <v>1.2618586767958586</v>
      </c>
      <c r="X42" s="385">
        <f t="shared" si="15"/>
        <v>6.8140368546976355E-3</v>
      </c>
      <c r="Y42" s="381">
        <f t="shared" si="0"/>
        <v>88604313.422578499</v>
      </c>
      <c r="Z42" s="977">
        <f t="shared" si="16"/>
        <v>139.24113294006915</v>
      </c>
      <c r="AA42" s="978"/>
      <c r="AB42" s="327"/>
      <c r="AC42" s="327"/>
      <c r="AD42" s="327"/>
      <c r="AE42" s="327"/>
      <c r="AF42" s="327"/>
      <c r="AG42" s="327"/>
      <c r="AH42" s="327"/>
      <c r="AI42" s="327"/>
      <c r="AL42" s="328">
        <v>36</v>
      </c>
      <c r="AM42" s="395">
        <f>'Scénario 1'!C$25</f>
        <v>-4652.3076923076924</v>
      </c>
      <c r="AN42" s="395">
        <f>'Scénario 1'!D$25</f>
        <v>-16728.024760770848</v>
      </c>
      <c r="AO42" s="395">
        <f>'Scénario 1'!E$25</f>
        <v>-37460.238859854901</v>
      </c>
      <c r="AP42" s="395">
        <f>'Scénario 1'!F$25</f>
        <v>-29226.507530881718</v>
      </c>
      <c r="AQ42" s="395">
        <f>'VAN d''exploitation '!K875</f>
        <v>-6154.9299558999173</v>
      </c>
      <c r="AR42" s="395">
        <f>'VAN d''exploitation '!L875</f>
        <v>16134.236963372081</v>
      </c>
      <c r="AS42" s="395">
        <f>'VAN d''exploitation '!M875</f>
        <v>14874.105338303134</v>
      </c>
      <c r="AT42" s="395">
        <f>'VAN d''exploitation '!N875</f>
        <v>13712.300059264653</v>
      </c>
      <c r="AU42" s="395">
        <f>'VAN d''exploitation '!O875</f>
        <v>12641.157144437131</v>
      </c>
      <c r="AV42" s="395">
        <f>'VAN d''exploitation '!P875</f>
        <v>11653.609241812046</v>
      </c>
      <c r="AW42" s="395">
        <f>'VAN d''exploitation '!Q875</f>
        <v>10743.139247532401</v>
      </c>
      <c r="AX42" s="395">
        <f>'VAN d''exploitation '!R875</f>
        <v>9903.73752413691</v>
      </c>
      <c r="AY42" s="395">
        <f>'VAN d''exploitation '!S875</f>
        <v>9129.8624398160446</v>
      </c>
      <c r="AZ42" s="395">
        <f>'VAN d''exploitation '!T875</f>
        <v>8416.4039713483453</v>
      </c>
      <c r="BA42" s="395">
        <f>'VAN d''exploitation '!U875</f>
        <v>7758.6501332836251</v>
      </c>
      <c r="BB42" s="395">
        <f>'VAN d''exploitation '!V875</f>
        <v>9650.4929024257381</v>
      </c>
      <c r="BC42" s="396">
        <f t="shared" si="17"/>
        <v>5.3999999999999994E-3</v>
      </c>
      <c r="BD42" s="397">
        <f t="shared" si="18"/>
        <v>30395.686166017018</v>
      </c>
      <c r="BE42" s="398">
        <f t="shared" si="19"/>
        <v>28186.467970306228</v>
      </c>
      <c r="BF42" s="399">
        <f t="shared" si="20"/>
        <v>-2209.2181957107896</v>
      </c>
    </row>
    <row r="43" spans="1:58" ht="30.75" customHeight="1" outlineLevel="1">
      <c r="A43" s="356"/>
      <c r="B43" s="327"/>
      <c r="C43" s="356"/>
      <c r="D43" s="327"/>
      <c r="E43" s="327"/>
      <c r="F43" s="327"/>
      <c r="G43" s="356"/>
      <c r="H43" s="356"/>
      <c r="I43" s="356"/>
      <c r="J43" s="327"/>
      <c r="K43" s="327"/>
      <c r="L43" s="327"/>
      <c r="M43" s="356"/>
      <c r="N43" s="356"/>
      <c r="O43" s="356"/>
      <c r="P43" s="356"/>
      <c r="Q43" s="327"/>
      <c r="R43" s="356"/>
      <c r="S43" s="356"/>
      <c r="T43" s="386"/>
      <c r="U43" s="356"/>
      <c r="V43" s="356"/>
      <c r="W43" s="356"/>
      <c r="X43" s="356"/>
      <c r="Y43" s="372">
        <f t="shared" si="0"/>
        <v>0</v>
      </c>
      <c r="Z43" s="356"/>
      <c r="AA43" s="356"/>
      <c r="AB43" s="356"/>
      <c r="AC43" s="356"/>
      <c r="AD43" s="326"/>
      <c r="AE43" s="326"/>
      <c r="AF43" s="326"/>
      <c r="AG43" s="326"/>
      <c r="AH43" s="326"/>
      <c r="AJ43" s="974" t="s">
        <v>464</v>
      </c>
      <c r="AK43" s="974"/>
      <c r="AL43" s="974"/>
      <c r="AM43" s="328">
        <f t="shared" ref="AM43:BA43" si="21">SUMPRODUCT(AM7:AM42,$BC$7:$BC$42)</f>
        <v>-4652.3076923076933</v>
      </c>
      <c r="AN43" s="328">
        <f t="shared" si="21"/>
        <v>-16728.024760770844</v>
      </c>
      <c r="AO43" s="328">
        <f t="shared" si="21"/>
        <v>-37460.238859854908</v>
      </c>
      <c r="AP43" s="328">
        <f t="shared" si="21"/>
        <v>-29226.507530881718</v>
      </c>
      <c r="AQ43" s="328">
        <f t="shared" si="21"/>
        <v>-13362.003102665603</v>
      </c>
      <c r="AR43" s="328">
        <f t="shared" si="21"/>
        <v>32933.749052100844</v>
      </c>
      <c r="AS43" s="328">
        <f t="shared" si="21"/>
        <v>29863.111119785146</v>
      </c>
      <c r="AT43" s="328">
        <f t="shared" si="21"/>
        <v>28364.284749736249</v>
      </c>
      <c r="AU43" s="328">
        <f t="shared" si="21"/>
        <v>25758.114597887808</v>
      </c>
      <c r="AV43" s="328">
        <f t="shared" si="21"/>
        <v>24430.960190125406</v>
      </c>
      <c r="AW43" s="328">
        <f t="shared" si="21"/>
        <v>22217.319270508207</v>
      </c>
      <c r="AX43" s="328">
        <f t="shared" si="21"/>
        <v>21044.870543259844</v>
      </c>
      <c r="AY43" s="328">
        <f t="shared" si="21"/>
        <v>19163.25210224168</v>
      </c>
      <c r="AZ43" s="328">
        <f t="shared" si="21"/>
        <v>18129.592631490726</v>
      </c>
      <c r="BA43" s="328">
        <f t="shared" si="21"/>
        <v>16529.056147444069</v>
      </c>
      <c r="BB43" s="328">
        <f>SUMPRODUCT(BB7:BB42,$BC$7:$BC$42)</f>
        <v>21484.978236183892</v>
      </c>
      <c r="BC43" s="396">
        <f>SUM(BC7:BC42)</f>
        <v>0.99999999999999989</v>
      </c>
      <c r="BD43" s="395"/>
      <c r="BE43" s="356"/>
      <c r="BF43" s="356"/>
    </row>
    <row r="44" spans="1:58" ht="30.75" customHeight="1" outlineLevel="1">
      <c r="A44" s="356"/>
      <c r="B44" s="327"/>
      <c r="C44" s="356"/>
      <c r="D44" s="327"/>
      <c r="E44" s="327"/>
      <c r="F44" s="327"/>
      <c r="G44" s="356"/>
      <c r="H44" s="356"/>
      <c r="I44" s="356"/>
      <c r="J44" s="327"/>
      <c r="K44" s="327"/>
      <c r="L44" s="327"/>
      <c r="M44" s="356"/>
      <c r="N44" s="356"/>
      <c r="O44" s="356"/>
      <c r="P44" s="387">
        <f>SUM(P7:P42)</f>
        <v>0.99999999999999989</v>
      </c>
      <c r="Q44" s="388">
        <f>SUM(Q7:Q42)</f>
        <v>10957949.476192219</v>
      </c>
      <c r="R44" s="356"/>
      <c r="S44" s="356"/>
      <c r="T44" s="386">
        <f>SUM(T7:T42)</f>
        <v>156280.98849857235</v>
      </c>
      <c r="U44" s="389"/>
      <c r="V44" s="390">
        <f>SUM(V7:V42)</f>
        <v>0.14347056855680812</v>
      </c>
      <c r="W44" s="390"/>
      <c r="X44" s="391">
        <f>SUM(X7:X42)</f>
        <v>2.4518858091654816</v>
      </c>
      <c r="Y44" s="381">
        <f t="shared" si="0"/>
        <v>24423747366.0909</v>
      </c>
      <c r="Z44" s="975">
        <f>AVERAGE(Z7:AA42)</f>
        <v>296.31127903981701</v>
      </c>
      <c r="AA44" s="976"/>
      <c r="AB44" s="356" t="s">
        <v>455</v>
      </c>
      <c r="AC44" s="356"/>
      <c r="AE44" s="324"/>
      <c r="AF44" s="324"/>
      <c r="AL44" s="10"/>
      <c r="AM44" s="328"/>
      <c r="AN44" s="328"/>
      <c r="AO44" s="328"/>
      <c r="AP44" s="328"/>
      <c r="AQ44" s="328"/>
      <c r="AR44" s="328"/>
      <c r="AS44" s="328"/>
      <c r="AT44" s="328"/>
      <c r="AU44" s="328"/>
      <c r="AV44" s="328"/>
      <c r="AW44" s="328"/>
      <c r="AX44" s="328"/>
      <c r="AY44" s="328"/>
      <c r="AZ44" s="328"/>
      <c r="BA44" s="328"/>
      <c r="BB44" s="328"/>
      <c r="BC44" s="328"/>
      <c r="BD44" s="328"/>
      <c r="BE44" s="356"/>
      <c r="BF44" s="356"/>
    </row>
    <row r="45" spans="1:58" ht="30.75" customHeight="1" outlineLevel="1">
      <c r="A45" s="356"/>
      <c r="B45" s="327"/>
      <c r="C45" s="356"/>
      <c r="D45" s="327"/>
      <c r="E45" s="327"/>
      <c r="F45" s="327"/>
      <c r="G45" s="356"/>
      <c r="H45" s="356"/>
      <c r="I45" s="356"/>
      <c r="J45" s="327"/>
      <c r="K45" s="327"/>
      <c r="L45" s="327"/>
      <c r="M45" s="356"/>
      <c r="N45" s="356"/>
      <c r="O45" s="356"/>
      <c r="P45" s="356"/>
      <c r="Q45" s="388"/>
      <c r="R45" s="356"/>
      <c r="S45" s="356"/>
      <c r="T45" s="356"/>
      <c r="U45" s="356"/>
      <c r="V45" s="356"/>
      <c r="W45" s="356"/>
      <c r="X45" s="356"/>
      <c r="Y45" s="356"/>
      <c r="Z45" s="976">
        <f>MIN(Z7:AA42)</f>
        <v>132.31024707561238</v>
      </c>
      <c r="AA45" s="976"/>
      <c r="AB45" s="356" t="s">
        <v>456</v>
      </c>
      <c r="AC45" s="356"/>
      <c r="AE45" s="324"/>
      <c r="AF45" s="324"/>
      <c r="AP45" s="25">
        <v>1.6799999999999999E-2</v>
      </c>
      <c r="AQ45" s="643">
        <f>'VAN d''exploitation '!K27</f>
        <v>-47600</v>
      </c>
      <c r="AR45" s="643">
        <f>'VAN d''exploitation '!L27</f>
        <v>128478.57247999999</v>
      </c>
      <c r="AS45" s="643">
        <f>'VAN d''exploitation '!M27</f>
        <v>133018.94589400094</v>
      </c>
      <c r="AT45" s="643">
        <f>'VAN d''exploitation '!N27</f>
        <v>137719.02220897787</v>
      </c>
      <c r="AU45" s="643">
        <f>'VAN d''exploitation '!O27</f>
        <v>142584.4078006997</v>
      </c>
      <c r="AV45" s="643">
        <f>'VAN d''exploitation '!P27</f>
        <v>147620.90569502831</v>
      </c>
      <c r="AW45" s="643">
        <f>'VAN d''exploitation '!Q27</f>
        <v>152834.52246326118</v>
      </c>
      <c r="AX45" s="643">
        <f>'VAN d''exploitation '!R27</f>
        <v>158231.47535921668</v>
      </c>
      <c r="AY45" s="643">
        <f>'VAN d''exploitation '!S27</f>
        <v>163818.19970653753</v>
      </c>
      <c r="AZ45" s="643">
        <f>'VAN d''exploitation '!T27</f>
        <v>169601.35654498346</v>
      </c>
      <c r="BA45" s="643">
        <f>'VAN d''exploitation '!U27</f>
        <v>175587.84054479352</v>
      </c>
      <c r="BB45" s="643">
        <f>'VAN d''exploitation '!V27</f>
        <v>251320.12775406367</v>
      </c>
    </row>
    <row r="46" spans="1:58" ht="30.75" customHeight="1" outlineLevel="1">
      <c r="A46" s="356"/>
      <c r="B46" s="356"/>
      <c r="C46" s="356"/>
      <c r="D46" s="327"/>
      <c r="E46" s="327"/>
      <c r="F46" s="327"/>
      <c r="G46" s="356"/>
      <c r="H46" s="356"/>
      <c r="I46" s="356"/>
      <c r="J46" s="327"/>
      <c r="K46" s="327"/>
      <c r="L46" s="327"/>
      <c r="M46" s="356"/>
      <c r="N46" s="356"/>
      <c r="O46" s="356"/>
      <c r="P46" s="356"/>
      <c r="Q46" s="388"/>
      <c r="R46" s="356"/>
      <c r="S46" s="356"/>
      <c r="T46" s="356"/>
      <c r="U46" s="356"/>
      <c r="V46" s="356"/>
      <c r="W46" s="356"/>
      <c r="X46" s="356"/>
      <c r="Y46" s="356"/>
      <c r="Z46" s="976">
        <f>MAX(Z7:AA42)</f>
        <v>5630.2174496206535</v>
      </c>
      <c r="AA46" s="976"/>
      <c r="AB46" s="356" t="s">
        <v>457</v>
      </c>
      <c r="AC46" s="356"/>
      <c r="AP46" s="25">
        <v>5.0399999999999993E-2</v>
      </c>
      <c r="AQ46" s="643">
        <f>'VAN d''exploitation '!K51</f>
        <v>-19040</v>
      </c>
      <c r="AR46" s="643">
        <f>'VAN d''exploitation '!L51</f>
        <v>50311.428991999994</v>
      </c>
      <c r="AS46" s="643">
        <f>'VAN d''exploitation '!M51</f>
        <v>52111.63755760037</v>
      </c>
      <c r="AT46" s="643">
        <f>'VAN d''exploitation '!N51</f>
        <v>53975.491997383157</v>
      </c>
      <c r="AU46" s="643">
        <f>'VAN d''exploitation '!O51</f>
        <v>55905.231388831453</v>
      </c>
      <c r="AV46" s="643">
        <f>'VAN d''exploitation '!P51</f>
        <v>57903.17341820673</v>
      </c>
      <c r="AW46" s="643">
        <f>'VAN d''exploitation '!Q51</f>
        <v>59971.717137929139</v>
      </c>
      <c r="AX46" s="643">
        <f>'VAN d''exploitation '!R51</f>
        <v>62113.345820644114</v>
      </c>
      <c r="AY46" s="643">
        <f>'VAN d''exploitation '!S51</f>
        <v>64330.629913364304</v>
      </c>
      <c r="AZ46" s="643">
        <f>'VAN d''exploitation '!T51</f>
        <v>66626.230095196544</v>
      </c>
      <c r="BA46" s="643">
        <f>'VAN d''exploitation '!U51</f>
        <v>69002.900442284095</v>
      </c>
      <c r="BB46" s="643">
        <f>'VAN d''exploitation '!V51</f>
        <v>99277.627525943826</v>
      </c>
    </row>
    <row r="47" spans="1:58" ht="21" outlineLevel="1">
      <c r="A47" s="356"/>
      <c r="B47" s="356"/>
      <c r="C47" s="356"/>
      <c r="D47" s="327"/>
      <c r="E47" s="327"/>
      <c r="F47" s="327"/>
      <c r="G47" s="356"/>
      <c r="H47" s="356"/>
      <c r="I47" s="356"/>
      <c r="J47" s="327"/>
      <c r="K47" s="327"/>
      <c r="L47" s="327"/>
      <c r="M47" s="356"/>
      <c r="N47" s="356"/>
      <c r="O47" s="356"/>
      <c r="P47" s="356"/>
      <c r="Q47" s="327"/>
      <c r="R47" s="356"/>
      <c r="S47" s="356"/>
      <c r="T47" s="356"/>
      <c r="U47" s="356"/>
      <c r="V47" s="356"/>
      <c r="W47" s="356"/>
      <c r="X47" s="356"/>
      <c r="Y47" s="356"/>
      <c r="Z47" s="356"/>
      <c r="AA47" s="356"/>
      <c r="AB47" s="356"/>
      <c r="AC47" s="356"/>
      <c r="AP47" s="25">
        <v>2.1599999999999998E-2</v>
      </c>
      <c r="AQ47" s="643">
        <f>'VAN d''exploitation '!K75</f>
        <v>-18853.333333333332</v>
      </c>
      <c r="AR47" s="643">
        <f>'VAN d''exploitation '!L75</f>
        <v>49991.848714666659</v>
      </c>
      <c r="AS47" s="643">
        <f>'VAN d''exploitation '!M75</f>
        <v>51255.29136571211</v>
      </c>
      <c r="AT47" s="643">
        <f>'VAN d''exploitation '!N75</f>
        <v>52550.472942369524</v>
      </c>
      <c r="AU47" s="643">
        <f>'VAN d''exploitation '!O75</f>
        <v>53878.187964419703</v>
      </c>
      <c r="AV47" s="643">
        <f>'VAN d''exploitation '!P75</f>
        <v>55239.250799959016</v>
      </c>
      <c r="AW47" s="643">
        <f>'VAN d''exploitation '!Q75</f>
        <v>56634.496160640352</v>
      </c>
      <c r="AX47" s="643">
        <f>'VAN d''exploitation '!R75</f>
        <v>58064.779609261823</v>
      </c>
      <c r="AY47" s="643">
        <f>'VAN d''exploitation '!S75</f>
        <v>59530.978080011657</v>
      </c>
      <c r="AZ47" s="643">
        <f>'VAN d''exploitation '!T75</f>
        <v>61033.990411683975</v>
      </c>
      <c r="BA47" s="643">
        <f>'VAN d''exploitation '!U75</f>
        <v>62574.737894189275</v>
      </c>
      <c r="BB47" s="643">
        <f>'VAN d''exploitation '!V75</f>
        <v>88866.853347820841</v>
      </c>
    </row>
    <row r="48" spans="1:58" ht="21">
      <c r="A48" s="356"/>
      <c r="B48" s="356"/>
      <c r="C48" s="356"/>
      <c r="D48" s="327"/>
      <c r="E48" s="327"/>
      <c r="F48" s="327"/>
      <c r="G48" s="356"/>
      <c r="H48" s="356"/>
      <c r="I48" s="356"/>
      <c r="J48" s="327"/>
      <c r="K48" s="327"/>
      <c r="L48" s="327"/>
      <c r="M48" s="356"/>
      <c r="N48" s="356"/>
      <c r="O48" s="356"/>
      <c r="P48" s="356"/>
      <c r="Q48" s="327"/>
      <c r="R48" s="356"/>
      <c r="S48" s="356"/>
      <c r="T48" s="356"/>
      <c r="U48" s="356"/>
      <c r="V48" s="356"/>
      <c r="W48" s="356"/>
      <c r="X48" s="356"/>
      <c r="Y48" s="356"/>
      <c r="Z48" s="356"/>
      <c r="AA48" s="356"/>
      <c r="AB48" s="356"/>
      <c r="AC48" s="356"/>
      <c r="AP48" s="25">
        <v>7.5600000000000001E-2</v>
      </c>
      <c r="AQ48" s="643">
        <f>'VAN d''exploitation '!K99</f>
        <v>-9520</v>
      </c>
      <c r="AR48" s="643">
        <f>'VAN d''exploitation '!L99</f>
        <v>24255.714495999997</v>
      </c>
      <c r="AS48" s="643">
        <f>'VAN d''exploitation '!M99</f>
        <v>25142.534778800185</v>
      </c>
      <c r="AT48" s="643">
        <f>'VAN d''exploitation '!N99</f>
        <v>26060.981926851578</v>
      </c>
      <c r="AU48" s="643">
        <f>'VAN d''exploitation '!O99</f>
        <v>27012.17258487537</v>
      </c>
      <c r="AV48" s="643">
        <f>'VAN d''exploitation '!P99</f>
        <v>27997.262659266191</v>
      </c>
      <c r="AW48" s="643">
        <f>'VAN d''exploitation '!Q99</f>
        <v>29017.448696151798</v>
      </c>
      <c r="AX48" s="643">
        <f>'VAN d''exploitation '!R99</f>
        <v>30073.969307786574</v>
      </c>
      <c r="AY48" s="643">
        <f>'VAN d''exploitation '!S99</f>
        <v>31168.10664897324</v>
      </c>
      <c r="AZ48" s="643">
        <f>'VAN d''exploitation '!T99</f>
        <v>32301.187945267568</v>
      </c>
      <c r="BA48" s="643">
        <f>'VAN d''exploitation '!U99</f>
        <v>33474.587074780953</v>
      </c>
      <c r="BB48" s="643">
        <f>'VAN d''exploitation '!V99</f>
        <v>48596.794116570527</v>
      </c>
    </row>
    <row r="49" spans="2:54">
      <c r="B49"/>
      <c r="AP49" s="25">
        <v>3.2399999999999998E-2</v>
      </c>
      <c r="AQ49" s="643">
        <f>'VAN d''exploitation '!K123</f>
        <v>-9426.6666666666661</v>
      </c>
      <c r="AR49" s="643">
        <f>'VAN d''exploitation '!L123</f>
        <v>24095.92435733333</v>
      </c>
      <c r="AS49" s="643">
        <f>'VAN d''exploitation '!M123</f>
        <v>24714.361682856055</v>
      </c>
      <c r="AT49" s="643">
        <f>'VAN d''exploitation '!N123</f>
        <v>25348.472399344762</v>
      </c>
      <c r="AU49" s="643">
        <f>'VAN d''exploitation '!O123</f>
        <v>25998.650872669496</v>
      </c>
      <c r="AV49" s="643">
        <f>'VAN d''exploitation '!P123</f>
        <v>26665.301350142334</v>
      </c>
      <c r="AW49" s="643">
        <f>'VAN d''exploitation '!Q123</f>
        <v>27348.838207507404</v>
      </c>
      <c r="AX49" s="643">
        <f>'VAN d''exploitation '!R123</f>
        <v>28049.686202095421</v>
      </c>
      <c r="AY49" s="643">
        <f>'VAN d''exploitation '!S123</f>
        <v>28768.280732296917</v>
      </c>
      <c r="AZ49" s="643">
        <f>'VAN d''exploitation '!T123</f>
        <v>29505.068103511294</v>
      </c>
      <c r="BA49" s="643">
        <f>'VAN d''exploitation '!U123</f>
        <v>30260.505800733543</v>
      </c>
      <c r="BB49" s="643">
        <f>'VAN d''exploitation '!V123</f>
        <v>43391.407027509027</v>
      </c>
    </row>
    <row r="50" spans="2:54">
      <c r="B50"/>
      <c r="AP50" s="25">
        <v>8.3999999999999995E-3</v>
      </c>
      <c r="AQ50" s="643">
        <f>'VAN d''exploitation '!K147</f>
        <v>-47600</v>
      </c>
      <c r="AR50" s="643">
        <f>'VAN d''exploitation '!L147</f>
        <v>137046.57248</v>
      </c>
      <c r="AS50" s="643">
        <f>'VAN d''exploitation '!M147</f>
        <v>141887.29884760093</v>
      </c>
      <c r="AT50" s="643">
        <f>'VAN d''exploitation '!N147</f>
        <v>146898.25704903691</v>
      </c>
      <c r="AU50" s="643">
        <f>'VAN d''exploitation '!O147</f>
        <v>152085.42255392397</v>
      </c>
      <c r="AV50" s="643">
        <f>'VAN d''exploitation '!P147</f>
        <v>157454.98042062984</v>
      </c>
      <c r="AW50" s="643">
        <f>'VAN d''exploitation '!Q147</f>
        <v>163013.33264518357</v>
      </c>
      <c r="AX50" s="643">
        <f>'VAN d''exploitation '!R147</f>
        <v>168767.10576782847</v>
      </c>
      <c r="AY50" s="643">
        <f>'VAN d''exploitation '!S147</f>
        <v>174723.15874624922</v>
      </c>
      <c r="AZ50" s="643">
        <f>'VAN d''exploitation '!T147</f>
        <v>180888.59110482404</v>
      </c>
      <c r="BA50" s="643">
        <f>'VAN d''exploitation '!U147</f>
        <v>187270.75136957629</v>
      </c>
      <c r="BB50" s="643">
        <f>'VAN d''exploitation '!V147</f>
        <v>263412.58535439137</v>
      </c>
    </row>
    <row r="51" spans="2:54">
      <c r="B51"/>
      <c r="AP51" s="25">
        <v>3.5999999999999999E-3</v>
      </c>
      <c r="AQ51" s="643">
        <f>'VAN d''exploitation '!K171</f>
        <v>-47133.333333333328</v>
      </c>
      <c r="AR51" s="643">
        <f>'VAN d''exploitation '!L171</f>
        <v>136163.62178666663</v>
      </c>
      <c r="AS51" s="643">
        <f>'VAN d''exploitation '!M171</f>
        <v>139573.39649268024</v>
      </c>
      <c r="AT51" s="643">
        <f>'VAN d''exploitation '!N171</f>
        <v>143068.37010459817</v>
      </c>
      <c r="AU51" s="643">
        <f>'VAN d''exploitation '!O171</f>
        <v>146650.66870200625</v>
      </c>
      <c r="AV51" s="643">
        <f>'VAN d''exploitation '!P171</f>
        <v>150322.47137876513</v>
      </c>
      <c r="AW51" s="643">
        <f>'VAN d''exploitation '!Q171</f>
        <v>154086.01156433512</v>
      </c>
      <c r="AX51" s="643">
        <f>'VAN d''exploitation '!R171</f>
        <v>157943.57837802568</v>
      </c>
      <c r="AY51" s="643">
        <f>'VAN d''exploitation '!S171</f>
        <v>161897.51801698841</v>
      </c>
      <c r="AZ51" s="643">
        <f>'VAN d''exploitation '!T171</f>
        <v>165950.23517879492</v>
      </c>
      <c r="BA51" s="643">
        <f>'VAN d''exploitation '!U171</f>
        <v>170104.19451946154</v>
      </c>
      <c r="BB51" s="643">
        <f>'VAN d''exploitation '!V171</f>
        <v>236143.64344562814</v>
      </c>
    </row>
    <row r="52" spans="2:54">
      <c r="B52"/>
      <c r="AP52" s="25">
        <v>1.2599999999999998E-2</v>
      </c>
      <c r="AQ52" s="643">
        <f>'VAN d''exploitation '!K195</f>
        <v>-23800</v>
      </c>
      <c r="AR52" s="643">
        <f>'VAN d''exploitation '!L195</f>
        <v>67623.286240000001</v>
      </c>
      <c r="AS52" s="643">
        <f>'VAN d''exploitation '!M195</f>
        <v>70030.365423800467</v>
      </c>
      <c r="AT52" s="643">
        <f>'VAN d''exploitation '!N195</f>
        <v>72522.364452678448</v>
      </c>
      <c r="AU52" s="643">
        <f>'VAN d''exploitation '!O195</f>
        <v>75102.268167421615</v>
      </c>
      <c r="AV52" s="643">
        <f>'VAN d''exploitation '!P195</f>
        <v>77773.166160477733</v>
      </c>
      <c r="AW52" s="643">
        <f>'VAN d''exploitation '!Q195</f>
        <v>80538.256449779015</v>
      </c>
      <c r="AX52" s="643">
        <f>'VAN d''exploitation '!R195</f>
        <v>83400.849281378731</v>
      </c>
      <c r="AY52" s="643">
        <f>'VAN d''exploitation '!S195</f>
        <v>86364.371065415704</v>
      </c>
      <c r="AZ52" s="643">
        <f>'VAN d''exploitation '!T195</f>
        <v>89432.368450081325</v>
      </c>
      <c r="BA52" s="643">
        <f>'VAN d''exploitation '!U195</f>
        <v>92608.512538427065</v>
      </c>
      <c r="BB52" s="643">
        <f>'VAN d''exploitation '!V195</f>
        <v>130664.27303079427</v>
      </c>
    </row>
    <row r="53" spans="2:54">
      <c r="B53"/>
      <c r="AP53" s="25">
        <v>5.3999999999999994E-3</v>
      </c>
      <c r="AQ53" s="643">
        <f>'VAN d''exploitation '!K219</f>
        <v>-23566.666666666664</v>
      </c>
      <c r="AR53" s="643">
        <f>'VAN d''exploitation '!L219</f>
        <v>67181.810893333313</v>
      </c>
      <c r="AS53" s="643">
        <f>'VAN d''exploitation '!M219</f>
        <v>68873.414246340122</v>
      </c>
      <c r="AT53" s="643">
        <f>'VAN d''exploitation '!N219</f>
        <v>70607.420980459079</v>
      </c>
      <c r="AU53" s="643">
        <f>'VAN d''exploitation '!O219</f>
        <v>72384.89124146277</v>
      </c>
      <c r="AV53" s="643">
        <f>'VAN d''exploitation '!P219</f>
        <v>74206.911639545375</v>
      </c>
      <c r="AW53" s="643">
        <f>'VAN d''exploitation '!Q219</f>
        <v>76074.595909354786</v>
      </c>
      <c r="AX53" s="643">
        <f>'VAN d''exploitation '!R219</f>
        <v>77989.085586477333</v>
      </c>
      <c r="AY53" s="643">
        <f>'VAN d''exploitation '!S219</f>
        <v>79951.550700785301</v>
      </c>
      <c r="AZ53" s="643">
        <f>'VAN d''exploitation '!T219</f>
        <v>81963.190487066764</v>
      </c>
      <c r="BA53" s="643">
        <f>'VAN d''exploitation '!U219</f>
        <v>84025.23411336969</v>
      </c>
      <c r="BB53" s="643">
        <f>'VAN d''exploitation '!V219</f>
        <v>117029.80207641267</v>
      </c>
    </row>
    <row r="54" spans="2:54">
      <c r="B54"/>
      <c r="AP54" s="25">
        <v>5.0399999999999993E-2</v>
      </c>
      <c r="AQ54" s="643">
        <f>'VAN d''exploitation '!K243</f>
        <v>-31416</v>
      </c>
      <c r="AR54" s="643">
        <f>'VAN d''exploitation '!L243</f>
        <v>89838.737836800006</v>
      </c>
      <c r="AS54" s="643">
        <f>'VAN d''exploitation '!M243</f>
        <v>93024.584119416613</v>
      </c>
      <c r="AT54" s="643">
        <f>'VAN d''exploitation '!N243</f>
        <v>96322.650083513174</v>
      </c>
      <c r="AU54" s="643">
        <f>'VAN d''exploitation '!O243</f>
        <v>99736.877571102377</v>
      </c>
      <c r="AV54" s="643">
        <f>'VAN d''exploitation '!P243</f>
        <v>103271.3467237264</v>
      </c>
      <c r="AW54" s="643">
        <f>'VAN d''exploitation '!Q243</f>
        <v>106930.28083230849</v>
      </c>
      <c r="AX54" s="643">
        <f>'VAN d''exploitation '!R243</f>
        <v>110718.05135704263</v>
      </c>
      <c r="AY54" s="643">
        <f>'VAN d''exploitation '!S243</f>
        <v>114639.18312328246</v>
      </c>
      <c r="AZ54" s="643">
        <f>'VAN d''exploitation '!T243</f>
        <v>118698.35969959896</v>
      </c>
      <c r="BA54" s="643">
        <f>'VAN d''exploitation '!U243</f>
        <v>122900.42896439481</v>
      </c>
      <c r="BB54" s="643">
        <f>'VAN d''exploitation '!V243</f>
        <v>173143.73297434536</v>
      </c>
    </row>
    <row r="55" spans="2:54">
      <c r="B55"/>
      <c r="AP55" s="25">
        <v>2.1599999999999998E-2</v>
      </c>
      <c r="AQ55" s="643">
        <f>'VAN d''exploitation '!K267</f>
        <v>-31108</v>
      </c>
      <c r="AR55" s="643">
        <f>'VAN d''exploitation '!L267</f>
        <v>89255.990379199997</v>
      </c>
      <c r="AS55" s="643">
        <f>'VAN d''exploitation '!M267</f>
        <v>91497.408565168967</v>
      </c>
      <c r="AT55" s="643">
        <f>'VAN d''exploitation '!N267</f>
        <v>93794.924700183619</v>
      </c>
      <c r="AU55" s="643">
        <f>'VAN d''exploitation '!O267</f>
        <v>96149.940028836718</v>
      </c>
      <c r="AV55" s="643">
        <f>'VAN d''exploitation '!P267</f>
        <v>98563.890756095701</v>
      </c>
      <c r="AW55" s="643">
        <f>'VAN d''exploitation '!Q267</f>
        <v>101038.24891894849</v>
      </c>
      <c r="AX55" s="643">
        <f>'VAN d''exploitation '!R267</f>
        <v>103574.52327977281</v>
      </c>
      <c r="AY55" s="643">
        <f>'VAN d''exploitation '!S267</f>
        <v>106174.26024197027</v>
      </c>
      <c r="AZ55" s="643">
        <f>'VAN d''exploitation '!T267</f>
        <v>108839.04478841979</v>
      </c>
      <c r="BA55" s="643">
        <f>'VAN d''exploitation '!U267</f>
        <v>111570.5014433191</v>
      </c>
      <c r="BB55" s="643">
        <f>'VAN d''exploitation '!V267</f>
        <v>155146.23131456162</v>
      </c>
    </row>
    <row r="56" spans="2:54">
      <c r="B56"/>
      <c r="AP56" s="25">
        <v>7.5600000000000001E-2</v>
      </c>
      <c r="AQ56" s="643">
        <f>'VAN d''exploitation '!K292</f>
        <v>-15708</v>
      </c>
      <c r="AR56" s="643">
        <f>'VAN d''exploitation '!L292</f>
        <v>44019.368918400003</v>
      </c>
      <c r="AS56" s="643">
        <f>'VAN d''exploitation '!M292</f>
        <v>45599.008059708307</v>
      </c>
      <c r="AT56" s="643">
        <f>'VAN d''exploitation '!N292</f>
        <v>47234.56096991658</v>
      </c>
      <c r="AU56" s="643">
        <f>'VAN d''exploitation '!O292</f>
        <v>48927.995676010833</v>
      </c>
      <c r="AV56" s="643">
        <f>'VAN d''exploitation '!P292</f>
        <v>50681.349312026025</v>
      </c>
      <c r="AW56" s="643">
        <f>'VAN d''exploitation '!Q292</f>
        <v>52496.730543341473</v>
      </c>
      <c r="AX56" s="643">
        <f>'VAN d''exploitation '!R292</f>
        <v>54376.322075985838</v>
      </c>
      <c r="AY56" s="643">
        <f>'VAN d''exploitation '!S292</f>
        <v>56322.383253932319</v>
      </c>
      <c r="AZ56" s="643">
        <f>'VAN d''exploitation '!T292</f>
        <v>58337.252747468796</v>
      </c>
      <c r="BA56" s="643">
        <f>'VAN d''exploitation '!U292</f>
        <v>60423.351335836313</v>
      </c>
      <c r="BB56" s="643">
        <f>'VAN d''exploitation '!V292</f>
        <v>85529.846840771294</v>
      </c>
    </row>
    <row r="57" spans="2:54">
      <c r="B57"/>
      <c r="AP57" s="25">
        <v>3.2399999999999998E-2</v>
      </c>
      <c r="AQ57" s="643">
        <f>'VAN d''exploitation '!K316</f>
        <v>-15554</v>
      </c>
      <c r="AR57" s="643">
        <f>'VAN d''exploitation '!L316</f>
        <v>43727.995189599998</v>
      </c>
      <c r="AS57" s="643">
        <f>'VAN d''exploitation '!M316</f>
        <v>44835.420282584484</v>
      </c>
      <c r="AT57" s="643">
        <f>'VAN d''exploitation '!N316</f>
        <v>45970.698278251803</v>
      </c>
      <c r="AU57" s="643">
        <f>'VAN d''exploitation '!O316</f>
        <v>47134.526904878003</v>
      </c>
      <c r="AV57" s="643">
        <f>'VAN d''exploitation '!P316</f>
        <v>48327.621328210676</v>
      </c>
      <c r="AW57" s="643">
        <f>'VAN d''exploitation '!Q316</f>
        <v>49550.714586661474</v>
      </c>
      <c r="AX57" s="643">
        <f>'VAN d''exploitation '!R316</f>
        <v>50804.558037350915</v>
      </c>
      <c r="AY57" s="643">
        <f>'VAN d''exploitation '!S316</f>
        <v>52089.921813276233</v>
      </c>
      <c r="AZ57" s="643">
        <f>'VAN d''exploitation '!T316</f>
        <v>53407.595291879203</v>
      </c>
      <c r="BA57" s="643">
        <f>'VAN d''exploitation '!U316</f>
        <v>54758.387575298446</v>
      </c>
      <c r="BB57" s="643">
        <f>'VAN d''exploitation '!V316</f>
        <v>76531.096010879424</v>
      </c>
    </row>
    <row r="58" spans="2:54">
      <c r="B58"/>
      <c r="AP58" s="25">
        <v>2.5199999999999997E-2</v>
      </c>
      <c r="AQ58" s="643">
        <f>'VAN d''exploitation '!K340</f>
        <v>-19040</v>
      </c>
      <c r="AR58" s="643">
        <f>'VAN d''exploitation '!L340</f>
        <v>53738.628991999998</v>
      </c>
      <c r="AS58" s="643">
        <f>'VAN d''exploitation '!M340</f>
        <v>55658.978739040373</v>
      </c>
      <c r="AT58" s="643">
        <f>'VAN d''exploitation '!N340</f>
        <v>57647.18593340677</v>
      </c>
      <c r="AU58" s="643">
        <f>'VAN d''exploitation '!O340</f>
        <v>59705.637290121165</v>
      </c>
      <c r="AV58" s="643">
        <f>'VAN d''exploitation '!P340</f>
        <v>61836.803308447328</v>
      </c>
      <c r="AW58" s="643">
        <f>'VAN d''exploitation '!Q340</f>
        <v>64043.241210698106</v>
      </c>
      <c r="AX58" s="643">
        <f>'VAN d''exploitation '!R340</f>
        <v>66327.597984088818</v>
      </c>
      <c r="AY58" s="643">
        <f>'VAN d''exploitation '!S340</f>
        <v>68692.613529248993</v>
      </c>
      <c r="AZ58" s="643">
        <f>'VAN d''exploitation '!T340</f>
        <v>71141.123919132777</v>
      </c>
      <c r="BA58" s="643">
        <f>'VAN d''exploitation '!U340</f>
        <v>73676.064772197191</v>
      </c>
      <c r="BB58" s="643">
        <f>'VAN d''exploitation '!V340</f>
        <v>104114.61056607487</v>
      </c>
    </row>
    <row r="59" spans="2:54">
      <c r="B59"/>
      <c r="AP59" s="25">
        <v>1.0799999999999999E-2</v>
      </c>
      <c r="AQ59" s="643">
        <f>'VAN d''exploitation '!K364</f>
        <v>-18853.333333333332</v>
      </c>
      <c r="AR59" s="643">
        <f>'VAN d''exploitation '!L364</f>
        <v>53194.132629333326</v>
      </c>
      <c r="AS59" s="643">
        <f>'VAN d''exploitation '!M364</f>
        <v>55095.394947481152</v>
      </c>
      <c r="AT59" s="643">
        <f>'VAN d''exploitation '!N364</f>
        <v>57063.84559931769</v>
      </c>
      <c r="AU59" s="643">
        <f>'VAN d''exploitation '!O364</f>
        <v>59101.847843952506</v>
      </c>
      <c r="AV59" s="643">
        <f>'VAN d''exploitation '!P364</f>
        <v>61211.847902485344</v>
      </c>
      <c r="AW59" s="643">
        <f>'VAN d''exploitation '!Q364</f>
        <v>63396.377867989038</v>
      </c>
      <c r="AX59" s="643">
        <f>'VAN d''exploitation '!R364</f>
        <v>65658.058717528416</v>
      </c>
      <c r="AY59" s="643">
        <f>'VAN d''exploitation '!S364</f>
        <v>67999.603429791503</v>
      </c>
      <c r="AZ59" s="643">
        <f>'VAN d''exploitation '!T364</f>
        <v>70423.82021203675</v>
      </c>
      <c r="BA59" s="643">
        <f>'VAN d''exploitation '!U364</f>
        <v>72933.615840188184</v>
      </c>
      <c r="BB59" s="643">
        <f>'VAN d''exploitation '!V364</f>
        <v>103073.44733216435</v>
      </c>
    </row>
    <row r="60" spans="2:54">
      <c r="B60"/>
      <c r="AP60" s="25">
        <v>7.1999999999999998E-3</v>
      </c>
      <c r="AQ60" s="643">
        <f>'VAN d''exploitation '!K387</f>
        <v>-47133.333333333328</v>
      </c>
      <c r="AR60" s="643">
        <f>'VAN d''exploitation '!L387</f>
        <v>127679.62178666666</v>
      </c>
      <c r="AS60" s="643">
        <f>'VAN d''exploitation '!M387</f>
        <v>130878.08041428024</v>
      </c>
      <c r="AT60" s="643">
        <f>'VAN d''exploitation '!N387</f>
        <v>134156.4745714438</v>
      </c>
      <c r="AU60" s="643">
        <f>'VAN d''exploitation '!O387</f>
        <v>137516.7992396703</v>
      </c>
      <c r="AV60" s="643">
        <f>'VAN d''exploitation '!P387</f>
        <v>140961.0991494091</v>
      </c>
      <c r="AW60" s="643">
        <f>'VAN d''exploitation '!Q387</f>
        <v>144491.47002003918</v>
      </c>
      <c r="AX60" s="643">
        <f>'VAN d''exploitation '!R387</f>
        <v>148110.05983076099</v>
      </c>
      <c r="AY60" s="643">
        <f>'VAN d''exploitation '!S387</f>
        <v>151819.07012315589</v>
      </c>
      <c r="AZ60" s="643">
        <f>'VAN d''exploitation '!T387</f>
        <v>155620.75733620202</v>
      </c>
      <c r="BA60" s="643">
        <f>'VAN d''exploitation '!U387</f>
        <v>159517.43417455646</v>
      </c>
      <c r="BB60" s="643">
        <f>'VAN d''exploitation '!V387</f>
        <v>225293.19230875626</v>
      </c>
    </row>
    <row r="61" spans="2:54">
      <c r="B61"/>
      <c r="AP61" s="25">
        <v>2.5199999999999997E-2</v>
      </c>
      <c r="AQ61" s="643">
        <f>'VAN d''exploitation '!K411</f>
        <v>-23800</v>
      </c>
      <c r="AR61" s="643">
        <f>'VAN d''exploitation '!L411</f>
        <v>63339.286239999994</v>
      </c>
      <c r="AS61" s="643">
        <f>'VAN d''exploitation '!M411</f>
        <v>65596.188947000468</v>
      </c>
      <c r="AT61" s="643">
        <f>'VAN d''exploitation '!N411</f>
        <v>67932.747032648927</v>
      </c>
      <c r="AU61" s="643">
        <f>'VAN d''exploitation '!O411</f>
        <v>70351.760790809494</v>
      </c>
      <c r="AV61" s="643">
        <f>'VAN d''exploitation '!P411</f>
        <v>72856.128797676967</v>
      </c>
      <c r="AW61" s="643">
        <f>'VAN d''exploitation '!Q411</f>
        <v>75448.851358817818</v>
      </c>
      <c r="AX61" s="643">
        <f>'VAN d''exploitation '!R411</f>
        <v>78133.034077072865</v>
      </c>
      <c r="AY61" s="643">
        <f>'VAN d''exploitation '!S411</f>
        <v>80911.891545559862</v>
      </c>
      <c r="AZ61" s="643">
        <f>'VAN d''exploitation '!T411</f>
        <v>83788.751170161006</v>
      </c>
      <c r="BA61" s="643">
        <f>'VAN d''exploitation '!U411</f>
        <v>86767.057126035666</v>
      </c>
      <c r="BB61" s="643">
        <f>'VAN d''exploitation '!V411</f>
        <v>124618.04423063043</v>
      </c>
    </row>
    <row r="62" spans="2:54">
      <c r="B62"/>
      <c r="AP62" s="25">
        <v>1.0799999999999999E-2</v>
      </c>
      <c r="AQ62" s="643">
        <f>'VAN d''exploitation '!K435</f>
        <v>-23566.666666666664</v>
      </c>
      <c r="AR62" s="643">
        <f>'VAN d''exploitation '!L435</f>
        <v>62939.810893333328</v>
      </c>
      <c r="AS62" s="643">
        <f>'VAN d''exploitation '!M435</f>
        <v>64525.756207140119</v>
      </c>
      <c r="AT62" s="643">
        <f>'VAN d''exploitation '!N435</f>
        <v>66151.473213881909</v>
      </c>
      <c r="AU62" s="643">
        <f>'VAN d''exploitation '!O435</f>
        <v>67817.956510294796</v>
      </c>
      <c r="AV62" s="643">
        <f>'VAN d''exploitation '!P435</f>
        <v>69526.22552486739</v>
      </c>
      <c r="AW62" s="643">
        <f>'VAN d''exploitation '!Q435</f>
        <v>71277.325137206819</v>
      </c>
      <c r="AX62" s="643">
        <f>'VAN d''exploitation '!R435</f>
        <v>73072.32631284502</v>
      </c>
      <c r="AY62" s="643">
        <f>'VAN d''exploitation '!S435</f>
        <v>74912.326753869042</v>
      </c>
      <c r="AZ62" s="643">
        <f>'VAN d''exploitation '!T435</f>
        <v>76798.451565770316</v>
      </c>
      <c r="BA62" s="643">
        <f>'VAN d''exploitation '!U435</f>
        <v>78731.853940917135</v>
      </c>
      <c r="BB62" s="643">
        <f>'VAN d''exploitation '!V435</f>
        <v>111604.57650797676</v>
      </c>
    </row>
    <row r="63" spans="2:54">
      <c r="B63"/>
      <c r="AP63" s="25">
        <v>0.10079999999999999</v>
      </c>
      <c r="AQ63" s="643">
        <f>'VAN d''exploitation '!K459</f>
        <v>-31416.055</v>
      </c>
      <c r="AR63" s="643">
        <f>'VAN d''exploitation '!L459</f>
        <v>84184.009484999988</v>
      </c>
      <c r="AS63" s="643">
        <f>'VAN d''exploitation '!M459</f>
        <v>87171.625056568038</v>
      </c>
      <c r="AT63" s="643">
        <f>'VAN d''exploitation '!N459</f>
        <v>90264.511246966809</v>
      </c>
      <c r="AU63" s="643">
        <f>'VAN d''exploitation '!O459</f>
        <v>93466.36629675742</v>
      </c>
      <c r="AV63" s="643">
        <f>'VAN d''exploitation '!P459</f>
        <v>96781.018206523164</v>
      </c>
      <c r="AW63" s="643">
        <f>'VAN d''exploitation '!Q459</f>
        <v>100212.42928736644</v>
      </c>
      <c r="AX63" s="643">
        <f>'VAN d''exploitation '!R459</f>
        <v>103764.70087095055</v>
      </c>
      <c r="AY63" s="643">
        <f>'VAN d''exploitation '!S459</f>
        <v>107442.07818467813</v>
      </c>
      <c r="AZ63" s="643">
        <f>'VAN d''exploitation '!T459</f>
        <v>111248.95539779706</v>
      </c>
      <c r="BA63" s="643">
        <f>'VAN d''exploitation '!U459</f>
        <v>115189.88084442465</v>
      </c>
      <c r="BB63" s="643">
        <f>'VAN d''exploitation '!V459</f>
        <v>165162.95115523558</v>
      </c>
    </row>
    <row r="64" spans="2:54">
      <c r="B64"/>
      <c r="AP64" s="25">
        <v>4.3199999999999995E-2</v>
      </c>
      <c r="AQ64" s="643">
        <f>'VAN d''exploitation '!K483</f>
        <v>-31108</v>
      </c>
      <c r="AR64" s="643">
        <f>'VAN d''exploitation '!L483</f>
        <v>83656.550379199994</v>
      </c>
      <c r="AS64" s="643">
        <f>'VAN d''exploitation '!M483</f>
        <v>54650.499953424973</v>
      </c>
      <c r="AT64" s="643">
        <f>'VAN d''exploitation '!N483</f>
        <v>87138.24802750173</v>
      </c>
      <c r="AU64" s="643">
        <f>'VAN d''exploitation '!O483</f>
        <v>58219.461516262323</v>
      </c>
      <c r="AV64" s="643">
        <f>'VAN d''exploitation '!P483</f>
        <v>90796.655056921532</v>
      </c>
      <c r="AW64" s="643">
        <f>'VAN d''exploitation '!Q483</f>
        <v>61969.550019873561</v>
      </c>
      <c r="AX64" s="643">
        <f>'VAN d''exploitation '!R483</f>
        <v>94640.716855999301</v>
      </c>
      <c r="AY64" s="643">
        <f>'VAN d''exploitation '!S483</f>
        <v>65909.934141315985</v>
      </c>
      <c r="AZ64" s="643">
        <f>'VAN d''exploitation '!T483</f>
        <v>98679.830958980834</v>
      </c>
      <c r="BA64" s="643">
        <f>'VAN d''exploitation '!U483</f>
        <v>70050.245979501997</v>
      </c>
      <c r="BB64" s="643">
        <f>'VAN d''exploitation '!V483</f>
        <v>143699.80593575392</v>
      </c>
    </row>
    <row r="65" spans="2:54">
      <c r="B65"/>
      <c r="AP65" s="25">
        <v>0.1512</v>
      </c>
      <c r="AQ65" s="643">
        <f>'VAN d''exploitation '!K507</f>
        <v>-15708</v>
      </c>
      <c r="AR65" s="643">
        <f>'VAN d''exploitation '!L507</f>
        <v>41191.928918399994</v>
      </c>
      <c r="AS65" s="643">
        <f>'VAN d''exploitation '!M507</f>
        <v>42672.451585020302</v>
      </c>
      <c r="AT65" s="643">
        <f>'VAN d''exploitation '!N507</f>
        <v>44205.41347269711</v>
      </c>
      <c r="AU65" s="643">
        <f>'VAN d''exploitation '!O507</f>
        <v>45792.660807446824</v>
      </c>
      <c r="AV65" s="643">
        <f>'VAN d''exploitation '!P507</f>
        <v>47436.104652577531</v>
      </c>
      <c r="AW65" s="643">
        <f>'VAN d''exploitation '!Q507</f>
        <v>49137.723183307084</v>
      </c>
      <c r="AX65" s="643">
        <f>'VAN d''exploitation '!R507</f>
        <v>50899.564041143953</v>
      </c>
      <c r="AY65" s="643">
        <f>'VAN d''exploitation '!S507</f>
        <v>52723.746770827456</v>
      </c>
      <c r="AZ65" s="643">
        <f>'VAN d''exploitation '!T507</f>
        <v>54612.465342721393</v>
      </c>
      <c r="BA65" s="643">
        <f>'VAN d''exploitation '!U507</f>
        <v>56567.990763658003</v>
      </c>
      <c r="BB65" s="643">
        <f>'VAN d''exploitation '!V507</f>
        <v>81539.335832663157</v>
      </c>
    </row>
    <row r="66" spans="2:54">
      <c r="B66"/>
      <c r="AP66" s="25">
        <v>6.4799999999999996E-2</v>
      </c>
      <c r="AQ66" s="643">
        <f>'VAN d''exploitation '!K531</f>
        <v>-15554</v>
      </c>
      <c r="AR66" s="643">
        <f>'VAN d''exploitation '!L531</f>
        <v>40928.275189599997</v>
      </c>
      <c r="AS66" s="643">
        <f>'VAN d''exploitation '!M531</f>
        <v>41965.965976712483</v>
      </c>
      <c r="AT66" s="643">
        <f>'VAN d''exploitation '!N531</f>
        <v>43029.772752310862</v>
      </c>
      <c r="AU66" s="643">
        <f>'VAN d''exploitation '!O531</f>
        <v>44120.349982307132</v>
      </c>
      <c r="AV66" s="643">
        <f>'VAN d''exploitation '!P531</f>
        <v>45238.368492523179</v>
      </c>
      <c r="AW66" s="643">
        <f>'VAN d''exploitation '!Q531</f>
        <v>46384.515877043814</v>
      </c>
      <c r="AX66" s="643">
        <f>'VAN d''exploitation '!R531</f>
        <v>47559.496916753575</v>
      </c>
      <c r="AY66" s="643">
        <f>'VAN d''exploitation '!S531</f>
        <v>48764.034008311515</v>
      </c>
      <c r="AZ66" s="643">
        <f>'VAN d''exploitation '!T531</f>
        <v>49998.867603823543</v>
      </c>
      <c r="BA66" s="643">
        <f>'VAN d''exploitation '!U531</f>
        <v>51264.756661479769</v>
      </c>
      <c r="BB66" s="643">
        <f>'VAN d''exploitation '!V531</f>
        <v>72950.4471357117</v>
      </c>
    </row>
    <row r="67" spans="2:54">
      <c r="B67"/>
      <c r="AP67" s="25">
        <v>3.78E-2</v>
      </c>
      <c r="AQ67" s="643">
        <f>'VAN d''exploitation '!K556</f>
        <v>-9520</v>
      </c>
      <c r="AR67" s="643">
        <f>'VAN d''exploitation '!L556</f>
        <v>25969.314495999999</v>
      </c>
      <c r="AS67" s="643">
        <f>'VAN d''exploitation '!M556</f>
        <v>26916.205369520187</v>
      </c>
      <c r="AT67" s="643">
        <f>'VAN d''exploitation '!N556</f>
        <v>27896.828894863385</v>
      </c>
      <c r="AU67" s="643">
        <f>'VAN d''exploitation '!O556</f>
        <v>28912.375535520223</v>
      </c>
      <c r="AV67" s="643">
        <f>'VAN d''exploitation '!P556</f>
        <v>29964.077604386497</v>
      </c>
      <c r="AW67" s="643">
        <f>'VAN d''exploitation '!Q556</f>
        <v>31053.210732536281</v>
      </c>
      <c r="AX67" s="643">
        <f>'VAN d''exploitation '!R556</f>
        <v>32181.095389508919</v>
      </c>
      <c r="AY67" s="643">
        <f>'VAN d''exploitation '!S556</f>
        <v>33349.098456915584</v>
      </c>
      <c r="AZ67" s="643">
        <f>'VAN d''exploitation '!T556</f>
        <v>34558.634857235695</v>
      </c>
      <c r="BA67" s="643">
        <f>'VAN d''exploitation '!U556</f>
        <v>35811.169239737501</v>
      </c>
      <c r="BB67" s="643">
        <f>'VAN d''exploitation '!V556</f>
        <v>51015.28563663605</v>
      </c>
    </row>
    <row r="68" spans="2:54">
      <c r="B68"/>
      <c r="AP68" s="25">
        <v>1.6199999999999999E-2</v>
      </c>
      <c r="AQ68" s="643">
        <f>'VAN d''exploitation '!K581</f>
        <v>-9426.6666666666661</v>
      </c>
      <c r="AR68" s="643">
        <f>'VAN d''exploitation '!L581</f>
        <v>25792.724357333325</v>
      </c>
      <c r="AS68" s="643">
        <f>'VAN d''exploitation '!M581</f>
        <v>26453.424898536054</v>
      </c>
      <c r="AT68" s="643">
        <f>'VAN d''exploitation '!N581</f>
        <v>27130.851505975632</v>
      </c>
      <c r="AU68" s="643">
        <f>'VAN d''exploitation '!O581</f>
        <v>27825.42476513669</v>
      </c>
      <c r="AV68" s="643">
        <f>'VAN d''exploitation '!P581</f>
        <v>28537.575796013545</v>
      </c>
      <c r="AW68" s="643">
        <f>'VAN d''exploitation '!Q581</f>
        <v>29267.746516366591</v>
      </c>
      <c r="AX68" s="643">
        <f>'VAN d''exploitation '!R581</f>
        <v>30016.389911548351</v>
      </c>
      <c r="AY68" s="643">
        <f>'VAN d''exploitation '!S581</f>
        <v>30783.970311063415</v>
      </c>
      <c r="AZ68" s="643">
        <f>'VAN d''exploitation '!T581</f>
        <v>31570.963672029873</v>
      </c>
      <c r="BA68" s="643">
        <f>'VAN d''exploitation '!U581</f>
        <v>32377.857869714557</v>
      </c>
      <c r="BB68" s="643">
        <f>'VAN d''exploitation '!V581</f>
        <v>45561.49725488339</v>
      </c>
    </row>
    <row r="69" spans="2:54">
      <c r="B69"/>
      <c r="AP69" s="25">
        <v>2.8000000000000004E-3</v>
      </c>
      <c r="AQ69" s="643">
        <f>'VAN d''exploitation '!K605</f>
        <v>-47600</v>
      </c>
      <c r="AR69" s="643">
        <f>'VAN d''exploitation '!L605</f>
        <v>145614.57248</v>
      </c>
      <c r="AS69" s="643">
        <f>'VAN d''exploitation '!M605</f>
        <v>150755.65180120096</v>
      </c>
      <c r="AT69" s="643">
        <f>'VAN d''exploitation '!N605</f>
        <v>156077.49188909595</v>
      </c>
      <c r="AU69" s="643">
        <f>'VAN d''exploitation '!O605</f>
        <v>161586.43730714821</v>
      </c>
      <c r="AV69" s="643">
        <f>'VAN d''exploitation '!P605</f>
        <v>167289.05514623132</v>
      </c>
      <c r="AW69" s="643">
        <f>'VAN d''exploitation '!Q605</f>
        <v>173192.14282710603</v>
      </c>
      <c r="AX69" s="643">
        <f>'VAN d''exploitation '!R605</f>
        <v>179302.7361764402</v>
      </c>
      <c r="AY69" s="643">
        <f>'VAN d''exploitation '!S605</f>
        <v>185628.11778596096</v>
      </c>
      <c r="AZ69" s="643">
        <f>'VAN d''exploitation '!T605</f>
        <v>192175.82566466462</v>
      </c>
      <c r="BA69" s="643">
        <f>'VAN d''exploitation '!U605</f>
        <v>198953.662194359</v>
      </c>
      <c r="BB69" s="643">
        <f>'VAN d''exploitation '!V605</f>
        <v>275505.04295471904</v>
      </c>
    </row>
    <row r="70" spans="2:54">
      <c r="B70"/>
      <c r="AP70" s="25">
        <v>1.2000000000000003E-3</v>
      </c>
      <c r="AQ70" s="643">
        <f>'VAN d''exploitation '!K630</f>
        <v>-47133.333333333328</v>
      </c>
      <c r="AR70" s="643">
        <f>'VAN d''exploitation '!L630</f>
        <v>144647.62178666663</v>
      </c>
      <c r="AS70" s="643">
        <f>'VAN d''exploitation '!M630</f>
        <v>148268.71257108025</v>
      </c>
      <c r="AT70" s="643">
        <f>'VAN d''exploitation '!N630</f>
        <v>151980.26563775251</v>
      </c>
      <c r="AU70" s="643">
        <f>'VAN d''exploitation '!O630</f>
        <v>155784.5381643422</v>
      </c>
      <c r="AV70" s="643">
        <f>'VAN d''exploitation '!P630</f>
        <v>159683.84360812115</v>
      </c>
      <c r="AW70" s="643">
        <f>'VAN d''exploitation '!Q630</f>
        <v>163680.55310863102</v>
      </c>
      <c r="AX70" s="643">
        <f>'VAN d''exploitation '!R630</f>
        <v>167777.0969252903</v>
      </c>
      <c r="AY70" s="643">
        <f>'VAN d''exploitation '!S630</f>
        <v>171975.96591082087</v>
      </c>
      <c r="AZ70" s="643">
        <f>'VAN d''exploitation '!T630</f>
        <v>176279.71302138784</v>
      </c>
      <c r="BA70" s="643">
        <f>'VAN d''exploitation '!U630</f>
        <v>180690.95486436665</v>
      </c>
      <c r="BB70" s="643">
        <f>'VAN d''exploitation '!V630</f>
        <v>246994.09458249997</v>
      </c>
    </row>
    <row r="71" spans="2:54">
      <c r="B71"/>
      <c r="AP71" s="25">
        <v>4.2000000000000006E-3</v>
      </c>
      <c r="AQ71" s="643">
        <f>'VAN d''exploitation '!K654</f>
        <v>-23800</v>
      </c>
      <c r="AR71" s="643">
        <f>'VAN d''exploitation '!L654</f>
        <v>71907.286240000001</v>
      </c>
      <c r="AS71" s="643">
        <f>'VAN d''exploitation '!M654</f>
        <v>74464.541900600467</v>
      </c>
      <c r="AT71" s="643">
        <f>'VAN d''exploitation '!N654</f>
        <v>77111.981872707969</v>
      </c>
      <c r="AU71" s="643">
        <f>'VAN d''exploitation '!O654</f>
        <v>79852.775544033764</v>
      </c>
      <c r="AV71" s="643">
        <f>'VAN d''exploitation '!P654</f>
        <v>82690.203523278498</v>
      </c>
      <c r="AW71" s="643">
        <f>'VAN d''exploitation '!Q654</f>
        <v>85627.661540740242</v>
      </c>
      <c r="AX71" s="643">
        <f>'VAN d''exploitation '!R654</f>
        <v>88668.664485684625</v>
      </c>
      <c r="AY71" s="643">
        <f>'VAN d''exploitation '!S654</f>
        <v>91816.850585271575</v>
      </c>
      <c r="AZ71" s="643">
        <f>'VAN d''exploitation '!T654</f>
        <v>95075.985730001616</v>
      </c>
      <c r="BA71" s="643">
        <f>'VAN d''exploitation '!U654</f>
        <v>98449.96795081842</v>
      </c>
      <c r="BB71" s="643">
        <f>'VAN d''exploitation '!V654</f>
        <v>136710.50183095812</v>
      </c>
    </row>
    <row r="72" spans="2:54">
      <c r="B72"/>
      <c r="AP72" s="25">
        <v>1.8000000000000002E-3</v>
      </c>
      <c r="AQ72" s="643">
        <f>'VAN d''exploitation '!K679</f>
        <v>-23566.666666666664</v>
      </c>
      <c r="AR72" s="643">
        <f>'VAN d''exploitation '!L679</f>
        <v>71423.810893333313</v>
      </c>
      <c r="AS72" s="643">
        <f>'VAN d''exploitation '!M679</f>
        <v>73221.072285540125</v>
      </c>
      <c r="AT72" s="643">
        <f>'VAN d''exploitation '!N679</f>
        <v>75063.368747036249</v>
      </c>
      <c r="AU72" s="643">
        <f>'VAN d''exploitation '!O679</f>
        <v>76951.825972630744</v>
      </c>
      <c r="AV72" s="643">
        <f>'VAN d''exploitation '!P679</f>
        <v>78887.597754223418</v>
      </c>
      <c r="AW72" s="643">
        <f>'VAN d''exploitation '!Q679</f>
        <v>80871.866681502739</v>
      </c>
      <c r="AX72" s="643">
        <f>'VAN d''exploitation '!R679</f>
        <v>82905.844860109661</v>
      </c>
      <c r="AY72" s="643">
        <f>'VAN d''exploitation '!S679</f>
        <v>84990.774647701517</v>
      </c>
      <c r="AZ72" s="643">
        <f>'VAN d''exploitation '!T679</f>
        <v>87127.929408363227</v>
      </c>
      <c r="BA72" s="643">
        <f>'VAN d''exploitation '!U679</f>
        <v>89318.61428582223</v>
      </c>
      <c r="BB72" s="643">
        <f>'VAN d''exploitation '!V679</f>
        <v>122455.0276448486</v>
      </c>
    </row>
    <row r="73" spans="2:54">
      <c r="B73"/>
      <c r="AP73" s="25">
        <v>1.6799999999999999E-2</v>
      </c>
      <c r="AQ73" s="643">
        <f>'VAN d''exploitation '!K704</f>
        <v>-31416</v>
      </c>
      <c r="AR73" s="643">
        <f>'VAN d''exploitation '!L704</f>
        <v>95493.617836799982</v>
      </c>
      <c r="AS73" s="643">
        <f>'VAN d''exploitation '!M704</f>
        <v>98877.697068792622</v>
      </c>
      <c r="AT73" s="643">
        <f>'VAN d''exploitation '!N704</f>
        <v>102380.94507795214</v>
      </c>
      <c r="AU73" s="643">
        <f>'VAN d''exploitation '!O704</f>
        <v>106007.54730823039</v>
      </c>
      <c r="AV73" s="643">
        <f>'VAN d''exploitation '!P704</f>
        <v>109761.83604262341</v>
      </c>
      <c r="AW73" s="643">
        <f>'VAN d''exploitation '!Q704</f>
        <v>113648.2955523773</v>
      </c>
      <c r="AX73" s="643">
        <f>'VAN d''exploitation '!R704</f>
        <v>117671.5674267264</v>
      </c>
      <c r="AY73" s="643">
        <f>'VAN d''exploitation '!S704</f>
        <v>121836.45608949219</v>
      </c>
      <c r="AZ73" s="643">
        <f>'VAN d''exploitation '!T704</f>
        <v>126147.93450909377</v>
      </c>
      <c r="BA73" s="643">
        <f>'VAN d''exploitation '!U704</f>
        <v>130611.15010875143</v>
      </c>
      <c r="BB73" s="643">
        <f>'VAN d''exploitation '!V704</f>
        <v>181124.7549905616</v>
      </c>
    </row>
    <row r="74" spans="2:54">
      <c r="B74"/>
      <c r="AP74" s="25">
        <v>7.1999999999999998E-3</v>
      </c>
      <c r="AQ74" s="643">
        <f>'VAN d''exploitation '!K728</f>
        <v>-31108</v>
      </c>
      <c r="AR74" s="643">
        <f>'VAN d''exploitation '!L728</f>
        <v>94855.430379199999</v>
      </c>
      <c r="AS74" s="643">
        <f>'VAN d''exploitation '!M728</f>
        <v>97236.317176912969</v>
      </c>
      <c r="AT74" s="643">
        <f>'VAN d''exploitation '!N728</f>
        <v>99676.77575206547</v>
      </c>
      <c r="AU74" s="643">
        <f>'VAN d''exploitation '!O728</f>
        <v>102178.29387397843</v>
      </c>
      <c r="AV74" s="643">
        <f>'VAN d''exploitation '!P728</f>
        <v>104742.3964274707</v>
      </c>
      <c r="AW74" s="643">
        <f>'VAN d''exploitation '!Q728</f>
        <v>107370.64633818378</v>
      </c>
      <c r="AX74" s="643">
        <f>'VAN d''exploitation '!R728</f>
        <v>110064.64552096749</v>
      </c>
      <c r="AY74" s="643">
        <f>'VAN d''exploitation '!S728</f>
        <v>112826.03585189974</v>
      </c>
      <c r="AZ74" s="643">
        <f>'VAN d''exploitation '!T728</f>
        <v>115656.50016453111</v>
      </c>
      <c r="BA74" s="643">
        <f>'VAN d''exploitation '!U728</f>
        <v>118557.76327095646</v>
      </c>
      <c r="BB74" s="643">
        <f>'VAN d''exploitation '!V728</f>
        <v>162307.52906489701</v>
      </c>
    </row>
    <row r="75" spans="2:54">
      <c r="B75"/>
      <c r="AP75" s="25">
        <v>2.5199999999999997E-2</v>
      </c>
      <c r="AQ75" s="643">
        <f>'VAN d''exploitation '!K753</f>
        <v>-15708</v>
      </c>
      <c r="AR75" s="643">
        <f>'VAN d''exploitation '!L753</f>
        <v>46846.808918399991</v>
      </c>
      <c r="AS75" s="643">
        <f>'VAN d''exploitation '!M753</f>
        <v>48525.564534396312</v>
      </c>
      <c r="AT75" s="643">
        <f>'VAN d''exploitation '!N753</f>
        <v>50263.708467136064</v>
      </c>
      <c r="AU75" s="643">
        <f>'VAN d''exploitation '!O753</f>
        <v>52063.330544574841</v>
      </c>
      <c r="AV75" s="643">
        <f>'VAN d''exploitation '!P753</f>
        <v>53926.593971474518</v>
      </c>
      <c r="AW75" s="643">
        <f>'VAN d''exploitation '!Q753</f>
        <v>55855.737903375877</v>
      </c>
      <c r="AX75" s="643">
        <f>'VAN d''exploitation '!R753</f>
        <v>57853.080110827708</v>
      </c>
      <c r="AY75" s="643">
        <f>'VAN d''exploitation '!S753</f>
        <v>59921.019737037182</v>
      </c>
      <c r="AZ75" s="643">
        <f>'VAN d''exploitation '!T753</f>
        <v>62062.040152216192</v>
      </c>
      <c r="BA75" s="643">
        <f>'VAN d''exploitation '!U753</f>
        <v>64278.711908014608</v>
      </c>
      <c r="BB75" s="643">
        <f>'VAN d''exploitation '!V753</f>
        <v>89520.35784887943</v>
      </c>
    </row>
    <row r="76" spans="2:54">
      <c r="B76"/>
      <c r="AP76" s="25">
        <v>1.0799999999999999E-2</v>
      </c>
      <c r="AQ76" s="643">
        <f>'VAN d''exploitation '!K777</f>
        <v>-15554</v>
      </c>
      <c r="AR76" s="643">
        <f>'VAN d''exploitation '!L777</f>
        <v>46527.7151896</v>
      </c>
      <c r="AS76" s="643">
        <f>'VAN d''exploitation '!M777</f>
        <v>47704.874588456485</v>
      </c>
      <c r="AT76" s="643">
        <f>'VAN d''exploitation '!N777</f>
        <v>48911.623804192728</v>
      </c>
      <c r="AU76" s="643">
        <f>'VAN d''exploitation '!O777</f>
        <v>50148.703827448859</v>
      </c>
      <c r="AV76" s="643">
        <f>'VAN d''exploitation '!P777</f>
        <v>51416.874163898174</v>
      </c>
      <c r="AW76" s="643">
        <f>'VAN d''exploitation '!Q777</f>
        <v>52716.913296279119</v>
      </c>
      <c r="AX76" s="643">
        <f>'VAN d''exploitation '!R777</f>
        <v>54049.619157948255</v>
      </c>
      <c r="AY76" s="643">
        <f>'VAN d''exploitation '!S777</f>
        <v>55415.80961824095</v>
      </c>
      <c r="AZ76" s="643">
        <f>'VAN d''exploitation '!T777</f>
        <v>56816.322979934863</v>
      </c>
      <c r="BA76" s="643">
        <f>'VAN d''exploitation '!U777</f>
        <v>58252.01848911713</v>
      </c>
      <c r="BB76" s="643">
        <f>'VAN d''exploitation '!V777</f>
        <v>80111.744886047134</v>
      </c>
    </row>
    <row r="77" spans="2:54">
      <c r="B77"/>
      <c r="AP77" s="25">
        <v>8.3999999999999995E-3</v>
      </c>
      <c r="AQ77" s="643">
        <f>'VAN d''exploitation '!K801</f>
        <v>-19040</v>
      </c>
      <c r="AR77" s="643">
        <f>'VAN d''exploitation '!L801</f>
        <v>57165.828991999995</v>
      </c>
      <c r="AS77" s="643">
        <f>'VAN d''exploitation '!M801</f>
        <v>59206.319920480368</v>
      </c>
      <c r="AT77" s="643">
        <f>'VAN d''exploitation '!N801</f>
        <v>61318.879869430384</v>
      </c>
      <c r="AU77" s="643">
        <f>'VAN d''exploitation '!O801</f>
        <v>63506.043191410878</v>
      </c>
      <c r="AV77" s="643">
        <f>'VAN d''exploitation '!P801</f>
        <v>65770.433198687941</v>
      </c>
      <c r="AW77" s="643">
        <f>'VAN d''exploitation '!Q801</f>
        <v>68114.765283467059</v>
      </c>
      <c r="AX77" s="643">
        <f>'VAN d''exploitation '!R801</f>
        <v>70541.850147533522</v>
      </c>
      <c r="AY77" s="643">
        <f>'VAN d''exploitation '!S801</f>
        <v>73054.597145133681</v>
      </c>
      <c r="AZ77" s="643">
        <f>'VAN d''exploitation '!T801</f>
        <v>75656.017743069038</v>
      </c>
      <c r="BA77" s="643">
        <f>'VAN d''exploitation '!U801</f>
        <v>78349.229102110316</v>
      </c>
      <c r="BB77" s="643">
        <f>'VAN d''exploitation '!V801</f>
        <v>108951.59360620595</v>
      </c>
    </row>
    <row r="78" spans="2:54">
      <c r="B78"/>
      <c r="AP78" s="25">
        <v>3.5999999999999999E-3</v>
      </c>
      <c r="AQ78" s="643">
        <f>'VAN d''exploitation '!K825</f>
        <v>-18853.333333333332</v>
      </c>
      <c r="AR78" s="643">
        <f>'VAN d''exploitation '!L825</f>
        <v>56779.048714666656</v>
      </c>
      <c r="AS78" s="643">
        <f>'VAN d''exploitation '!M825</f>
        <v>58211.544228432103</v>
      </c>
      <c r="AT78" s="643">
        <f>'VAN d''exploitation '!N825</f>
        <v>59679.989368893017</v>
      </c>
      <c r="AU78" s="643">
        <f>'VAN d''exploitation '!O825</f>
        <v>61185.283534288465</v>
      </c>
      <c r="AV78" s="643">
        <f>'VAN d''exploitation '!P825</f>
        <v>62728.348583443847</v>
      </c>
      <c r="AW78" s="643">
        <f>'VAN d''exploitation '!Q825</f>
        <v>64310.129396077107</v>
      </c>
      <c r="AX78" s="643">
        <f>'VAN d''exploitation '!R825</f>
        <v>65931.594447073527</v>
      </c>
      <c r="AY78" s="643">
        <f>'VAN d''exploitation '!S825</f>
        <v>67593.736395077663</v>
      </c>
      <c r="AZ78" s="643">
        <f>'VAN d''exploitation '!T825</f>
        <v>69297.572685758307</v>
      </c>
      <c r="BA78" s="643">
        <f>'VAN d''exploitation '!U825</f>
        <v>71044.146170113323</v>
      </c>
      <c r="BB78" s="643">
        <f>'VAN d''exploitation '!V825</f>
        <v>97547.214257318294</v>
      </c>
    </row>
    <row r="79" spans="2:54">
      <c r="B79"/>
      <c r="AP79" s="25">
        <v>1.2599999999999998E-2</v>
      </c>
      <c r="AQ79" s="643">
        <f>'VAN d''exploitation '!K848</f>
        <v>-9520</v>
      </c>
      <c r="AR79" s="643">
        <f>'VAN d''exploitation '!L848</f>
        <v>27682.914495999998</v>
      </c>
      <c r="AS79" s="643">
        <f>'VAN d''exploitation '!M848</f>
        <v>28689.875960240184</v>
      </c>
      <c r="AT79" s="643">
        <f>'VAN d''exploitation '!N848</f>
        <v>29732.675862875192</v>
      </c>
      <c r="AU79" s="643">
        <f>'VAN d''exploitation '!O848</f>
        <v>30812.578486165079</v>
      </c>
      <c r="AV79" s="643">
        <f>'VAN d''exploitation '!P848</f>
        <v>31930.892549506796</v>
      </c>
      <c r="AW79" s="643">
        <f>'VAN d''exploitation '!Q848</f>
        <v>33088.972768920758</v>
      </c>
      <c r="AX79" s="643">
        <f>'VAN d''exploitation '!R848</f>
        <v>34288.221471231271</v>
      </c>
      <c r="AY79" s="643">
        <f>'VAN d''exploitation '!S848</f>
        <v>35530.090264857921</v>
      </c>
      <c r="AZ79" s="643">
        <f>'VAN d''exploitation '!T848</f>
        <v>36816.081769203811</v>
      </c>
      <c r="BA79" s="643">
        <f>'VAN d''exploitation '!U848</f>
        <v>38147.751404694063</v>
      </c>
      <c r="BB79" s="643">
        <f>'VAN d''exploitation '!V848</f>
        <v>53433.777156701588</v>
      </c>
    </row>
    <row r="80" spans="2:54">
      <c r="B80"/>
      <c r="AP80" s="25">
        <v>5.3999999999999994E-3</v>
      </c>
      <c r="AQ80" s="643">
        <f>'VAN d''exploitation '!K874</f>
        <v>-9426.6666666666661</v>
      </c>
      <c r="AR80" s="643">
        <f>'VAN d''exploitation '!L874</f>
        <v>27489.524357333328</v>
      </c>
      <c r="AS80" s="643">
        <f>'VAN d''exploitation '!M874</f>
        <v>28192.488114216052</v>
      </c>
      <c r="AT80" s="643">
        <f>'VAN d''exploitation '!N874</f>
        <v>28913.230612606509</v>
      </c>
      <c r="AU80" s="643">
        <f>'VAN d''exploitation '!O874</f>
        <v>29652.198657603876</v>
      </c>
      <c r="AV80" s="643">
        <f>'VAN d''exploitation '!P874</f>
        <v>30409.850241884749</v>
      </c>
      <c r="AW80" s="643">
        <f>'VAN d''exploitation '!Q874</f>
        <v>31186.654825225782</v>
      </c>
      <c r="AX80" s="643">
        <f>'VAN d''exploitation '!R874</f>
        <v>31983.093621001277</v>
      </c>
      <c r="AY80" s="643">
        <f>'VAN d''exploitation '!S874</f>
        <v>32799.659889829913</v>
      </c>
      <c r="AZ80" s="643">
        <f>'VAN d''exploitation '!T874</f>
        <v>33636.85924054846</v>
      </c>
      <c r="BA80" s="643">
        <f>'VAN d''exploitation '!U874</f>
        <v>34495.209938695567</v>
      </c>
      <c r="BB80" s="643">
        <f>'VAN d''exploitation '!V874</f>
        <v>47731.587482257761</v>
      </c>
    </row>
    <row r="81" spans="2:54">
      <c r="B81"/>
    </row>
    <row r="82" spans="2:54">
      <c r="B82"/>
      <c r="AP82" t="s">
        <v>709</v>
      </c>
      <c r="AQ82" s="643">
        <f>SUMPRODUCT(AQ45:AQ80,$AP$45:$AP$80)</f>
        <v>-20464.757543999989</v>
      </c>
      <c r="AR82" s="643">
        <f t="shared" ref="AR82:BB82" si="22">SUMPRODUCT(AR45:AR80,$AP$45:$AP$80)</f>
        <v>56112.544944103349</v>
      </c>
      <c r="AS82" s="643">
        <f t="shared" si="22"/>
        <v>56602.75936933115</v>
      </c>
      <c r="AT82" s="643">
        <f t="shared" si="22"/>
        <v>59807.844241029656</v>
      </c>
      <c r="AU82" s="643">
        <f t="shared" si="22"/>
        <v>60420.475940211436</v>
      </c>
      <c r="AV82" s="643">
        <f t="shared" si="22"/>
        <v>63752.08102752894</v>
      </c>
      <c r="AW82" s="643">
        <f t="shared" si="22"/>
        <v>64495.474857623718</v>
      </c>
      <c r="AX82" s="643">
        <f t="shared" si="22"/>
        <v>67962.227713177344</v>
      </c>
      <c r="AY82" s="643">
        <f t="shared" si="22"/>
        <v>68845.303582609034</v>
      </c>
      <c r="AZ82" s="643">
        <f t="shared" si="22"/>
        <v>72456.426463123018</v>
      </c>
      <c r="BA82" s="643">
        <f t="shared" si="22"/>
        <v>73488.719313247362</v>
      </c>
      <c r="BB82" s="643">
        <f t="shared" si="22"/>
        <v>106265.25801361335</v>
      </c>
    </row>
    <row r="83" spans="2:54">
      <c r="B83"/>
      <c r="AQ83">
        <v>2013</v>
      </c>
      <c r="AR83">
        <v>2014</v>
      </c>
      <c r="AS83">
        <v>2015</v>
      </c>
      <c r="AT83">
        <v>2016</v>
      </c>
      <c r="AU83">
        <v>2017</v>
      </c>
      <c r="AV83">
        <v>2018</v>
      </c>
      <c r="AW83">
        <v>2019</v>
      </c>
      <c r="AX83">
        <v>2020</v>
      </c>
      <c r="AY83">
        <v>2021</v>
      </c>
      <c r="AZ83">
        <v>2022</v>
      </c>
      <c r="BA83">
        <v>2023</v>
      </c>
      <c r="BB83">
        <v>2024</v>
      </c>
    </row>
    <row r="84" spans="2:54">
      <c r="B84"/>
    </row>
    <row r="85" spans="2:54">
      <c r="B85"/>
    </row>
    <row r="86" spans="2:54">
      <c r="B86"/>
    </row>
  </sheetData>
  <mergeCells count="55">
    <mergeCell ref="Z45:AA45"/>
    <mergeCell ref="Z46:AA46"/>
    <mergeCell ref="AE12:AE14"/>
    <mergeCell ref="AE16:AE18"/>
    <mergeCell ref="A1:AI1"/>
    <mergeCell ref="Z6:AA6"/>
    <mergeCell ref="Z7:AA7"/>
    <mergeCell ref="Z8:AA8"/>
    <mergeCell ref="Z9:AA9"/>
    <mergeCell ref="Z10:AA10"/>
    <mergeCell ref="Z11:AA11"/>
    <mergeCell ref="Z12:AA12"/>
    <mergeCell ref="Z13:AA13"/>
    <mergeCell ref="Z14:AA14"/>
    <mergeCell ref="Z15:AA15"/>
    <mergeCell ref="Z16:AA16"/>
    <mergeCell ref="AL1:BD1"/>
    <mergeCell ref="AM5:AU5"/>
    <mergeCell ref="AE8:AE9"/>
    <mergeCell ref="AE10:AE11"/>
    <mergeCell ref="AE22:AF23"/>
    <mergeCell ref="AQ3:BB3"/>
    <mergeCell ref="Z17:AA17"/>
    <mergeCell ref="Z18:AA18"/>
    <mergeCell ref="Z19:AA19"/>
    <mergeCell ref="Z26:AA26"/>
    <mergeCell ref="Z27:AA27"/>
    <mergeCell ref="Z28:AA28"/>
    <mergeCell ref="Z29:AA29"/>
    <mergeCell ref="Z20:AA20"/>
    <mergeCell ref="Z21:AA21"/>
    <mergeCell ref="Z22:AA22"/>
    <mergeCell ref="Z23:AA23"/>
    <mergeCell ref="Z24:AA24"/>
    <mergeCell ref="Z40:AA40"/>
    <mergeCell ref="Z41:AA41"/>
    <mergeCell ref="Z42:AA42"/>
    <mergeCell ref="Z44:AA44"/>
    <mergeCell ref="BD6:BF6"/>
    <mergeCell ref="Z35:AA35"/>
    <mergeCell ref="Z36:AA36"/>
    <mergeCell ref="Z37:AA37"/>
    <mergeCell ref="Z38:AA38"/>
    <mergeCell ref="Z39:AA39"/>
    <mergeCell ref="Z30:AA30"/>
    <mergeCell ref="Z31:AA31"/>
    <mergeCell ref="Z32:AA32"/>
    <mergeCell ref="Z33:AA33"/>
    <mergeCell ref="Z34:AA34"/>
    <mergeCell ref="Z25:AA25"/>
    <mergeCell ref="AD8:AD9"/>
    <mergeCell ref="AJ43:AL43"/>
    <mergeCell ref="AD16:AD18"/>
    <mergeCell ref="AD12:AD14"/>
    <mergeCell ref="AD10:AD11"/>
  </mergeCells>
  <pageMargins left="0.7" right="0.7" top="0.75" bottom="0.75" header="0.3" footer="0.3"/>
  <pageSetup paperSize="9" orientation="portrait"/>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36"/>
  <sheetViews>
    <sheetView showGridLines="0" topLeftCell="D31" zoomScale="80" zoomScaleNormal="80" zoomScalePageLayoutView="80" workbookViewId="0">
      <selection activeCell="H26" sqref="H26"/>
    </sheetView>
  </sheetViews>
  <sheetFormatPr baseColWidth="10" defaultColWidth="8.81640625" defaultRowHeight="14.5"/>
  <cols>
    <col min="1" max="1" width="34.81640625" bestFit="1" customWidth="1"/>
    <col min="2" max="3" width="20.453125" customWidth="1"/>
    <col min="4" max="4" width="23.453125" bestFit="1" customWidth="1"/>
    <col min="5" max="5" width="21.453125" bestFit="1" customWidth="1"/>
    <col min="6" max="8" width="20.453125" customWidth="1"/>
  </cols>
  <sheetData>
    <row r="1" spans="1:8" s="434" customFormat="1" ht="15">
      <c r="A1" s="434" t="s">
        <v>492</v>
      </c>
    </row>
    <row r="2" spans="1:8" ht="15" thickBot="1"/>
    <row r="3" spans="1:8" ht="16" thickBot="1">
      <c r="A3" s="10"/>
      <c r="B3" s="979" t="s">
        <v>472</v>
      </c>
      <c r="C3" s="980"/>
      <c r="D3" s="980"/>
      <c r="E3" s="980"/>
      <c r="F3" s="980"/>
      <c r="G3" s="980"/>
      <c r="H3" s="981"/>
    </row>
    <row r="4" spans="1:8" ht="16" thickBot="1">
      <c r="A4" s="10"/>
      <c r="B4" s="979" t="s">
        <v>490</v>
      </c>
      <c r="C4" s="980"/>
      <c r="D4" s="980"/>
      <c r="E4" s="980"/>
      <c r="F4" s="980" t="s">
        <v>491</v>
      </c>
      <c r="G4" s="980"/>
      <c r="H4" s="981"/>
    </row>
    <row r="5" spans="1:8" s="433" customFormat="1" ht="36.75" customHeight="1" thickBot="1">
      <c r="A5" s="429" t="s">
        <v>473</v>
      </c>
      <c r="B5" s="430" t="s">
        <v>474</v>
      </c>
      <c r="C5" s="422" t="s">
        <v>475</v>
      </c>
      <c r="D5" s="422" t="s">
        <v>476</v>
      </c>
      <c r="E5" s="431" t="s">
        <v>488</v>
      </c>
      <c r="F5" s="432" t="s">
        <v>477</v>
      </c>
      <c r="G5" s="426" t="s">
        <v>478</v>
      </c>
      <c r="H5" s="427" t="s">
        <v>479</v>
      </c>
    </row>
    <row r="6" spans="1:8">
      <c r="A6" s="423" t="s">
        <v>487</v>
      </c>
      <c r="B6" s="435" t="s">
        <v>420</v>
      </c>
      <c r="C6" s="435"/>
      <c r="D6" s="435" t="s">
        <v>420</v>
      </c>
      <c r="E6" s="436"/>
      <c r="F6" s="437" t="s">
        <v>420</v>
      </c>
      <c r="G6" s="435" t="s">
        <v>420</v>
      </c>
      <c r="H6" s="438"/>
    </row>
    <row r="7" spans="1:8">
      <c r="A7" s="424" t="s">
        <v>480</v>
      </c>
      <c r="B7" s="439" t="s">
        <v>420</v>
      </c>
      <c r="C7" s="439" t="s">
        <v>420</v>
      </c>
      <c r="D7" s="439"/>
      <c r="E7" s="440"/>
      <c r="F7" s="441" t="s">
        <v>420</v>
      </c>
      <c r="G7" s="442"/>
      <c r="H7" s="443"/>
    </row>
    <row r="8" spans="1:8">
      <c r="A8" s="424" t="s">
        <v>481</v>
      </c>
      <c r="B8" s="439"/>
      <c r="C8" s="439"/>
      <c r="D8" s="439" t="s">
        <v>420</v>
      </c>
      <c r="E8" s="440"/>
      <c r="F8" s="441"/>
      <c r="G8" s="442" t="s">
        <v>420</v>
      </c>
      <c r="H8" s="443"/>
    </row>
    <row r="9" spans="1:8">
      <c r="A9" s="424" t="s">
        <v>482</v>
      </c>
      <c r="B9" s="439"/>
      <c r="C9" s="439" t="s">
        <v>420</v>
      </c>
      <c r="D9" s="439"/>
      <c r="E9" s="440" t="s">
        <v>420</v>
      </c>
      <c r="F9" s="441"/>
      <c r="G9" s="442"/>
      <c r="H9" s="443" t="s">
        <v>420</v>
      </c>
    </row>
    <row r="10" spans="1:8">
      <c r="A10" s="424" t="s">
        <v>483</v>
      </c>
      <c r="B10" s="439" t="s">
        <v>420</v>
      </c>
      <c r="C10" s="439"/>
      <c r="D10" s="439"/>
      <c r="E10" s="440"/>
      <c r="F10" s="441" t="s">
        <v>420</v>
      </c>
      <c r="G10" s="442"/>
      <c r="H10" s="443"/>
    </row>
    <row r="11" spans="1:8">
      <c r="A11" s="424" t="s">
        <v>484</v>
      </c>
      <c r="B11" s="439" t="s">
        <v>420</v>
      </c>
      <c r="C11" s="439"/>
      <c r="D11" s="439" t="s">
        <v>420</v>
      </c>
      <c r="E11" s="440"/>
      <c r="F11" s="441" t="s">
        <v>420</v>
      </c>
      <c r="G11" s="442" t="s">
        <v>420</v>
      </c>
      <c r="H11" s="443"/>
    </row>
    <row r="12" spans="1:8">
      <c r="A12" s="424" t="s">
        <v>485</v>
      </c>
      <c r="B12" s="439" t="s">
        <v>420</v>
      </c>
      <c r="C12" s="439"/>
      <c r="D12" s="439" t="s">
        <v>420</v>
      </c>
      <c r="E12" s="440"/>
      <c r="F12" s="441" t="s">
        <v>420</v>
      </c>
      <c r="G12" s="439" t="s">
        <v>420</v>
      </c>
      <c r="H12" s="443"/>
    </row>
    <row r="13" spans="1:8">
      <c r="A13" s="428" t="s">
        <v>489</v>
      </c>
      <c r="B13" s="444"/>
      <c r="C13" s="444"/>
      <c r="D13" s="444" t="s">
        <v>420</v>
      </c>
      <c r="E13" s="445"/>
      <c r="F13" s="446"/>
      <c r="G13" s="444"/>
      <c r="H13" s="447"/>
    </row>
    <row r="14" spans="1:8" ht="15" thickBot="1">
      <c r="A14" s="425" t="s">
        <v>486</v>
      </c>
      <c r="B14" s="448"/>
      <c r="C14" s="448"/>
      <c r="D14" s="448"/>
      <c r="E14" s="449"/>
      <c r="F14" s="450"/>
      <c r="G14" s="448"/>
      <c r="H14" s="451"/>
    </row>
    <row r="15" spans="1:8">
      <c r="A15" s="6"/>
      <c r="B15" s="452"/>
      <c r="C15" s="452"/>
      <c r="D15" s="452"/>
      <c r="E15" s="452"/>
      <c r="F15" s="452"/>
      <c r="G15" s="452"/>
      <c r="H15" s="452"/>
    </row>
    <row r="16" spans="1:8">
      <c r="A16" s="115"/>
      <c r="B16" s="10"/>
      <c r="C16" s="10"/>
      <c r="D16" s="10"/>
      <c r="E16" s="10"/>
      <c r="F16" s="10"/>
      <c r="G16" s="10"/>
      <c r="H16" s="10"/>
    </row>
    <row r="20" spans="1:9" ht="15.5">
      <c r="A20" s="434" t="s">
        <v>493</v>
      </c>
      <c r="B20" s="434"/>
      <c r="C20" s="434"/>
      <c r="D20" s="434"/>
      <c r="E20" s="434"/>
      <c r="F20" s="434"/>
      <c r="G20" s="434"/>
      <c r="H20" s="434"/>
      <c r="I20" s="434"/>
    </row>
    <row r="21" spans="1:9" ht="15" thickBot="1"/>
    <row r="22" spans="1:9" s="434" customFormat="1" ht="16" thickBot="1">
      <c r="A22" s="10"/>
      <c r="B22" s="979" t="s">
        <v>494</v>
      </c>
      <c r="C22" s="980"/>
      <c r="D22" s="980"/>
      <c r="E22" s="980"/>
      <c r="F22" s="980"/>
      <c r="G22" s="980"/>
      <c r="H22" s="76"/>
      <c r="I22"/>
    </row>
    <row r="23" spans="1:9" ht="16" thickBot="1">
      <c r="A23" s="10"/>
      <c r="B23" s="979" t="s">
        <v>490</v>
      </c>
      <c r="C23" s="980"/>
      <c r="D23" s="980"/>
      <c r="E23" s="980"/>
      <c r="F23" s="979" t="s">
        <v>491</v>
      </c>
      <c r="G23" s="980"/>
      <c r="H23" s="76"/>
    </row>
    <row r="24" spans="1:9" ht="16" thickBot="1">
      <c r="A24" s="982" t="s">
        <v>473</v>
      </c>
      <c r="B24" s="430" t="s">
        <v>495</v>
      </c>
      <c r="C24" s="984" t="s">
        <v>496</v>
      </c>
      <c r="D24" s="985"/>
      <c r="E24" s="431" t="s">
        <v>497</v>
      </c>
      <c r="F24" s="988" t="s">
        <v>498</v>
      </c>
      <c r="G24" s="986" t="s">
        <v>478</v>
      </c>
      <c r="H24" s="990" t="s">
        <v>614</v>
      </c>
      <c r="I24" s="433"/>
    </row>
    <row r="25" spans="1:9" ht="25.5" customHeight="1" thickBot="1">
      <c r="A25" s="983"/>
      <c r="B25" s="453" t="s">
        <v>499</v>
      </c>
      <c r="C25" s="454" t="s">
        <v>500</v>
      </c>
      <c r="D25" s="454" t="s">
        <v>501</v>
      </c>
      <c r="E25" s="455" t="s">
        <v>502</v>
      </c>
      <c r="F25" s="989"/>
      <c r="G25" s="987"/>
      <c r="H25" s="990"/>
      <c r="I25" s="433"/>
    </row>
    <row r="26" spans="1:9" s="433" customFormat="1">
      <c r="A26" s="423" t="s">
        <v>503</v>
      </c>
      <c r="B26" s="435"/>
      <c r="C26" s="435"/>
      <c r="D26" s="435" t="s">
        <v>420</v>
      </c>
      <c r="E26" s="436" t="s">
        <v>420</v>
      </c>
      <c r="F26" s="437"/>
      <c r="G26" s="435" t="s">
        <v>420</v>
      </c>
      <c r="H26"/>
      <c r="I26"/>
    </row>
    <row r="27" spans="1:9" s="433" customFormat="1">
      <c r="A27" s="424" t="s">
        <v>504</v>
      </c>
      <c r="B27" s="439" t="s">
        <v>420</v>
      </c>
      <c r="C27" s="439" t="s">
        <v>420</v>
      </c>
      <c r="D27" s="439"/>
      <c r="E27" s="440" t="s">
        <v>420</v>
      </c>
      <c r="F27" s="441" t="s">
        <v>420</v>
      </c>
      <c r="G27" s="442"/>
      <c r="H27"/>
      <c r="I27"/>
    </row>
    <row r="28" spans="1:9">
      <c r="A28" s="424" t="s">
        <v>505</v>
      </c>
      <c r="B28" s="439"/>
      <c r="C28" s="439"/>
      <c r="D28" s="439" t="s">
        <v>420</v>
      </c>
      <c r="E28" s="440" t="s">
        <v>420</v>
      </c>
      <c r="F28" s="441"/>
      <c r="G28" s="442" t="s">
        <v>420</v>
      </c>
    </row>
    <row r="29" spans="1:9">
      <c r="A29" s="424" t="s">
        <v>506</v>
      </c>
      <c r="B29" s="439" t="s">
        <v>420</v>
      </c>
      <c r="C29" s="439" t="s">
        <v>420</v>
      </c>
      <c r="D29" s="439"/>
      <c r="E29" s="440"/>
      <c r="F29" s="441" t="s">
        <v>420</v>
      </c>
      <c r="G29" s="442"/>
    </row>
    <row r="30" spans="1:9">
      <c r="A30" s="424" t="s">
        <v>507</v>
      </c>
      <c r="B30" s="439"/>
      <c r="C30" s="439"/>
      <c r="D30" s="439" t="s">
        <v>420</v>
      </c>
      <c r="E30" s="440" t="s">
        <v>420</v>
      </c>
      <c r="F30" s="441"/>
      <c r="G30" s="442" t="s">
        <v>420</v>
      </c>
    </row>
    <row r="31" spans="1:9">
      <c r="A31" s="424" t="s">
        <v>508</v>
      </c>
      <c r="B31" s="439"/>
      <c r="C31" s="439"/>
      <c r="D31" s="439" t="s">
        <v>420</v>
      </c>
      <c r="E31" s="440" t="s">
        <v>420</v>
      </c>
      <c r="F31" s="441"/>
      <c r="G31" s="442" t="s">
        <v>420</v>
      </c>
    </row>
    <row r="32" spans="1:9">
      <c r="A32" s="424" t="s">
        <v>509</v>
      </c>
      <c r="B32" s="439" t="s">
        <v>420</v>
      </c>
      <c r="C32" s="439"/>
      <c r="D32" s="439"/>
      <c r="E32" s="440"/>
      <c r="F32" s="441" t="s">
        <v>420</v>
      </c>
      <c r="G32" s="439"/>
    </row>
    <row r="33" spans="1:7">
      <c r="A33" s="428" t="s">
        <v>510</v>
      </c>
      <c r="B33" s="444"/>
      <c r="C33" s="444"/>
      <c r="D33" s="444" t="s">
        <v>420</v>
      </c>
      <c r="E33" s="445" t="s">
        <v>420</v>
      </c>
      <c r="F33" s="446"/>
      <c r="G33" s="444" t="s">
        <v>420</v>
      </c>
    </row>
    <row r="34" spans="1:7">
      <c r="A34" s="428" t="s">
        <v>511</v>
      </c>
      <c r="B34" s="444"/>
      <c r="C34" s="444" t="s">
        <v>420</v>
      </c>
      <c r="D34" s="444"/>
      <c r="E34" s="445"/>
      <c r="F34" s="446" t="s">
        <v>420</v>
      </c>
      <c r="G34" s="444"/>
    </row>
    <row r="35" spans="1:7">
      <c r="A35" s="428" t="s">
        <v>512</v>
      </c>
      <c r="B35" s="444"/>
      <c r="C35" s="444"/>
      <c r="D35" s="444" t="s">
        <v>420</v>
      </c>
      <c r="E35" s="445"/>
      <c r="F35" s="446"/>
      <c r="G35" s="444" t="s">
        <v>420</v>
      </c>
    </row>
    <row r="36" spans="1:7" ht="15" thickBot="1">
      <c r="A36" s="425" t="s">
        <v>513</v>
      </c>
      <c r="B36" s="448" t="s">
        <v>420</v>
      </c>
      <c r="C36" s="448"/>
      <c r="D36" s="448"/>
      <c r="E36" s="449"/>
      <c r="F36" s="450"/>
      <c r="G36" s="448" t="s">
        <v>420</v>
      </c>
    </row>
  </sheetData>
  <mergeCells count="11">
    <mergeCell ref="B3:H3"/>
    <mergeCell ref="B4:E4"/>
    <mergeCell ref="F4:H4"/>
    <mergeCell ref="B23:E23"/>
    <mergeCell ref="A24:A25"/>
    <mergeCell ref="C24:D24"/>
    <mergeCell ref="F23:G23"/>
    <mergeCell ref="B22:G22"/>
    <mergeCell ref="G24:G25"/>
    <mergeCell ref="F24:F25"/>
    <mergeCell ref="H24:H2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42"/>
  <sheetViews>
    <sheetView showGridLines="0" zoomScale="80" zoomScaleNormal="80" zoomScalePageLayoutView="80" workbookViewId="0">
      <selection activeCell="D50" sqref="D50"/>
    </sheetView>
  </sheetViews>
  <sheetFormatPr baseColWidth="10" defaultColWidth="8.81640625" defaultRowHeight="14.5"/>
  <cols>
    <col min="3" max="3" width="29.81640625" customWidth="1"/>
    <col min="4" max="4" width="57.26953125" customWidth="1"/>
    <col min="5" max="8" width="12.81640625" customWidth="1"/>
  </cols>
  <sheetData>
    <row r="3" spans="3:13" ht="18.5">
      <c r="C3" s="991" t="s">
        <v>474</v>
      </c>
      <c r="D3" s="991"/>
      <c r="E3" s="991"/>
      <c r="F3" s="991"/>
      <c r="G3" s="991"/>
      <c r="H3" s="991"/>
      <c r="I3" s="991"/>
      <c r="J3" s="991"/>
      <c r="K3" s="991"/>
      <c r="L3" s="991"/>
      <c r="M3" s="991"/>
    </row>
    <row r="4" spans="3:13">
      <c r="D4" s="458"/>
      <c r="E4" s="458"/>
      <c r="F4" s="458"/>
      <c r="G4" s="458"/>
      <c r="H4" s="458"/>
    </row>
    <row r="5" spans="3:13">
      <c r="C5" s="456"/>
      <c r="D5" s="471"/>
      <c r="E5" s="992" t="s">
        <v>517</v>
      </c>
      <c r="F5" s="992" t="s">
        <v>616</v>
      </c>
      <c r="G5" s="994" t="s">
        <v>518</v>
      </c>
      <c r="H5" s="995"/>
    </row>
    <row r="6" spans="3:13">
      <c r="C6" s="457"/>
      <c r="D6" s="472" t="s">
        <v>516</v>
      </c>
      <c r="E6" s="993"/>
      <c r="F6" s="993"/>
      <c r="G6" s="472" t="s">
        <v>519</v>
      </c>
      <c r="H6" s="472" t="s">
        <v>560</v>
      </c>
    </row>
    <row r="7" spans="3:13">
      <c r="C7" s="467" t="s">
        <v>487</v>
      </c>
      <c r="D7" s="465" t="s">
        <v>552</v>
      </c>
      <c r="E7" s="461">
        <v>179.4</v>
      </c>
      <c r="F7" s="461">
        <v>179.4</v>
      </c>
      <c r="G7" s="470">
        <v>0</v>
      </c>
      <c r="H7" s="462">
        <v>0</v>
      </c>
    </row>
    <row r="8" spans="3:13">
      <c r="C8" s="468" t="s">
        <v>480</v>
      </c>
      <c r="D8" s="466" t="s">
        <v>553</v>
      </c>
      <c r="E8" s="463" t="s">
        <v>554</v>
      </c>
      <c r="F8" s="463" t="s">
        <v>554</v>
      </c>
      <c r="G8" s="463" t="s">
        <v>550</v>
      </c>
      <c r="H8" s="464" t="s">
        <v>550</v>
      </c>
    </row>
    <row r="9" spans="3:13">
      <c r="C9" s="468" t="s">
        <v>483</v>
      </c>
      <c r="D9" s="466" t="s">
        <v>555</v>
      </c>
      <c r="E9" s="463" t="s">
        <v>556</v>
      </c>
      <c r="F9" s="463" t="s">
        <v>554</v>
      </c>
      <c r="G9" s="463" t="s">
        <v>550</v>
      </c>
      <c r="H9" s="464" t="s">
        <v>550</v>
      </c>
    </row>
    <row r="10" spans="3:13">
      <c r="C10" s="468" t="s">
        <v>484</v>
      </c>
      <c r="D10" s="466" t="s">
        <v>557</v>
      </c>
      <c r="E10" s="463">
        <v>0.54</v>
      </c>
      <c r="F10" s="463">
        <v>0.54</v>
      </c>
      <c r="G10" s="463">
        <v>0</v>
      </c>
      <c r="H10" s="464">
        <v>0</v>
      </c>
    </row>
    <row r="11" spans="3:13">
      <c r="C11" s="468"/>
      <c r="D11" s="466" t="s">
        <v>558</v>
      </c>
      <c r="E11" s="463">
        <v>0.77</v>
      </c>
      <c r="F11" s="463">
        <v>0.77</v>
      </c>
      <c r="G11" s="463">
        <v>0</v>
      </c>
      <c r="H11" s="464">
        <v>0</v>
      </c>
    </row>
    <row r="12" spans="3:13">
      <c r="C12" s="468" t="s">
        <v>485</v>
      </c>
      <c r="D12" s="466" t="s">
        <v>559</v>
      </c>
      <c r="E12" s="463" t="s">
        <v>556</v>
      </c>
      <c r="F12" s="463" t="s">
        <v>556</v>
      </c>
      <c r="G12" s="463" t="s">
        <v>550</v>
      </c>
      <c r="H12" s="464" t="s">
        <v>550</v>
      </c>
    </row>
    <row r="16" spans="3:13" ht="18.5">
      <c r="C16" s="991" t="s">
        <v>475</v>
      </c>
      <c r="D16" s="991"/>
      <c r="E16" s="991"/>
      <c r="F16" s="991"/>
      <c r="G16" s="991"/>
      <c r="H16" s="991"/>
      <c r="I16" s="991"/>
      <c r="J16" s="991"/>
      <c r="K16" s="991"/>
      <c r="L16" s="991"/>
      <c r="M16" s="991"/>
    </row>
    <row r="17" spans="2:13">
      <c r="D17" s="458"/>
      <c r="E17" s="458"/>
      <c r="F17" s="458"/>
      <c r="G17" s="458"/>
      <c r="H17" s="458"/>
    </row>
    <row r="18" spans="2:13">
      <c r="C18" s="456"/>
      <c r="D18" s="473"/>
      <c r="E18" s="992" t="s">
        <v>517</v>
      </c>
      <c r="F18" s="992" t="s">
        <v>616</v>
      </c>
      <c r="G18" s="994" t="s">
        <v>518</v>
      </c>
      <c r="H18" s="995"/>
    </row>
    <row r="19" spans="2:13">
      <c r="C19" s="457"/>
      <c r="D19" s="472" t="s">
        <v>516</v>
      </c>
      <c r="E19" s="993"/>
      <c r="F19" s="993"/>
      <c r="G19" s="472" t="s">
        <v>519</v>
      </c>
      <c r="H19" s="472" t="s">
        <v>560</v>
      </c>
    </row>
    <row r="20" spans="2:13">
      <c r="C20" s="468" t="s">
        <v>480</v>
      </c>
      <c r="D20" s="466" t="s">
        <v>553</v>
      </c>
      <c r="E20" s="463" t="s">
        <v>554</v>
      </c>
      <c r="F20" s="463" t="s">
        <v>554</v>
      </c>
      <c r="G20" s="463" t="s">
        <v>550</v>
      </c>
      <c r="H20" s="464" t="s">
        <v>550</v>
      </c>
    </row>
    <row r="21" spans="2:13">
      <c r="C21" s="468" t="s">
        <v>482</v>
      </c>
      <c r="D21" s="466" t="s">
        <v>561</v>
      </c>
      <c r="E21" s="463">
        <v>8</v>
      </c>
      <c r="F21" s="463">
        <v>4</v>
      </c>
      <c r="G21" s="469">
        <f>(F21-E21)/E21</f>
        <v>-0.5</v>
      </c>
      <c r="H21" s="464">
        <v>-4</v>
      </c>
    </row>
    <row r="22" spans="2:13">
      <c r="B22" s="6"/>
      <c r="C22" s="468" t="s">
        <v>485</v>
      </c>
      <c r="D22" s="466" t="s">
        <v>562</v>
      </c>
      <c r="E22" s="463" t="s">
        <v>554</v>
      </c>
      <c r="F22" s="463" t="s">
        <v>554</v>
      </c>
      <c r="G22" s="463" t="s">
        <v>550</v>
      </c>
      <c r="H22" s="464" t="s">
        <v>550</v>
      </c>
      <c r="I22" s="6"/>
    </row>
    <row r="23" spans="2:13">
      <c r="B23" s="6"/>
      <c r="C23" s="6"/>
      <c r="D23" s="6"/>
      <c r="E23" s="6"/>
      <c r="F23" s="6"/>
      <c r="G23" s="6"/>
      <c r="H23" s="6"/>
      <c r="I23" s="6"/>
    </row>
    <row r="25" spans="2:13" ht="18.5">
      <c r="C25" s="991" t="s">
        <v>476</v>
      </c>
      <c r="D25" s="991"/>
      <c r="E25" s="991"/>
      <c r="F25" s="991"/>
      <c r="G25" s="991"/>
      <c r="H25" s="991"/>
      <c r="I25" s="991"/>
      <c r="J25" s="991"/>
      <c r="K25" s="991"/>
      <c r="L25" s="991"/>
      <c r="M25" s="991"/>
    </row>
    <row r="26" spans="2:13">
      <c r="D26" s="458"/>
      <c r="E26" s="458"/>
      <c r="F26" s="458"/>
      <c r="G26" s="458"/>
      <c r="H26" s="458"/>
    </row>
    <row r="27" spans="2:13">
      <c r="C27" s="456"/>
      <c r="D27" s="992" t="s">
        <v>516</v>
      </c>
      <c r="E27" s="992" t="s">
        <v>615</v>
      </c>
      <c r="F27" s="992" t="s">
        <v>616</v>
      </c>
      <c r="G27" s="994" t="s">
        <v>518</v>
      </c>
      <c r="H27" s="995"/>
    </row>
    <row r="28" spans="2:13">
      <c r="C28" s="457"/>
      <c r="D28" s="993"/>
      <c r="E28" s="993"/>
      <c r="F28" s="993"/>
      <c r="G28" s="472" t="s">
        <v>519</v>
      </c>
      <c r="H28" s="472" t="s">
        <v>560</v>
      </c>
    </row>
    <row r="29" spans="2:13">
      <c r="C29" s="467" t="s">
        <v>487</v>
      </c>
      <c r="D29" s="465" t="s">
        <v>563</v>
      </c>
      <c r="E29" s="461" t="s">
        <v>554</v>
      </c>
      <c r="F29" s="461" t="s">
        <v>554</v>
      </c>
      <c r="G29" s="470" t="s">
        <v>550</v>
      </c>
      <c r="H29" s="462" t="s">
        <v>550</v>
      </c>
    </row>
    <row r="30" spans="2:13">
      <c r="C30" s="468" t="s">
        <v>481</v>
      </c>
      <c r="D30" s="466" t="s">
        <v>564</v>
      </c>
      <c r="E30" s="474">
        <v>0.25</v>
      </c>
      <c r="F30" s="474">
        <v>1</v>
      </c>
      <c r="G30" s="469">
        <f>F30-E30</f>
        <v>0.75</v>
      </c>
      <c r="H30" s="464">
        <f>F30-E30</f>
        <v>0.75</v>
      </c>
    </row>
    <row r="31" spans="2:13">
      <c r="C31" s="468" t="s">
        <v>484</v>
      </c>
      <c r="D31" s="466" t="s">
        <v>386</v>
      </c>
      <c r="E31" s="476">
        <f>'Scénarios d''exploitation'!AF24/1000</f>
        <v>156.28098849857236</v>
      </c>
      <c r="F31" s="476">
        <f>'Scénarios d''exploitation'!AF24/1000</f>
        <v>156.28098849857236</v>
      </c>
      <c r="G31" s="469">
        <f>F31-E31</f>
        <v>0</v>
      </c>
      <c r="H31" s="477">
        <f>F31-E31</f>
        <v>0</v>
      </c>
    </row>
    <row r="32" spans="2:13">
      <c r="C32" s="468"/>
      <c r="D32" s="466" t="s">
        <v>565</v>
      </c>
      <c r="E32" s="474">
        <f>'Scénarios d''exploitation'!AF31</f>
        <v>0.14347056855680812</v>
      </c>
      <c r="F32" s="474">
        <f>'Scénarios d''exploitation'!AF31</f>
        <v>0.14347056855680812</v>
      </c>
      <c r="G32" s="474">
        <f>F32-E32</f>
        <v>0</v>
      </c>
      <c r="H32" s="478">
        <f>F32-E32</f>
        <v>0</v>
      </c>
    </row>
    <row r="33" spans="3:13">
      <c r="C33" s="468" t="s">
        <v>485</v>
      </c>
      <c r="D33" s="466" t="s">
        <v>559</v>
      </c>
      <c r="E33" s="463" t="s">
        <v>554</v>
      </c>
      <c r="F33" s="463" t="s">
        <v>554</v>
      </c>
      <c r="G33" s="463" t="s">
        <v>550</v>
      </c>
      <c r="H33" s="464" t="s">
        <v>550</v>
      </c>
    </row>
    <row r="34" spans="3:13">
      <c r="C34" s="468" t="s">
        <v>489</v>
      </c>
      <c r="D34" s="466" t="s">
        <v>566</v>
      </c>
      <c r="E34" s="463">
        <v>2</v>
      </c>
      <c r="F34" s="463">
        <v>2</v>
      </c>
      <c r="G34" s="469">
        <f>F34-E34</f>
        <v>0</v>
      </c>
      <c r="H34" s="464">
        <f>F34-E34</f>
        <v>0</v>
      </c>
    </row>
    <row r="38" spans="3:13" ht="18.5">
      <c r="C38" s="991" t="s">
        <v>488</v>
      </c>
      <c r="D38" s="991"/>
      <c r="E38" s="991"/>
      <c r="F38" s="991"/>
      <c r="G38" s="991"/>
      <c r="H38" s="991"/>
      <c r="I38" s="991"/>
      <c r="J38" s="991"/>
      <c r="K38" s="991"/>
      <c r="L38" s="991"/>
      <c r="M38" s="991"/>
    </row>
    <row r="39" spans="3:13">
      <c r="D39" s="458"/>
      <c r="E39" s="458"/>
      <c r="F39" s="458"/>
      <c r="G39" s="458"/>
      <c r="H39" s="458"/>
    </row>
    <row r="40" spans="3:13">
      <c r="C40" s="456"/>
      <c r="D40" s="459"/>
      <c r="E40" s="996" t="s">
        <v>517</v>
      </c>
      <c r="F40" s="996" t="s">
        <v>616</v>
      </c>
      <c r="G40" s="998" t="s">
        <v>518</v>
      </c>
      <c r="H40" s="999"/>
    </row>
    <row r="41" spans="3:13">
      <c r="C41" s="457"/>
      <c r="D41" s="460" t="s">
        <v>516</v>
      </c>
      <c r="E41" s="997"/>
      <c r="F41" s="997"/>
      <c r="G41" s="460" t="s">
        <v>519</v>
      </c>
      <c r="H41" s="460"/>
    </row>
    <row r="42" spans="3:13">
      <c r="C42" s="468" t="s">
        <v>482</v>
      </c>
      <c r="D42" s="466" t="s">
        <v>561</v>
      </c>
      <c r="E42" s="463">
        <v>8</v>
      </c>
      <c r="F42" s="463">
        <v>4</v>
      </c>
      <c r="G42" s="469" t="s">
        <v>550</v>
      </c>
      <c r="H42" s="464">
        <v>-4</v>
      </c>
    </row>
  </sheetData>
  <mergeCells count="17">
    <mergeCell ref="C38:M38"/>
    <mergeCell ref="E40:E41"/>
    <mergeCell ref="F40:F41"/>
    <mergeCell ref="G40:H40"/>
    <mergeCell ref="E18:E19"/>
    <mergeCell ref="F18:F19"/>
    <mergeCell ref="G18:H18"/>
    <mergeCell ref="C25:M25"/>
    <mergeCell ref="E27:E28"/>
    <mergeCell ref="F27:F28"/>
    <mergeCell ref="G27:H27"/>
    <mergeCell ref="D27:D28"/>
    <mergeCell ref="C3:M3"/>
    <mergeCell ref="E5:E6"/>
    <mergeCell ref="F5:F6"/>
    <mergeCell ref="G5:H5"/>
    <mergeCell ref="C16:M1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82"/>
  <sheetViews>
    <sheetView showGridLines="0" topLeftCell="A31" zoomScale="80" zoomScaleNormal="80" zoomScalePageLayoutView="80" workbookViewId="0">
      <selection activeCell="AB25" sqref="AB25"/>
    </sheetView>
  </sheetViews>
  <sheetFormatPr baseColWidth="10" defaultColWidth="8.81640625" defaultRowHeight="14.5"/>
  <cols>
    <col min="3" max="3" width="30.453125" bestFit="1" customWidth="1"/>
    <col min="4" max="4" width="52.81640625" customWidth="1"/>
    <col min="5" max="8" width="12.81640625" customWidth="1"/>
    <col min="15" max="15" width="22.26953125" customWidth="1"/>
  </cols>
  <sheetData>
    <row r="2" spans="2:26" ht="18.5">
      <c r="C2" s="991" t="s">
        <v>514</v>
      </c>
      <c r="D2" s="991"/>
      <c r="E2" s="991"/>
      <c r="F2" s="991"/>
      <c r="G2" s="991"/>
      <c r="H2" s="991"/>
      <c r="I2" s="991"/>
      <c r="J2" s="991"/>
      <c r="K2" s="991"/>
      <c r="L2" s="991"/>
      <c r="M2" s="991"/>
    </row>
    <row r="3" spans="2:26" ht="18.5">
      <c r="C3" s="1000" t="s">
        <v>515</v>
      </c>
      <c r="D3" s="1000"/>
      <c r="E3" s="1000"/>
      <c r="F3" s="1000"/>
      <c r="G3" s="1000"/>
      <c r="H3" s="1000"/>
      <c r="I3" s="1000"/>
      <c r="J3" s="1000"/>
      <c r="K3" s="1000"/>
      <c r="L3" s="1000"/>
      <c r="M3" s="1000"/>
    </row>
    <row r="4" spans="2:26">
      <c r="D4" s="458"/>
      <c r="E4" s="458"/>
      <c r="F4" s="458"/>
      <c r="G4" s="458"/>
      <c r="H4" s="458"/>
    </row>
    <row r="5" spans="2:26">
      <c r="C5" s="456"/>
      <c r="D5" s="992" t="s">
        <v>516</v>
      </c>
      <c r="E5" s="992" t="s">
        <v>517</v>
      </c>
      <c r="F5" s="992" t="s">
        <v>616</v>
      </c>
      <c r="G5" s="994" t="s">
        <v>518</v>
      </c>
      <c r="H5" s="995"/>
    </row>
    <row r="6" spans="2:26" ht="26.25" customHeight="1">
      <c r="C6" s="457"/>
      <c r="D6" s="993"/>
      <c r="E6" s="993"/>
      <c r="F6" s="993"/>
      <c r="G6" s="472" t="s">
        <v>519</v>
      </c>
      <c r="H6" s="472" t="s">
        <v>560</v>
      </c>
    </row>
    <row r="7" spans="2:26">
      <c r="B7" s="456"/>
      <c r="C7" s="467" t="s">
        <v>504</v>
      </c>
      <c r="D7" s="465" t="s">
        <v>535</v>
      </c>
      <c r="E7" s="461">
        <v>0.03</v>
      </c>
      <c r="F7" s="461">
        <v>0.02</v>
      </c>
      <c r="G7" s="470">
        <f>(E7-F7)/F7</f>
        <v>0.49999999999999989</v>
      </c>
      <c r="H7" s="462">
        <f>E7-F7</f>
        <v>9.9999999999999985E-3</v>
      </c>
    </row>
    <row r="8" spans="2:26">
      <c r="B8" s="456"/>
      <c r="C8" s="468" t="s">
        <v>506</v>
      </c>
      <c r="D8" s="466" t="s">
        <v>536</v>
      </c>
      <c r="E8" s="463">
        <v>210</v>
      </c>
      <c r="F8" s="463">
        <v>200</v>
      </c>
      <c r="G8" s="469">
        <f>(E8-F8)/F8</f>
        <v>0.05</v>
      </c>
      <c r="H8" s="464">
        <f>E8-F8</f>
        <v>10</v>
      </c>
    </row>
    <row r="9" spans="2:26">
      <c r="B9" s="456"/>
      <c r="C9" s="468"/>
      <c r="D9" s="466" t="s">
        <v>537</v>
      </c>
      <c r="E9" s="463">
        <v>4</v>
      </c>
      <c r="F9" s="463">
        <v>4</v>
      </c>
      <c r="G9" s="469">
        <f t="shared" ref="G9" si="0">(E9-F9)/F9</f>
        <v>0</v>
      </c>
      <c r="H9" s="464">
        <f t="shared" ref="H9:H10" si="1">E9-F9</f>
        <v>0</v>
      </c>
    </row>
    <row r="10" spans="2:26">
      <c r="B10" s="456"/>
      <c r="C10" s="468"/>
      <c r="D10" s="466" t="s">
        <v>538</v>
      </c>
      <c r="E10" s="463">
        <v>3</v>
      </c>
      <c r="F10" s="463">
        <v>2</v>
      </c>
      <c r="G10" s="469">
        <f>F10-E10</f>
        <v>-1</v>
      </c>
      <c r="H10" s="464">
        <f t="shared" si="1"/>
        <v>1</v>
      </c>
    </row>
    <row r="11" spans="2:26">
      <c r="B11" s="456"/>
      <c r="C11" s="468" t="s">
        <v>509</v>
      </c>
      <c r="D11" s="466" t="s">
        <v>539</v>
      </c>
      <c r="E11" s="463">
        <v>6</v>
      </c>
      <c r="F11" s="463">
        <v>6</v>
      </c>
      <c r="G11" s="469">
        <f>(E11-F11)/F11</f>
        <v>0</v>
      </c>
      <c r="H11" s="464">
        <f>E11-F11</f>
        <v>0</v>
      </c>
    </row>
    <row r="12" spans="2:26">
      <c r="B12" s="456"/>
      <c r="C12" s="468" t="s">
        <v>513</v>
      </c>
      <c r="D12" s="466" t="s">
        <v>541</v>
      </c>
      <c r="E12" s="463">
        <v>0</v>
      </c>
      <c r="F12" s="463">
        <v>0</v>
      </c>
      <c r="G12" s="469">
        <v>0</v>
      </c>
      <c r="H12" s="464">
        <f>E12-F12</f>
        <v>0</v>
      </c>
    </row>
    <row r="13" spans="2:26">
      <c r="B13" s="456"/>
      <c r="C13" s="467"/>
      <c r="D13" s="465" t="s">
        <v>540</v>
      </c>
      <c r="E13" s="461">
        <v>18</v>
      </c>
      <c r="F13" s="461">
        <v>16</v>
      </c>
      <c r="G13" s="470">
        <f>(E13-F13)/F13</f>
        <v>0.125</v>
      </c>
      <c r="H13" s="462">
        <f>E13-F13</f>
        <v>2</v>
      </c>
      <c r="O13" s="1001" t="s">
        <v>911</v>
      </c>
      <c r="P13" s="1001"/>
      <c r="Q13" s="1001"/>
      <c r="R13" s="1001"/>
      <c r="S13" s="1001"/>
      <c r="T13" s="1001"/>
      <c r="U13" s="1001"/>
      <c r="V13" s="1001"/>
      <c r="W13" s="1001"/>
      <c r="X13" s="1001"/>
      <c r="Y13" s="1001"/>
      <c r="Z13" s="1001"/>
    </row>
    <row r="14" spans="2:26">
      <c r="B14" s="6"/>
      <c r="C14" s="6"/>
      <c r="D14" s="6"/>
      <c r="E14" s="6"/>
      <c r="F14" s="6"/>
      <c r="G14" s="6"/>
      <c r="H14" s="6"/>
      <c r="O14" s="1001"/>
      <c r="P14" s="1001"/>
      <c r="Q14" s="1001"/>
      <c r="R14" s="1001"/>
      <c r="S14" s="1001"/>
      <c r="T14" s="1001"/>
      <c r="U14" s="1001"/>
      <c r="V14" s="1001"/>
      <c r="W14" s="1001"/>
      <c r="X14" s="1001"/>
      <c r="Y14" s="1001"/>
      <c r="Z14" s="1001"/>
    </row>
    <row r="16" spans="2:26" ht="15" thickBot="1"/>
    <row r="17" spans="3:26" ht="19" thickBot="1">
      <c r="C17" s="991" t="s">
        <v>496</v>
      </c>
      <c r="D17" s="991"/>
      <c r="E17" s="991"/>
      <c r="F17" s="991"/>
      <c r="G17" s="991"/>
      <c r="H17" s="991"/>
      <c r="I17" s="991"/>
      <c r="J17" s="991"/>
      <c r="K17" s="991"/>
      <c r="L17" s="991"/>
      <c r="M17" s="991"/>
      <c r="O17" s="600"/>
      <c r="P17" s="887">
        <v>2014</v>
      </c>
      <c r="Q17" s="888">
        <v>2015</v>
      </c>
      <c r="R17" s="888">
        <v>2016</v>
      </c>
      <c r="S17" s="888">
        <v>2017</v>
      </c>
      <c r="T17" s="888">
        <v>2018</v>
      </c>
      <c r="U17" s="888">
        <v>2019</v>
      </c>
      <c r="V17" s="888">
        <v>2020</v>
      </c>
      <c r="W17" s="888">
        <v>2021</v>
      </c>
      <c r="X17" s="888">
        <v>2022</v>
      </c>
      <c r="Y17" s="888">
        <v>2023</v>
      </c>
      <c r="Z17" s="889">
        <v>2024</v>
      </c>
    </row>
    <row r="18" spans="3:26" ht="18.5">
      <c r="C18" s="1000" t="s">
        <v>520</v>
      </c>
      <c r="D18" s="1000"/>
      <c r="E18" s="1000"/>
      <c r="F18" s="1000"/>
      <c r="G18" s="1000"/>
      <c r="H18" s="1000"/>
      <c r="I18" s="1000"/>
      <c r="J18" s="1000"/>
      <c r="K18" s="1000"/>
      <c r="L18" s="1000"/>
      <c r="M18" s="1000"/>
      <c r="O18" s="890" t="s">
        <v>69</v>
      </c>
      <c r="P18" s="890">
        <v>20</v>
      </c>
      <c r="Q18" s="891">
        <v>25</v>
      </c>
      <c r="R18" s="891">
        <v>27</v>
      </c>
      <c r="S18" s="891">
        <v>29</v>
      </c>
      <c r="T18" s="891">
        <v>30</v>
      </c>
      <c r="U18" s="891">
        <v>32</v>
      </c>
      <c r="V18" s="891">
        <v>32</v>
      </c>
      <c r="W18" s="891">
        <v>34</v>
      </c>
      <c r="X18" s="891">
        <v>35</v>
      </c>
      <c r="Y18" s="891">
        <v>33</v>
      </c>
      <c r="Z18" s="892">
        <v>37</v>
      </c>
    </row>
    <row r="19" spans="3:26">
      <c r="D19" s="458"/>
      <c r="E19" s="458"/>
      <c r="F19" s="458"/>
      <c r="G19" s="458"/>
      <c r="H19" s="458"/>
      <c r="O19" s="70" t="s">
        <v>908</v>
      </c>
      <c r="P19" s="70">
        <v>29</v>
      </c>
      <c r="Q19" s="115">
        <v>30</v>
      </c>
      <c r="R19" s="115">
        <v>29</v>
      </c>
      <c r="S19" s="115">
        <v>31</v>
      </c>
      <c r="T19" s="115">
        <v>33</v>
      </c>
      <c r="U19" s="115">
        <v>32</v>
      </c>
      <c r="V19" s="115">
        <v>30</v>
      </c>
      <c r="W19" s="115">
        <v>29</v>
      </c>
      <c r="X19" s="115">
        <v>30</v>
      </c>
      <c r="Y19" s="115">
        <v>31</v>
      </c>
      <c r="Z19" s="893">
        <v>30</v>
      </c>
    </row>
    <row r="20" spans="3:26">
      <c r="C20" s="456"/>
      <c r="D20" s="992" t="s">
        <v>516</v>
      </c>
      <c r="E20" s="992" t="s">
        <v>517</v>
      </c>
      <c r="F20" s="992" t="s">
        <v>616</v>
      </c>
      <c r="G20" s="994" t="s">
        <v>518</v>
      </c>
      <c r="H20" s="995"/>
      <c r="O20" s="70" t="s">
        <v>909</v>
      </c>
      <c r="P20" s="70">
        <v>23</v>
      </c>
      <c r="Q20" s="115">
        <v>21</v>
      </c>
      <c r="R20" s="115">
        <v>20</v>
      </c>
      <c r="S20" s="115">
        <v>22</v>
      </c>
      <c r="T20" s="115">
        <v>20</v>
      </c>
      <c r="U20" s="115">
        <v>26</v>
      </c>
      <c r="V20" s="115">
        <v>19</v>
      </c>
      <c r="W20" s="115">
        <v>17</v>
      </c>
      <c r="X20" s="115">
        <v>20</v>
      </c>
      <c r="Y20" s="115">
        <v>18</v>
      </c>
      <c r="Z20" s="893">
        <v>16</v>
      </c>
    </row>
    <row r="21" spans="3:26" ht="15" thickBot="1">
      <c r="C21" s="457"/>
      <c r="D21" s="993"/>
      <c r="E21" s="993"/>
      <c r="F21" s="993"/>
      <c r="G21" s="472" t="s">
        <v>519</v>
      </c>
      <c r="H21" s="472" t="s">
        <v>560</v>
      </c>
      <c r="O21" s="894" t="s">
        <v>910</v>
      </c>
      <c r="P21" s="894">
        <v>28</v>
      </c>
      <c r="Q21" s="895">
        <v>24</v>
      </c>
      <c r="R21" s="895">
        <v>24</v>
      </c>
      <c r="S21" s="895">
        <v>18</v>
      </c>
      <c r="T21" s="895">
        <v>17</v>
      </c>
      <c r="U21" s="895">
        <v>10</v>
      </c>
      <c r="V21" s="895">
        <v>19</v>
      </c>
      <c r="W21" s="895">
        <v>20</v>
      </c>
      <c r="X21" s="895">
        <v>15</v>
      </c>
      <c r="Y21" s="895">
        <v>18</v>
      </c>
      <c r="Z21" s="896">
        <v>17</v>
      </c>
    </row>
    <row r="22" spans="3:26">
      <c r="C22" s="467" t="s">
        <v>504</v>
      </c>
      <c r="D22" s="465" t="s">
        <v>521</v>
      </c>
      <c r="E22" s="461">
        <v>0.02</v>
      </c>
      <c r="F22" s="461">
        <v>0.02</v>
      </c>
      <c r="G22" s="470">
        <f>(E22-F22)/F22</f>
        <v>0</v>
      </c>
      <c r="H22" s="462">
        <f>E22-F22</f>
        <v>0</v>
      </c>
    </row>
    <row r="23" spans="3:26">
      <c r="C23" s="468" t="s">
        <v>506</v>
      </c>
      <c r="D23" s="466" t="s">
        <v>542</v>
      </c>
      <c r="E23" s="463">
        <v>210</v>
      </c>
      <c r="F23" s="463">
        <v>200</v>
      </c>
      <c r="G23" s="469">
        <f>(E23-F23)/F23</f>
        <v>0.05</v>
      </c>
      <c r="H23" s="464">
        <f>E23-F23</f>
        <v>10</v>
      </c>
    </row>
    <row r="24" spans="3:26">
      <c r="C24" s="468" t="s">
        <v>506</v>
      </c>
      <c r="D24" s="466" t="s">
        <v>543</v>
      </c>
      <c r="E24" s="463">
        <v>4</v>
      </c>
      <c r="F24" s="463">
        <v>4</v>
      </c>
      <c r="G24" s="469">
        <f t="shared" ref="G24:G25" si="2">(E24-F24)/F24</f>
        <v>0</v>
      </c>
      <c r="H24" s="464">
        <f t="shared" ref="H24:H25" si="3">E24-F24</f>
        <v>0</v>
      </c>
    </row>
    <row r="25" spans="3:26">
      <c r="C25" s="468" t="s">
        <v>506</v>
      </c>
      <c r="D25" s="466" t="s">
        <v>544</v>
      </c>
      <c r="E25" s="463">
        <v>3</v>
      </c>
      <c r="F25" s="463">
        <v>2</v>
      </c>
      <c r="G25" s="469">
        <f t="shared" si="2"/>
        <v>0.5</v>
      </c>
      <c r="H25" s="464">
        <f t="shared" si="3"/>
        <v>1</v>
      </c>
    </row>
    <row r="26" spans="3:26">
      <c r="C26" s="468" t="s">
        <v>511</v>
      </c>
      <c r="D26" s="466" t="s">
        <v>522</v>
      </c>
      <c r="E26" s="463">
        <v>0</v>
      </c>
      <c r="F26" s="463">
        <v>0</v>
      </c>
      <c r="G26" s="469">
        <v>0</v>
      </c>
      <c r="H26" s="464">
        <v>0</v>
      </c>
    </row>
    <row r="27" spans="3:26">
      <c r="C27" s="468"/>
      <c r="D27" s="466" t="s">
        <v>906</v>
      </c>
      <c r="E27" s="463">
        <v>0</v>
      </c>
      <c r="F27" s="463">
        <v>0</v>
      </c>
      <c r="G27" s="469">
        <v>0</v>
      </c>
      <c r="H27" s="464">
        <v>0</v>
      </c>
    </row>
    <row r="28" spans="3:26">
      <c r="C28" s="479"/>
      <c r="D28" s="480"/>
      <c r="E28" s="481"/>
      <c r="F28" s="481"/>
      <c r="G28" s="482"/>
      <c r="H28" s="481"/>
    </row>
    <row r="29" spans="3:26">
      <c r="C29" s="479" t="s">
        <v>617</v>
      </c>
      <c r="D29" s="480"/>
      <c r="E29" s="481"/>
      <c r="F29" s="481"/>
      <c r="G29" s="482"/>
      <c r="H29" s="481"/>
    </row>
    <row r="30" spans="3:26" ht="1.5" customHeight="1"/>
    <row r="31" spans="3:26" ht="18.5">
      <c r="C31" s="828" t="s">
        <v>501</v>
      </c>
      <c r="D31" s="828"/>
      <c r="E31" s="828"/>
      <c r="F31" s="828"/>
      <c r="G31" s="828"/>
      <c r="H31" s="828"/>
    </row>
    <row r="32" spans="3:26" ht="18.5">
      <c r="D32" s="458"/>
      <c r="E32" s="458"/>
      <c r="F32" s="458"/>
      <c r="G32" s="458"/>
      <c r="H32" s="458"/>
      <c r="I32" s="886"/>
      <c r="J32" s="886"/>
      <c r="K32" s="886"/>
      <c r="L32" s="886"/>
      <c r="M32" s="886"/>
    </row>
    <row r="33" spans="3:13">
      <c r="C33" s="456"/>
      <c r="D33" s="992" t="s">
        <v>516</v>
      </c>
      <c r="E33" s="992" t="s">
        <v>517</v>
      </c>
      <c r="F33" s="992" t="s">
        <v>616</v>
      </c>
      <c r="G33" s="994" t="s">
        <v>518</v>
      </c>
      <c r="H33" s="1002"/>
      <c r="I33" s="6"/>
      <c r="J33" s="6"/>
      <c r="K33" s="6"/>
      <c r="L33" s="6"/>
      <c r="M33" s="6"/>
    </row>
    <row r="34" spans="3:13">
      <c r="C34" s="457"/>
      <c r="D34" s="993"/>
      <c r="E34" s="993"/>
      <c r="F34" s="993"/>
      <c r="G34" s="472" t="s">
        <v>519</v>
      </c>
      <c r="H34" s="472" t="s">
        <v>560</v>
      </c>
    </row>
    <row r="35" spans="3:13">
      <c r="C35" s="467" t="s">
        <v>503</v>
      </c>
      <c r="D35" s="465" t="s">
        <v>545</v>
      </c>
      <c r="E35" s="461">
        <v>290</v>
      </c>
      <c r="F35" s="461">
        <v>300</v>
      </c>
      <c r="G35" s="470">
        <f>F35-E35</f>
        <v>10</v>
      </c>
      <c r="H35" s="462">
        <f>E35-F35</f>
        <v>-10</v>
      </c>
    </row>
    <row r="36" spans="3:13">
      <c r="C36" s="468"/>
      <c r="D36" s="466" t="s">
        <v>551</v>
      </c>
      <c r="E36" s="463">
        <v>390</v>
      </c>
      <c r="F36" s="463">
        <v>380</v>
      </c>
      <c r="G36" s="470">
        <f t="shared" ref="G36:G48" si="4">F36-E36</f>
        <v>-10</v>
      </c>
      <c r="H36" s="462">
        <f t="shared" ref="H36:H48" si="5">E36-F36</f>
        <v>10</v>
      </c>
    </row>
    <row r="37" spans="3:13">
      <c r="C37" s="468" t="s">
        <v>505</v>
      </c>
      <c r="D37" s="466" t="s">
        <v>546</v>
      </c>
      <c r="E37" s="463">
        <v>0.24</v>
      </c>
      <c r="F37" s="463">
        <v>0.25</v>
      </c>
      <c r="G37" s="470">
        <f t="shared" si="4"/>
        <v>1.0000000000000009E-2</v>
      </c>
      <c r="H37" s="462">
        <f t="shared" si="5"/>
        <v>-1.0000000000000009E-2</v>
      </c>
    </row>
    <row r="38" spans="3:13">
      <c r="C38" s="468"/>
      <c r="D38" s="466" t="s">
        <v>547</v>
      </c>
      <c r="E38" s="463">
        <v>0.1</v>
      </c>
      <c r="F38" s="463">
        <v>0.1</v>
      </c>
      <c r="G38" s="470">
        <f t="shared" si="4"/>
        <v>0</v>
      </c>
      <c r="H38" s="462">
        <f t="shared" si="5"/>
        <v>0</v>
      </c>
    </row>
    <row r="39" spans="3:13">
      <c r="C39" s="468" t="s">
        <v>507</v>
      </c>
      <c r="D39" s="466" t="s">
        <v>548</v>
      </c>
      <c r="E39" s="463">
        <v>10</v>
      </c>
      <c r="F39" s="463">
        <v>10</v>
      </c>
      <c r="G39" s="470">
        <f t="shared" si="4"/>
        <v>0</v>
      </c>
      <c r="H39" s="462">
        <f t="shared" si="5"/>
        <v>0</v>
      </c>
    </row>
    <row r="40" spans="3:13">
      <c r="C40" s="468"/>
      <c r="D40" s="466" t="s">
        <v>549</v>
      </c>
      <c r="E40" s="463">
        <v>0.08</v>
      </c>
      <c r="F40" s="463">
        <v>0.09</v>
      </c>
      <c r="G40" s="470">
        <f t="shared" si="4"/>
        <v>9.999999999999995E-3</v>
      </c>
      <c r="H40" s="462">
        <f t="shared" si="5"/>
        <v>-9.999999999999995E-3</v>
      </c>
    </row>
    <row r="41" spans="3:13">
      <c r="C41" s="467" t="s">
        <v>508</v>
      </c>
      <c r="D41" s="465" t="s">
        <v>523</v>
      </c>
      <c r="E41" s="461">
        <f>195000/1000</f>
        <v>195</v>
      </c>
      <c r="F41" s="461">
        <f>200000/1000</f>
        <v>200</v>
      </c>
      <c r="G41" s="470">
        <f t="shared" si="4"/>
        <v>5</v>
      </c>
      <c r="H41" s="462">
        <f t="shared" si="5"/>
        <v>-5</v>
      </c>
    </row>
    <row r="42" spans="3:13">
      <c r="C42" s="468"/>
      <c r="D42" s="466" t="s">
        <v>907</v>
      </c>
      <c r="E42" s="475">
        <f>210000/1300000</f>
        <v>0.16153846153846155</v>
      </c>
      <c r="F42" s="475">
        <f>200000/1300000</f>
        <v>0.15384615384615385</v>
      </c>
      <c r="G42" s="470">
        <f t="shared" si="4"/>
        <v>-7.6923076923076927E-3</v>
      </c>
      <c r="H42" s="484">
        <f t="shared" si="5"/>
        <v>7.6923076923076927E-3</v>
      </c>
    </row>
    <row r="43" spans="3:13">
      <c r="C43" s="468"/>
      <c r="D43" s="466" t="s">
        <v>524</v>
      </c>
      <c r="E43" s="475">
        <f>190000/1300000</f>
        <v>0.14615384615384616</v>
      </c>
      <c r="F43" s="475">
        <f>190000/1300000</f>
        <v>0.14615384615384616</v>
      </c>
      <c r="G43" s="470">
        <f t="shared" si="4"/>
        <v>0</v>
      </c>
      <c r="H43" s="462">
        <f t="shared" si="5"/>
        <v>0</v>
      </c>
    </row>
    <row r="44" spans="3:13">
      <c r="C44" s="468" t="s">
        <v>510</v>
      </c>
      <c r="D44" s="466" t="s">
        <v>525</v>
      </c>
      <c r="E44" s="463">
        <v>150</v>
      </c>
      <c r="F44" s="463">
        <v>140</v>
      </c>
      <c r="G44" s="470">
        <f t="shared" si="4"/>
        <v>-10</v>
      </c>
      <c r="H44" s="462">
        <f t="shared" si="5"/>
        <v>10</v>
      </c>
    </row>
    <row r="45" spans="3:13">
      <c r="C45" s="467"/>
      <c r="D45" s="465" t="s">
        <v>526</v>
      </c>
      <c r="E45" s="461">
        <v>170</v>
      </c>
      <c r="F45" s="461">
        <v>150</v>
      </c>
      <c r="G45" s="470">
        <f t="shared" si="4"/>
        <v>-20</v>
      </c>
      <c r="H45" s="462">
        <f t="shared" si="5"/>
        <v>20</v>
      </c>
    </row>
    <row r="46" spans="3:13">
      <c r="C46" s="467"/>
      <c r="D46" s="465" t="s">
        <v>527</v>
      </c>
      <c r="E46" s="461">
        <v>120</v>
      </c>
      <c r="F46" s="461">
        <v>110</v>
      </c>
      <c r="G46" s="470">
        <f t="shared" si="4"/>
        <v>-10</v>
      </c>
      <c r="H46" s="462">
        <f t="shared" si="5"/>
        <v>10</v>
      </c>
    </row>
    <row r="47" spans="3:13">
      <c r="C47" s="468" t="s">
        <v>512</v>
      </c>
      <c r="D47" s="466" t="s">
        <v>528</v>
      </c>
      <c r="E47" s="463">
        <f>194000/1000</f>
        <v>194</v>
      </c>
      <c r="F47" s="463">
        <f>170000/1000</f>
        <v>170</v>
      </c>
      <c r="G47" s="470">
        <f t="shared" si="4"/>
        <v>-24</v>
      </c>
      <c r="H47" s="462">
        <f t="shared" si="5"/>
        <v>24</v>
      </c>
    </row>
    <row r="48" spans="3:13">
      <c r="C48" s="468"/>
      <c r="D48" s="466" t="s">
        <v>529</v>
      </c>
      <c r="E48" s="463">
        <v>40</v>
      </c>
      <c r="F48" s="463">
        <v>0</v>
      </c>
      <c r="G48" s="470">
        <f t="shared" si="4"/>
        <v>-40</v>
      </c>
      <c r="H48" s="462">
        <f t="shared" si="5"/>
        <v>40</v>
      </c>
    </row>
    <row r="50" spans="3:13">
      <c r="C50" t="s">
        <v>618</v>
      </c>
    </row>
    <row r="51" spans="3:13" ht="18.5">
      <c r="C51" s="827" t="s">
        <v>497</v>
      </c>
      <c r="D51" s="827"/>
      <c r="E51" s="827"/>
      <c r="F51" s="827"/>
      <c r="G51" s="827"/>
      <c r="H51" s="827"/>
      <c r="I51" s="827"/>
      <c r="J51" s="827"/>
      <c r="K51" s="827"/>
      <c r="L51" s="827"/>
      <c r="M51" s="827"/>
    </row>
    <row r="52" spans="3:13" ht="18.5">
      <c r="C52" s="828" t="s">
        <v>502</v>
      </c>
      <c r="D52" s="828"/>
      <c r="E52" s="828"/>
      <c r="F52" s="828"/>
      <c r="G52" s="828"/>
      <c r="H52" s="828"/>
      <c r="I52" s="828"/>
      <c r="J52" s="828"/>
      <c r="K52" s="828"/>
      <c r="L52" s="828"/>
      <c r="M52" s="828"/>
    </row>
    <row r="53" spans="3:13">
      <c r="D53" s="458"/>
      <c r="E53" s="458"/>
      <c r="F53" s="458"/>
      <c r="G53" s="458"/>
      <c r="H53" s="458"/>
    </row>
    <row r="54" spans="3:13" ht="0.75" customHeight="1">
      <c r="C54" s="456"/>
      <c r="D54" s="992" t="s">
        <v>516</v>
      </c>
      <c r="E54" s="992" t="s">
        <v>517</v>
      </c>
      <c r="F54" s="992" t="s">
        <v>616</v>
      </c>
      <c r="G54" s="994" t="s">
        <v>518</v>
      </c>
      <c r="H54" s="995"/>
    </row>
    <row r="55" spans="3:13" ht="18.5">
      <c r="C55" s="457"/>
      <c r="D55" s="993"/>
      <c r="E55" s="993"/>
      <c r="F55" s="993"/>
      <c r="G55" s="472" t="s">
        <v>519</v>
      </c>
      <c r="H55" s="884" t="s">
        <v>560</v>
      </c>
      <c r="I55" s="886"/>
      <c r="J55" s="886"/>
      <c r="K55" s="886"/>
      <c r="L55" s="886"/>
      <c r="M55" s="886"/>
    </row>
    <row r="56" spans="3:13" ht="18.5">
      <c r="C56" s="467" t="s">
        <v>503</v>
      </c>
      <c r="D56" s="465" t="s">
        <v>530</v>
      </c>
      <c r="E56" s="461">
        <v>290</v>
      </c>
      <c r="F56" s="461">
        <v>300</v>
      </c>
      <c r="G56" s="470">
        <f>F56-E56</f>
        <v>10</v>
      </c>
      <c r="H56" s="885">
        <f>E56-F56</f>
        <v>-10</v>
      </c>
      <c r="I56" s="886"/>
      <c r="J56" s="886"/>
      <c r="K56" s="886"/>
      <c r="L56" s="886"/>
      <c r="M56" s="886"/>
    </row>
    <row r="57" spans="3:13">
      <c r="C57" s="468"/>
      <c r="D57" s="466" t="s">
        <v>531</v>
      </c>
      <c r="E57" s="463">
        <v>390</v>
      </c>
      <c r="F57" s="463">
        <v>380</v>
      </c>
      <c r="G57" s="470">
        <f t="shared" ref="G57:G65" si="6">F57-E57</f>
        <v>-10</v>
      </c>
      <c r="H57" s="462">
        <f t="shared" ref="H57:H66" si="7">E57-F57</f>
        <v>10</v>
      </c>
    </row>
    <row r="58" spans="3:13">
      <c r="C58" s="468" t="s">
        <v>504</v>
      </c>
      <c r="D58" s="466" t="s">
        <v>532</v>
      </c>
      <c r="E58" s="463">
        <v>0.02</v>
      </c>
      <c r="F58" s="463">
        <v>0.02</v>
      </c>
      <c r="G58" s="470">
        <f t="shared" si="6"/>
        <v>0</v>
      </c>
      <c r="H58" s="462">
        <f t="shared" si="7"/>
        <v>0</v>
      </c>
    </row>
    <row r="59" spans="3:13">
      <c r="C59" s="468" t="s">
        <v>505</v>
      </c>
      <c r="D59" s="466" t="s">
        <v>533</v>
      </c>
      <c r="E59" s="463">
        <v>0.24</v>
      </c>
      <c r="F59" s="463">
        <v>0.25</v>
      </c>
      <c r="G59" s="470">
        <f t="shared" si="6"/>
        <v>1.0000000000000009E-2</v>
      </c>
      <c r="H59" s="462">
        <f t="shared" si="7"/>
        <v>-1.0000000000000009E-2</v>
      </c>
    </row>
    <row r="60" spans="3:13">
      <c r="C60" s="468"/>
      <c r="D60" s="466" t="s">
        <v>534</v>
      </c>
      <c r="E60" s="463">
        <v>0.1</v>
      </c>
      <c r="F60" s="463">
        <v>0.1</v>
      </c>
      <c r="G60" s="470">
        <f t="shared" si="6"/>
        <v>0</v>
      </c>
      <c r="H60" s="462">
        <f t="shared" si="7"/>
        <v>0</v>
      </c>
    </row>
    <row r="61" spans="3:13">
      <c r="C61" s="468" t="s">
        <v>508</v>
      </c>
      <c r="D61" s="466" t="s">
        <v>523</v>
      </c>
      <c r="E61" s="463">
        <f>195000/1000</f>
        <v>195</v>
      </c>
      <c r="F61" s="463">
        <f>200000/1000</f>
        <v>200</v>
      </c>
      <c r="G61" s="470">
        <f t="shared" si="6"/>
        <v>5</v>
      </c>
      <c r="H61" s="462">
        <f t="shared" si="7"/>
        <v>-5</v>
      </c>
    </row>
    <row r="62" spans="3:13">
      <c r="C62" s="467"/>
      <c r="D62" s="465" t="s">
        <v>907</v>
      </c>
      <c r="E62" s="483">
        <f>210000/1300000</f>
        <v>0.16153846153846155</v>
      </c>
      <c r="F62" s="483">
        <f>200000/1300000</f>
        <v>0.15384615384615385</v>
      </c>
      <c r="G62" s="470">
        <f t="shared" si="6"/>
        <v>-7.6923076923076927E-3</v>
      </c>
      <c r="H62" s="484">
        <f t="shared" si="7"/>
        <v>7.6923076923076927E-3</v>
      </c>
    </row>
    <row r="63" spans="3:13">
      <c r="C63" s="468"/>
      <c r="D63" s="466" t="s">
        <v>524</v>
      </c>
      <c r="E63" s="475">
        <f>190000/1300000</f>
        <v>0.14615384615384616</v>
      </c>
      <c r="F63" s="475">
        <f>190000/1300000</f>
        <v>0.14615384615384616</v>
      </c>
      <c r="G63" s="470">
        <f t="shared" si="6"/>
        <v>0</v>
      </c>
      <c r="H63" s="462">
        <f t="shared" si="7"/>
        <v>0</v>
      </c>
    </row>
    <row r="64" spans="3:13">
      <c r="C64" s="468" t="s">
        <v>510</v>
      </c>
      <c r="D64" s="466" t="s">
        <v>525</v>
      </c>
      <c r="E64" s="463">
        <v>150</v>
      </c>
      <c r="F64" s="463">
        <v>140</v>
      </c>
      <c r="G64" s="470">
        <f t="shared" si="6"/>
        <v>-10</v>
      </c>
      <c r="H64" s="462">
        <f t="shared" si="7"/>
        <v>10</v>
      </c>
    </row>
    <row r="65" spans="3:8">
      <c r="C65" s="468"/>
      <c r="D65" s="466" t="s">
        <v>526</v>
      </c>
      <c r="E65" s="463">
        <v>170</v>
      </c>
      <c r="F65" s="463">
        <v>150</v>
      </c>
      <c r="G65" s="470">
        <f t="shared" si="6"/>
        <v>-20</v>
      </c>
      <c r="H65" s="462">
        <f t="shared" si="7"/>
        <v>20</v>
      </c>
    </row>
    <row r="66" spans="3:8">
      <c r="C66" s="467"/>
      <c r="D66" s="465" t="s">
        <v>527</v>
      </c>
      <c r="E66" s="461">
        <v>120</v>
      </c>
      <c r="F66" s="461">
        <v>110</v>
      </c>
      <c r="G66" s="470">
        <f>F66-E66</f>
        <v>-10</v>
      </c>
      <c r="H66" s="462">
        <f t="shared" si="7"/>
        <v>10</v>
      </c>
    </row>
    <row r="74" spans="3:8">
      <c r="C74" s="556" t="s">
        <v>619</v>
      </c>
    </row>
    <row r="75" spans="3:8">
      <c r="C75" t="s">
        <v>620</v>
      </c>
    </row>
    <row r="81" hidden="1"/>
    <row r="82" hidden="1"/>
  </sheetData>
  <mergeCells count="21">
    <mergeCell ref="O13:Z14"/>
    <mergeCell ref="D54:D55"/>
    <mergeCell ref="D5:D6"/>
    <mergeCell ref="D20:D21"/>
    <mergeCell ref="D33:D34"/>
    <mergeCell ref="C17:M17"/>
    <mergeCell ref="C18:M18"/>
    <mergeCell ref="E20:E21"/>
    <mergeCell ref="F20:F21"/>
    <mergeCell ref="G20:H20"/>
    <mergeCell ref="E54:E55"/>
    <mergeCell ref="F54:F55"/>
    <mergeCell ref="G54:H54"/>
    <mergeCell ref="E33:E34"/>
    <mergeCell ref="F33:F34"/>
    <mergeCell ref="G33:H33"/>
    <mergeCell ref="C2:M2"/>
    <mergeCell ref="C3:M3"/>
    <mergeCell ref="G5:H5"/>
    <mergeCell ref="E5:E6"/>
    <mergeCell ref="F5:F6"/>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107"/>
  <sheetViews>
    <sheetView showGridLines="0" topLeftCell="A51" zoomScale="76" zoomScaleNormal="76" zoomScalePageLayoutView="76" workbookViewId="0">
      <selection activeCell="N42" sqref="N42"/>
    </sheetView>
  </sheetViews>
  <sheetFormatPr baseColWidth="10" defaultColWidth="8.81640625" defaultRowHeight="14.5"/>
  <cols>
    <col min="2" max="2" width="51.453125" bestFit="1" customWidth="1"/>
    <col min="4" max="4" width="21.1796875" bestFit="1" customWidth="1"/>
    <col min="9" max="9" width="12.453125" bestFit="1" customWidth="1"/>
    <col min="10" max="10" width="10.453125" bestFit="1" customWidth="1"/>
    <col min="12" max="13" width="8.26953125" bestFit="1" customWidth="1"/>
    <col min="14" max="14" width="27.7265625" customWidth="1"/>
    <col min="16" max="16" width="8.26953125" bestFit="1" customWidth="1"/>
  </cols>
  <sheetData>
    <row r="4" spans="1:20">
      <c r="A4" s="485"/>
      <c r="B4" s="485"/>
      <c r="C4" s="485"/>
      <c r="D4" s="485"/>
      <c r="E4" s="485"/>
      <c r="F4" s="485"/>
      <c r="G4" s="485"/>
      <c r="H4" s="485"/>
      <c r="I4" s="485"/>
      <c r="J4" s="485"/>
      <c r="K4" s="485"/>
      <c r="L4" s="485"/>
      <c r="M4" s="485"/>
      <c r="N4" s="485"/>
      <c r="O4" s="485"/>
      <c r="P4" s="485"/>
      <c r="Q4" s="485"/>
      <c r="R4" s="485"/>
      <c r="S4" s="485"/>
      <c r="T4" s="485"/>
    </row>
    <row r="5" spans="1:20" ht="24" thickBot="1">
      <c r="A5" s="485"/>
      <c r="B5" s="1006" t="s">
        <v>567</v>
      </c>
      <c r="C5" s="1006"/>
      <c r="D5" s="486"/>
      <c r="E5" s="486"/>
      <c r="F5" s="486"/>
      <c r="G5" s="485"/>
      <c r="H5" s="485"/>
      <c r="I5" s="485"/>
      <c r="J5" s="485"/>
      <c r="K5" s="485"/>
      <c r="L5" s="485"/>
      <c r="M5" s="485"/>
      <c r="N5" s="485"/>
      <c r="O5" s="485"/>
      <c r="P5" s="485"/>
      <c r="Q5" s="485"/>
      <c r="R5" s="485"/>
      <c r="S5" s="485"/>
      <c r="T5" s="485"/>
    </row>
    <row r="6" spans="1:20" ht="18.5">
      <c r="A6" s="485"/>
      <c r="B6" s="487"/>
      <c r="C6" s="488"/>
      <c r="D6" s="488"/>
      <c r="E6" s="488"/>
      <c r="F6" s="488"/>
      <c r="G6" s="485"/>
      <c r="H6" s="485"/>
      <c r="I6" s="485"/>
      <c r="J6" s="485"/>
      <c r="K6" s="485"/>
      <c r="L6" s="485"/>
      <c r="M6" s="485"/>
      <c r="N6" s="485"/>
      <c r="O6" s="485"/>
      <c r="P6" s="485"/>
      <c r="Q6" s="485"/>
      <c r="R6" s="485"/>
      <c r="S6" s="485"/>
      <c r="T6" s="485"/>
    </row>
    <row r="7" spans="1:20" ht="18.5">
      <c r="A7" s="485"/>
      <c r="B7" s="489" t="s">
        <v>568</v>
      </c>
      <c r="C7" s="1007" t="s">
        <v>569</v>
      </c>
      <c r="D7" s="1007"/>
      <c r="E7" s="1007"/>
      <c r="F7" s="1008"/>
      <c r="G7" s="485"/>
      <c r="H7" s="485"/>
      <c r="I7" s="485"/>
      <c r="J7" s="485"/>
      <c r="K7" s="485"/>
      <c r="L7" s="485"/>
      <c r="M7" s="485"/>
      <c r="N7" s="485"/>
      <c r="O7" s="485"/>
      <c r="P7" s="485"/>
      <c r="Q7" s="485"/>
      <c r="R7" s="485"/>
      <c r="S7" s="485"/>
      <c r="T7" s="485"/>
    </row>
    <row r="8" spans="1:20" ht="18.5">
      <c r="A8" s="485"/>
      <c r="B8" s="489" t="s">
        <v>570</v>
      </c>
      <c r="C8" s="1007" t="s">
        <v>571</v>
      </c>
      <c r="D8" s="1007"/>
      <c r="E8" s="1007"/>
      <c r="F8" s="1008"/>
      <c r="G8" s="485"/>
      <c r="H8" s="485"/>
      <c r="I8" s="485"/>
      <c r="J8" s="485"/>
      <c r="K8" s="485"/>
      <c r="L8" s="485"/>
      <c r="M8" s="485"/>
      <c r="N8" s="485"/>
      <c r="O8" s="485"/>
      <c r="P8" s="485"/>
      <c r="Q8" s="485"/>
      <c r="R8" s="485"/>
      <c r="S8" s="485"/>
      <c r="T8" s="485"/>
    </row>
    <row r="9" spans="1:20" ht="18.5">
      <c r="A9" s="485"/>
      <c r="B9" s="490" t="s">
        <v>572</v>
      </c>
      <c r="C9" s="1007" t="s">
        <v>573</v>
      </c>
      <c r="D9" s="1007"/>
      <c r="E9" s="1007"/>
      <c r="F9" s="1008"/>
      <c r="G9" s="485"/>
      <c r="H9" s="485"/>
      <c r="I9" s="485"/>
      <c r="J9" s="485"/>
      <c r="K9" s="485"/>
      <c r="L9" s="485"/>
      <c r="M9" s="485"/>
      <c r="N9" s="485"/>
      <c r="O9" s="485"/>
      <c r="P9" s="485"/>
      <c r="Q9" s="485"/>
      <c r="R9" s="485"/>
      <c r="S9" s="485"/>
      <c r="T9" s="485"/>
    </row>
    <row r="10" spans="1:20" ht="18.5">
      <c r="A10" s="485"/>
      <c r="B10" s="1009" t="s">
        <v>574</v>
      </c>
      <c r="C10" s="488"/>
      <c r="D10" s="488"/>
      <c r="E10" s="488"/>
      <c r="F10" s="488"/>
      <c r="G10" s="485"/>
      <c r="H10" s="485"/>
      <c r="I10" s="485"/>
      <c r="J10" s="485"/>
      <c r="K10" s="485"/>
      <c r="L10" s="485"/>
      <c r="M10" s="485"/>
      <c r="N10" s="485"/>
      <c r="O10" s="485"/>
      <c r="P10" s="485"/>
      <c r="Q10" s="485"/>
      <c r="R10" s="485"/>
      <c r="S10" s="485"/>
      <c r="T10" s="485"/>
    </row>
    <row r="11" spans="1:20" ht="18.5">
      <c r="A11" s="485"/>
      <c r="B11" s="1010"/>
      <c r="C11" s="488"/>
      <c r="D11" s="488"/>
      <c r="E11" s="488"/>
      <c r="F11" s="491"/>
      <c r="G11" s="485"/>
      <c r="H11" s="485"/>
      <c r="I11" s="485"/>
      <c r="J11" s="485"/>
      <c r="K11" s="485"/>
      <c r="L11" s="485"/>
      <c r="M11" s="485"/>
      <c r="N11" s="485"/>
      <c r="O11" s="485"/>
      <c r="P11" s="485"/>
      <c r="Q11" s="485"/>
      <c r="R11" s="485"/>
      <c r="S11" s="485"/>
      <c r="T11" s="485"/>
    </row>
    <row r="12" spans="1:20" ht="18.5">
      <c r="A12" s="485"/>
      <c r="B12" s="1011" t="s">
        <v>575</v>
      </c>
      <c r="C12" s="1012"/>
      <c r="D12" s="492"/>
      <c r="E12" s="492"/>
      <c r="F12" s="493"/>
      <c r="G12" s="485"/>
      <c r="H12" s="485"/>
      <c r="I12" s="485"/>
      <c r="J12" s="485"/>
      <c r="K12" s="485"/>
      <c r="L12" s="485"/>
      <c r="M12" s="485"/>
      <c r="N12" s="485"/>
      <c r="O12" s="485"/>
      <c r="P12" s="485"/>
      <c r="Q12" s="485"/>
      <c r="R12" s="485"/>
      <c r="S12" s="485"/>
      <c r="T12" s="485"/>
    </row>
    <row r="13" spans="1:20" ht="18.5">
      <c r="A13" s="485"/>
      <c r="B13" s="1011" t="s">
        <v>576</v>
      </c>
      <c r="C13" s="1012"/>
      <c r="D13" s="492"/>
      <c r="E13" s="492"/>
      <c r="F13" s="493"/>
      <c r="G13" s="485"/>
      <c r="H13" s="485"/>
      <c r="I13" s="485"/>
      <c r="J13" s="485"/>
      <c r="K13" s="485"/>
      <c r="L13" s="485"/>
      <c r="M13" s="485"/>
      <c r="N13" s="485"/>
      <c r="O13" s="485"/>
      <c r="P13" s="485"/>
      <c r="Q13" s="485"/>
      <c r="R13" s="485"/>
      <c r="S13" s="485"/>
      <c r="T13" s="485"/>
    </row>
    <row r="14" spans="1:20" ht="18.5">
      <c r="A14" s="485"/>
      <c r="B14" s="1011" t="s">
        <v>577</v>
      </c>
      <c r="C14" s="1012"/>
      <c r="D14" s="492"/>
      <c r="E14" s="492"/>
      <c r="F14" s="493"/>
      <c r="G14" s="485"/>
      <c r="H14" s="485"/>
      <c r="I14" s="485"/>
      <c r="J14" s="485"/>
      <c r="K14" s="485"/>
      <c r="L14" s="485"/>
      <c r="M14" s="485"/>
      <c r="N14" s="485"/>
      <c r="O14" s="485"/>
      <c r="P14" s="485"/>
      <c r="Q14" s="485"/>
      <c r="R14" s="485"/>
      <c r="S14" s="485"/>
      <c r="T14" s="485"/>
    </row>
    <row r="15" spans="1:20" ht="18.5">
      <c r="A15" s="485"/>
      <c r="B15" s="1011" t="s">
        <v>578</v>
      </c>
      <c r="C15" s="1012"/>
      <c r="D15" s="492"/>
      <c r="E15" s="492"/>
      <c r="F15" s="493"/>
      <c r="G15" s="485"/>
      <c r="H15" s="485"/>
      <c r="I15" s="485"/>
      <c r="J15" s="485"/>
      <c r="K15" s="485"/>
      <c r="L15" s="485"/>
      <c r="M15" s="485"/>
      <c r="N15" s="485"/>
      <c r="O15" s="485"/>
      <c r="P15" s="485"/>
      <c r="Q15" s="485"/>
      <c r="R15" s="485"/>
      <c r="S15" s="485"/>
      <c r="T15" s="485"/>
    </row>
    <row r="16" spans="1:20" ht="18.5">
      <c r="A16" s="485"/>
      <c r="B16" s="1011" t="s">
        <v>579</v>
      </c>
      <c r="C16" s="1012"/>
      <c r="D16" s="492"/>
      <c r="E16" s="492"/>
      <c r="F16" s="488"/>
      <c r="G16" s="485"/>
      <c r="H16" s="485"/>
      <c r="I16" s="485"/>
      <c r="J16" s="485"/>
      <c r="K16" s="485"/>
      <c r="L16" s="485"/>
      <c r="M16" s="485"/>
      <c r="N16" s="485"/>
      <c r="O16" s="485"/>
      <c r="P16" s="485"/>
      <c r="Q16" s="485"/>
      <c r="R16" s="485"/>
      <c r="S16" s="485"/>
      <c r="T16" s="485"/>
    </row>
    <row r="17" spans="1:20">
      <c r="A17" s="485"/>
      <c r="B17" s="485"/>
      <c r="C17" s="485"/>
      <c r="D17" s="485"/>
      <c r="E17" s="485"/>
      <c r="F17" s="485"/>
      <c r="G17" s="485"/>
      <c r="H17" s="485"/>
      <c r="I17" s="485"/>
      <c r="J17" s="485"/>
      <c r="K17" s="485"/>
      <c r="L17" s="485"/>
      <c r="M17" s="485"/>
      <c r="N17" s="485"/>
      <c r="O17" s="485"/>
      <c r="P17" s="485"/>
      <c r="Q17" s="485"/>
      <c r="R17" s="485"/>
      <c r="S17" s="485"/>
      <c r="T17" s="485"/>
    </row>
    <row r="18" spans="1:20">
      <c r="A18" s="485"/>
      <c r="B18" s="485"/>
      <c r="C18" s="485"/>
      <c r="D18" s="485"/>
      <c r="E18" s="485"/>
      <c r="F18" s="485"/>
      <c r="G18" s="485"/>
      <c r="H18" s="485"/>
      <c r="I18" s="485"/>
      <c r="J18" s="485"/>
      <c r="K18" s="485"/>
      <c r="L18" s="485"/>
      <c r="M18" s="485"/>
      <c r="N18" s="485"/>
      <c r="O18" s="485"/>
      <c r="P18" s="485"/>
      <c r="Q18" s="485"/>
      <c r="R18" s="485"/>
      <c r="S18" s="485"/>
      <c r="T18" s="485"/>
    </row>
    <row r="19" spans="1:20">
      <c r="A19" s="485"/>
      <c r="B19" s="485"/>
      <c r="C19" s="485"/>
      <c r="D19" s="485"/>
      <c r="E19" s="485"/>
      <c r="F19" s="485"/>
      <c r="G19" s="485"/>
      <c r="H19" s="485"/>
      <c r="I19" s="485"/>
      <c r="J19" s="485"/>
      <c r="K19" s="485"/>
      <c r="L19" s="485"/>
      <c r="M19" s="485"/>
      <c r="N19" s="485"/>
      <c r="O19" s="485"/>
      <c r="P19" s="485"/>
      <c r="Q19" s="485"/>
      <c r="R19" s="485"/>
      <c r="S19" s="485"/>
      <c r="T19" s="485"/>
    </row>
    <row r="20" spans="1:20">
      <c r="A20" s="485"/>
      <c r="B20" s="485"/>
      <c r="C20" s="485"/>
      <c r="D20" s="485"/>
      <c r="E20" s="485"/>
      <c r="F20" s="485"/>
      <c r="G20" s="485"/>
      <c r="H20" s="485"/>
      <c r="I20" s="485"/>
      <c r="J20" s="485"/>
      <c r="K20" s="485"/>
      <c r="L20" s="485"/>
      <c r="M20" s="485"/>
      <c r="N20" s="485"/>
      <c r="O20" s="485"/>
      <c r="P20" s="485"/>
      <c r="Q20" s="485"/>
      <c r="R20" s="485"/>
      <c r="S20" s="485"/>
      <c r="T20" s="485"/>
    </row>
    <row r="21" spans="1:20" ht="24" thickBot="1">
      <c r="A21" s="485"/>
      <c r="B21" s="494" t="s">
        <v>395</v>
      </c>
      <c r="C21" s="485"/>
      <c r="D21" s="485"/>
      <c r="E21" s="485"/>
      <c r="F21" s="485"/>
      <c r="G21" s="485"/>
      <c r="H21" s="485"/>
      <c r="I21" s="1013" t="s">
        <v>580</v>
      </c>
      <c r="J21" s="1013"/>
      <c r="K21" s="1013"/>
      <c r="L21" s="1013"/>
      <c r="M21" s="1013"/>
      <c r="N21" s="485"/>
      <c r="O21" s="485"/>
      <c r="P21" s="485"/>
      <c r="Q21" s="485"/>
      <c r="R21" s="485"/>
      <c r="S21" s="485"/>
      <c r="T21" s="485"/>
    </row>
    <row r="22" spans="1:20" ht="23.5">
      <c r="A22" s="485"/>
      <c r="B22" s="495"/>
      <c r="C22" s="485"/>
      <c r="D22" s="485"/>
      <c r="E22" s="485"/>
      <c r="F22" s="485"/>
      <c r="G22" s="485"/>
      <c r="H22" s="485"/>
      <c r="I22" s="496"/>
      <c r="J22" s="496"/>
      <c r="K22" s="496"/>
      <c r="L22" s="496"/>
      <c r="M22" s="485"/>
      <c r="N22" s="485"/>
      <c r="O22" s="485"/>
      <c r="P22" s="485"/>
      <c r="Q22" s="485"/>
      <c r="R22" s="485"/>
      <c r="S22" s="485"/>
      <c r="T22" s="485"/>
    </row>
    <row r="23" spans="1:20" ht="16" thickBot="1">
      <c r="A23" s="497"/>
      <c r="B23" s="497"/>
      <c r="C23" s="497"/>
      <c r="D23" s="497"/>
      <c r="E23" s="497"/>
      <c r="F23" s="497"/>
      <c r="G23" s="497"/>
      <c r="H23" s="497"/>
      <c r="I23" s="497"/>
      <c r="J23" s="497">
        <v>7</v>
      </c>
      <c r="K23" s="497">
        <v>8</v>
      </c>
      <c r="L23" s="497">
        <v>9</v>
      </c>
      <c r="M23" s="497">
        <v>10</v>
      </c>
      <c r="N23" s="497">
        <v>11</v>
      </c>
      <c r="O23" s="497">
        <v>12</v>
      </c>
      <c r="P23" s="497">
        <v>13</v>
      </c>
      <c r="Q23" s="497">
        <v>14</v>
      </c>
      <c r="R23" s="497">
        <v>15</v>
      </c>
      <c r="S23" s="497"/>
      <c r="T23" s="497"/>
    </row>
    <row r="24" spans="1:20" ht="18.5">
      <c r="A24" s="497"/>
      <c r="B24" s="498" t="s">
        <v>581</v>
      </c>
      <c r="C24" s="499">
        <v>0.11245834671835075</v>
      </c>
      <c r="D24" s="497"/>
      <c r="E24" s="497"/>
      <c r="F24" s="497"/>
      <c r="G24" s="497"/>
      <c r="H24" s="497"/>
      <c r="I24" s="500" t="s">
        <v>407</v>
      </c>
      <c r="J24" s="501">
        <v>2016</v>
      </c>
      <c r="K24" s="501">
        <v>2017</v>
      </c>
      <c r="L24" s="501">
        <v>2018</v>
      </c>
      <c r="M24" s="501">
        <v>2019</v>
      </c>
      <c r="N24" s="501">
        <v>2020</v>
      </c>
      <c r="O24" s="501">
        <v>2021</v>
      </c>
      <c r="P24" s="501">
        <v>2022</v>
      </c>
      <c r="Q24" s="501">
        <v>2023</v>
      </c>
      <c r="R24" s="502">
        <v>2024</v>
      </c>
      <c r="S24" s="497"/>
      <c r="T24" s="497"/>
    </row>
    <row r="25" spans="1:20" ht="18.5">
      <c r="A25" s="497"/>
      <c r="B25" s="503" t="s">
        <v>582</v>
      </c>
      <c r="C25" s="504">
        <v>2009</v>
      </c>
      <c r="D25" s="497"/>
      <c r="E25" s="497"/>
      <c r="F25" s="497"/>
      <c r="G25" s="497"/>
      <c r="H25" s="497"/>
      <c r="I25" s="505" t="s">
        <v>583</v>
      </c>
      <c r="J25" s="506">
        <f>-C28</f>
        <v>-20</v>
      </c>
      <c r="K25" s="507">
        <f>$E$34</f>
        <v>1.5</v>
      </c>
      <c r="L25" s="507">
        <f t="shared" ref="L25:R25" si="0">$E$34</f>
        <v>1.5</v>
      </c>
      <c r="M25" s="507">
        <f t="shared" si="0"/>
        <v>1.5</v>
      </c>
      <c r="N25" s="507">
        <f t="shared" si="0"/>
        <v>1.5</v>
      </c>
      <c r="O25" s="507">
        <f t="shared" si="0"/>
        <v>1.5</v>
      </c>
      <c r="P25" s="507">
        <f t="shared" si="0"/>
        <v>1.5</v>
      </c>
      <c r="Q25" s="507">
        <f t="shared" si="0"/>
        <v>1.5</v>
      </c>
      <c r="R25" s="508">
        <f t="shared" si="0"/>
        <v>1.5</v>
      </c>
      <c r="S25" s="497"/>
      <c r="T25" s="497"/>
    </row>
    <row r="26" spans="1:20" ht="19" thickBot="1">
      <c r="A26" s="485"/>
      <c r="B26" s="503" t="s">
        <v>584</v>
      </c>
      <c r="C26" s="504">
        <v>2016</v>
      </c>
      <c r="D26" s="485"/>
      <c r="E26" s="485"/>
      <c r="F26" s="485"/>
      <c r="G26" s="485"/>
      <c r="H26" s="485"/>
      <c r="I26" s="509" t="s">
        <v>585</v>
      </c>
      <c r="J26" s="510">
        <f t="shared" ref="J26:R26" si="1">J25/(1+$C$22)^J23</f>
        <v>-20</v>
      </c>
      <c r="K26" s="511">
        <f t="shared" si="1"/>
        <v>1.5</v>
      </c>
      <c r="L26" s="511">
        <f t="shared" si="1"/>
        <v>1.5</v>
      </c>
      <c r="M26" s="511">
        <f t="shared" si="1"/>
        <v>1.5</v>
      </c>
      <c r="N26" s="511">
        <f t="shared" si="1"/>
        <v>1.5</v>
      </c>
      <c r="O26" s="511">
        <f t="shared" si="1"/>
        <v>1.5</v>
      </c>
      <c r="P26" s="511">
        <f t="shared" si="1"/>
        <v>1.5</v>
      </c>
      <c r="Q26" s="511">
        <f t="shared" si="1"/>
        <v>1.5</v>
      </c>
      <c r="R26" s="512">
        <f t="shared" si="1"/>
        <v>1.5</v>
      </c>
      <c r="S26" s="485"/>
      <c r="T26" s="485"/>
    </row>
    <row r="27" spans="1:20" ht="19" thickBot="1">
      <c r="A27" s="485"/>
      <c r="B27" s="513" t="s">
        <v>586</v>
      </c>
      <c r="C27" s="514">
        <f>C26-C25</f>
        <v>7</v>
      </c>
      <c r="D27" s="485"/>
      <c r="E27" s="485"/>
      <c r="F27" s="485"/>
      <c r="G27" s="485"/>
      <c r="H27" s="485"/>
      <c r="I27" s="515"/>
      <c r="J27" s="485"/>
      <c r="K27" s="485"/>
      <c r="L27" s="485"/>
      <c r="M27" s="485"/>
      <c r="N27" s="485"/>
      <c r="O27" s="485"/>
      <c r="P27" s="485"/>
      <c r="Q27" s="485"/>
      <c r="R27" s="485"/>
      <c r="S27" s="485"/>
      <c r="T27" s="485"/>
    </row>
    <row r="28" spans="1:20" ht="24" thickBot="1">
      <c r="A28" s="485"/>
      <c r="B28" s="513" t="s">
        <v>587</v>
      </c>
      <c r="C28" s="514">
        <v>20</v>
      </c>
      <c r="D28" s="485"/>
      <c r="E28" s="485"/>
      <c r="F28" s="485"/>
      <c r="G28" s="485"/>
      <c r="H28" s="485"/>
      <c r="I28" s="1003" t="s">
        <v>588</v>
      </c>
      <c r="J28" s="1004"/>
      <c r="K28" s="1004"/>
      <c r="L28" s="1004"/>
      <c r="M28" s="1005"/>
      <c r="N28" s="516">
        <f>SUM(K26:R26)</f>
        <v>12</v>
      </c>
      <c r="O28" s="517"/>
      <c r="P28" s="517"/>
      <c r="Q28" s="485"/>
      <c r="R28" s="485"/>
      <c r="S28" s="485"/>
      <c r="T28" s="485"/>
    </row>
    <row r="29" spans="1:20">
      <c r="A29" s="485"/>
      <c r="B29" s="485"/>
      <c r="C29" s="485"/>
      <c r="D29" s="485"/>
      <c r="E29" s="485"/>
      <c r="F29" s="485"/>
      <c r="G29" s="485"/>
      <c r="H29" s="485"/>
      <c r="I29" s="485"/>
      <c r="J29" s="485"/>
      <c r="K29" s="485"/>
      <c r="L29" s="485"/>
      <c r="M29" s="485"/>
      <c r="N29" s="485"/>
      <c r="O29" s="485"/>
      <c r="P29" s="485"/>
      <c r="Q29" s="485"/>
      <c r="R29" s="485"/>
      <c r="S29" s="485"/>
      <c r="T29" s="485"/>
    </row>
    <row r="30" spans="1:20">
      <c r="A30" s="485"/>
      <c r="B30" s="485"/>
      <c r="C30" s="485"/>
      <c r="D30" s="485"/>
      <c r="E30" s="485"/>
      <c r="F30" s="485"/>
      <c r="G30" s="485"/>
      <c r="H30" s="485"/>
      <c r="I30" s="485"/>
      <c r="J30" s="485"/>
      <c r="K30" s="485"/>
      <c r="L30" s="485"/>
      <c r="M30" s="485"/>
      <c r="N30" s="485"/>
      <c r="O30" s="485"/>
      <c r="P30" s="485"/>
      <c r="Q30" s="485"/>
      <c r="R30" s="485"/>
      <c r="S30" s="485"/>
      <c r="T30" s="485"/>
    </row>
    <row r="31" spans="1:20" ht="24" thickBot="1">
      <c r="A31" s="485"/>
      <c r="B31" s="518" t="s">
        <v>589</v>
      </c>
      <c r="C31" s="519" t="s">
        <v>590</v>
      </c>
      <c r="D31" s="519" t="s">
        <v>591</v>
      </c>
      <c r="E31" s="519" t="s">
        <v>592</v>
      </c>
      <c r="F31" s="520" t="s">
        <v>593</v>
      </c>
      <c r="G31" s="485"/>
      <c r="H31" s="485"/>
      <c r="I31" s="1013" t="s">
        <v>594</v>
      </c>
      <c r="J31" s="1013"/>
      <c r="K31" s="1013"/>
      <c r="L31" s="1013"/>
      <c r="M31" s="1013"/>
      <c r="N31" s="1013"/>
      <c r="O31" s="1013"/>
      <c r="P31" s="485"/>
      <c r="Q31" s="485"/>
      <c r="R31" s="485"/>
      <c r="S31" s="485"/>
      <c r="T31" s="485"/>
    </row>
    <row r="32" spans="1:20" ht="19" thickBot="1">
      <c r="A32" s="485"/>
      <c r="B32" s="521">
        <v>1</v>
      </c>
      <c r="C32" s="522">
        <v>0.2</v>
      </c>
      <c r="D32" s="523">
        <v>15</v>
      </c>
      <c r="E32" s="523">
        <f>D32*C32</f>
        <v>3</v>
      </c>
      <c r="F32" s="524">
        <f>C32*(D32-$E$34)^2</f>
        <v>36.450000000000003</v>
      </c>
      <c r="G32" s="485"/>
      <c r="H32" s="485"/>
      <c r="I32" s="485"/>
      <c r="J32" s="485"/>
      <c r="K32" s="485"/>
      <c r="L32" s="485"/>
      <c r="M32" s="485"/>
      <c r="N32" s="485"/>
      <c r="O32" s="485"/>
      <c r="P32" s="485"/>
      <c r="Q32" s="485"/>
      <c r="R32" s="485"/>
      <c r="S32" s="485"/>
      <c r="T32" s="485"/>
    </row>
    <row r="33" spans="1:20" ht="18.5">
      <c r="A33" s="485"/>
      <c r="B33" s="525">
        <v>2</v>
      </c>
      <c r="C33" s="526">
        <v>0.25</v>
      </c>
      <c r="D33" s="527">
        <v>8</v>
      </c>
      <c r="E33" s="527">
        <f>D33*C33</f>
        <v>2</v>
      </c>
      <c r="F33" s="528">
        <f>C33*(D33-$E$34)^2</f>
        <v>10.5625</v>
      </c>
      <c r="G33" s="485"/>
      <c r="H33" s="485"/>
      <c r="I33" s="500" t="s">
        <v>407</v>
      </c>
      <c r="J33" s="501">
        <v>2016</v>
      </c>
      <c r="K33" s="501">
        <v>2017</v>
      </c>
      <c r="L33" s="501">
        <v>2018</v>
      </c>
      <c r="M33" s="501">
        <v>2019</v>
      </c>
      <c r="N33" s="501">
        <v>2020</v>
      </c>
      <c r="O33" s="501">
        <v>2021</v>
      </c>
      <c r="P33" s="501">
        <v>2022</v>
      </c>
      <c r="Q33" s="501">
        <v>2023</v>
      </c>
      <c r="R33" s="502">
        <v>2024</v>
      </c>
      <c r="S33" s="485"/>
      <c r="T33" s="485"/>
    </row>
    <row r="34" spans="1:20" ht="19" thickBot="1">
      <c r="A34" s="485"/>
      <c r="B34" s="521">
        <v>3</v>
      </c>
      <c r="C34" s="522">
        <v>0.3</v>
      </c>
      <c r="D34" s="523">
        <v>5</v>
      </c>
      <c r="E34" s="523">
        <f>D34*C34</f>
        <v>1.5</v>
      </c>
      <c r="F34" s="524">
        <f>C34*(D34-$E$34)^2</f>
        <v>3.6749999999999998</v>
      </c>
      <c r="G34" s="485"/>
      <c r="H34" s="485"/>
      <c r="I34" s="529" t="s">
        <v>595</v>
      </c>
      <c r="J34" s="530">
        <v>0</v>
      </c>
      <c r="K34" s="511">
        <f>$F$34/(1+$C$22)^(2*K23)</f>
        <v>3.6749999999999998</v>
      </c>
      <c r="L34" s="511">
        <f>$F$34/(1+$C$22)^(2*L23)</f>
        <v>3.6749999999999998</v>
      </c>
      <c r="M34" s="511">
        <f t="shared" ref="M34:R34" si="2">$F$34/(1+$C$22)^(2*M23)</f>
        <v>3.6749999999999998</v>
      </c>
      <c r="N34" s="511">
        <f t="shared" si="2"/>
        <v>3.6749999999999998</v>
      </c>
      <c r="O34" s="511">
        <f t="shared" si="2"/>
        <v>3.6749999999999998</v>
      </c>
      <c r="P34" s="511">
        <f t="shared" si="2"/>
        <v>3.6749999999999998</v>
      </c>
      <c r="Q34" s="511">
        <f t="shared" si="2"/>
        <v>3.6749999999999998</v>
      </c>
      <c r="R34" s="512">
        <f t="shared" si="2"/>
        <v>3.6749999999999998</v>
      </c>
      <c r="S34" s="485"/>
      <c r="T34" s="485"/>
    </row>
    <row r="35" spans="1:20" ht="19" thickBot="1">
      <c r="A35" s="485"/>
      <c r="B35" s="525">
        <v>4</v>
      </c>
      <c r="C35" s="526">
        <v>0.25</v>
      </c>
      <c r="D35" s="527">
        <v>0</v>
      </c>
      <c r="E35" s="527">
        <f>D35*C35</f>
        <v>0</v>
      </c>
      <c r="F35" s="528">
        <f>C35*(D35-$E$34)^2</f>
        <v>0.5625</v>
      </c>
      <c r="G35" s="485"/>
      <c r="H35" s="485"/>
      <c r="I35" s="531" t="s">
        <v>596</v>
      </c>
      <c r="J35" s="532">
        <f>SUM(J34:R34)</f>
        <v>29.400000000000002</v>
      </c>
      <c r="K35" s="533"/>
      <c r="L35" s="533"/>
      <c r="M35" s="533"/>
      <c r="N35" s="533"/>
      <c r="O35" s="533"/>
      <c r="P35" s="533"/>
      <c r="Q35" s="533"/>
      <c r="R35" s="533"/>
      <c r="S35" s="485"/>
      <c r="T35" s="485"/>
    </row>
    <row r="36" spans="1:20" ht="21.5" thickBot="1">
      <c r="A36" s="533"/>
      <c r="B36" s="1025" t="s">
        <v>597</v>
      </c>
      <c r="C36" s="1026"/>
      <c r="D36" s="1027"/>
      <c r="E36" s="534">
        <f>SUM(E32:E35)</f>
        <v>6.5</v>
      </c>
      <c r="F36" s="535">
        <f>SUM(F32:F35)</f>
        <v>51.25</v>
      </c>
      <c r="G36" s="533"/>
      <c r="H36" s="533"/>
      <c r="I36" s="531" t="s">
        <v>598</v>
      </c>
      <c r="J36" s="532">
        <f>SQRT(J35)</f>
        <v>5.4221766846903838</v>
      </c>
      <c r="K36" s="533"/>
      <c r="L36" s="533"/>
      <c r="M36" s="533"/>
      <c r="N36" s="533"/>
      <c r="O36" s="533"/>
      <c r="P36" s="533"/>
      <c r="Q36" s="533"/>
      <c r="R36" s="533"/>
      <c r="S36" s="533"/>
      <c r="T36" s="533"/>
    </row>
    <row r="37" spans="1:20" ht="16" thickBot="1">
      <c r="A37" s="533"/>
      <c r="B37" s="533"/>
      <c r="C37" s="533"/>
      <c r="D37" s="533"/>
      <c r="E37" s="533"/>
      <c r="F37" s="533"/>
      <c r="G37" s="533"/>
      <c r="H37" s="533"/>
      <c r="I37" s="533"/>
      <c r="J37" s="533"/>
      <c r="K37" s="533"/>
      <c r="L37" s="533"/>
      <c r="M37" s="533"/>
      <c r="N37" s="533"/>
      <c r="O37" s="533"/>
      <c r="P37" s="533"/>
      <c r="Q37" s="533"/>
      <c r="R37" s="533"/>
      <c r="S37" s="533"/>
      <c r="T37" s="533"/>
    </row>
    <row r="38" spans="1:20" ht="24" thickBot="1">
      <c r="A38" s="533"/>
      <c r="B38" s="533"/>
      <c r="C38" s="533"/>
      <c r="D38" s="533"/>
      <c r="E38" s="533"/>
      <c r="F38" s="533"/>
      <c r="G38" s="533"/>
      <c r="H38" s="533"/>
      <c r="I38" s="1028" t="s">
        <v>599</v>
      </c>
      <c r="J38" s="1029"/>
      <c r="K38" s="1029"/>
      <c r="L38" s="1029"/>
      <c r="M38" s="1030"/>
      <c r="N38" s="536">
        <f>J36/-J26</f>
        <v>0.2711088342345192</v>
      </c>
      <c r="O38" s="533"/>
      <c r="P38" s="533"/>
      <c r="Q38" s="533"/>
      <c r="R38" s="533"/>
      <c r="S38" s="533"/>
      <c r="T38" s="533"/>
    </row>
    <row r="39" spans="1:20" ht="15.5">
      <c r="A39" s="533"/>
      <c r="B39" s="533"/>
      <c r="C39" s="533"/>
      <c r="D39" s="533"/>
      <c r="E39" s="533"/>
      <c r="F39" s="533"/>
      <c r="G39" s="533"/>
      <c r="H39" s="533"/>
      <c r="I39" s="533"/>
      <c r="J39" s="533"/>
      <c r="K39" s="533"/>
      <c r="L39" s="533"/>
      <c r="M39" s="533"/>
      <c r="N39" s="533"/>
      <c r="O39" s="533"/>
      <c r="P39" s="533"/>
      <c r="Q39" s="533"/>
      <c r="R39" s="533"/>
      <c r="S39" s="533"/>
      <c r="T39" s="533"/>
    </row>
    <row r="40" spans="1:20" ht="16" thickBot="1">
      <c r="A40" s="533"/>
      <c r="B40" s="533"/>
      <c r="C40" s="533"/>
      <c r="D40" s="533"/>
      <c r="E40" s="533"/>
      <c r="F40" s="533"/>
      <c r="G40" s="533"/>
      <c r="H40" s="533"/>
      <c r="I40" s="533"/>
      <c r="J40" s="533"/>
      <c r="K40" s="533"/>
      <c r="L40" s="533"/>
      <c r="M40" s="533"/>
      <c r="N40" s="533"/>
      <c r="O40" s="533"/>
      <c r="P40" s="533"/>
      <c r="Q40" s="533"/>
      <c r="R40" s="533"/>
      <c r="S40" s="533"/>
      <c r="T40" s="533"/>
    </row>
    <row r="41" spans="1:20" ht="26.5" thickBot="1">
      <c r="A41" s="533"/>
      <c r="B41" s="1031" t="s">
        <v>600</v>
      </c>
      <c r="C41" s="1032"/>
      <c r="D41" s="533"/>
      <c r="E41" s="533"/>
      <c r="F41" s="533"/>
      <c r="G41" s="533"/>
      <c r="H41" s="533"/>
      <c r="I41" s="533"/>
      <c r="J41" s="533"/>
      <c r="K41" s="533"/>
      <c r="L41" s="533"/>
      <c r="M41" s="533"/>
      <c r="N41" s="533"/>
      <c r="O41" s="533"/>
      <c r="P41" s="533"/>
      <c r="Q41" s="533"/>
      <c r="R41" s="533"/>
      <c r="S41" s="533"/>
      <c r="T41" s="533"/>
    </row>
    <row r="42" spans="1:20" ht="15.5">
      <c r="A42" s="533"/>
      <c r="B42" s="533"/>
      <c r="C42" s="533"/>
      <c r="D42" s="533"/>
      <c r="E42" s="533"/>
      <c r="F42" s="533"/>
      <c r="G42" s="533"/>
      <c r="H42" s="533"/>
      <c r="I42" s="533"/>
      <c r="J42" s="533"/>
      <c r="K42" s="533"/>
      <c r="L42" s="533"/>
      <c r="M42" s="533"/>
      <c r="N42" s="533"/>
      <c r="O42" s="533"/>
      <c r="P42" s="533"/>
      <c r="Q42" s="533"/>
      <c r="R42" s="533"/>
      <c r="S42" s="533"/>
      <c r="T42" s="533"/>
    </row>
    <row r="43" spans="1:20" ht="15.5">
      <c r="A43" s="533"/>
      <c r="B43" s="533"/>
      <c r="C43" s="533"/>
      <c r="D43" s="533"/>
      <c r="E43" s="533"/>
      <c r="F43" s="533"/>
      <c r="G43" s="533"/>
      <c r="H43" s="533"/>
      <c r="I43" s="533"/>
      <c r="J43" s="533"/>
      <c r="K43" s="533"/>
      <c r="L43" s="533"/>
      <c r="M43" s="533"/>
      <c r="N43" s="533"/>
      <c r="O43" s="533"/>
      <c r="P43" s="533"/>
      <c r="Q43" s="533"/>
      <c r="R43" s="533"/>
      <c r="S43" s="533"/>
      <c r="T43" s="533"/>
    </row>
    <row r="44" spans="1:20" ht="24" thickBot="1">
      <c r="A44" s="533"/>
      <c r="B44" s="537" t="s">
        <v>601</v>
      </c>
      <c r="C44" s="538"/>
      <c r="D44" s="496"/>
      <c r="E44" s="496"/>
      <c r="F44" s="533"/>
      <c r="G44" s="538"/>
      <c r="H44" s="538"/>
      <c r="I44" s="1013" t="s">
        <v>602</v>
      </c>
      <c r="J44" s="1013"/>
      <c r="K44" s="1013"/>
      <c r="L44" s="1013"/>
      <c r="M44" s="1013"/>
      <c r="N44" s="1013"/>
      <c r="O44" s="485"/>
      <c r="P44" s="485"/>
      <c r="Q44" s="485"/>
      <c r="R44" s="485"/>
      <c r="S44" s="533"/>
      <c r="T44" s="533"/>
    </row>
    <row r="45" spans="1:20">
      <c r="A45" s="485"/>
      <c r="B45" s="485"/>
      <c r="C45" s="485"/>
      <c r="D45" s="485"/>
      <c r="E45" s="485"/>
      <c r="F45" s="485"/>
      <c r="G45" s="485"/>
      <c r="H45" s="485"/>
      <c r="I45" s="485"/>
      <c r="J45" s="485"/>
      <c r="K45" s="485"/>
      <c r="L45" s="485"/>
      <c r="M45" s="485"/>
      <c r="N45" s="485"/>
      <c r="O45" s="485"/>
      <c r="P45" s="485"/>
      <c r="Q45" s="485"/>
      <c r="R45" s="485"/>
      <c r="S45" s="485"/>
      <c r="T45" s="485"/>
    </row>
    <row r="46" spans="1:20" ht="15" thickBot="1">
      <c r="A46" s="485"/>
      <c r="B46" s="485"/>
      <c r="C46" s="485"/>
      <c r="D46" s="485"/>
      <c r="E46" s="485"/>
      <c r="F46" s="485"/>
      <c r="G46" s="485"/>
      <c r="H46" s="485"/>
      <c r="I46" s="485"/>
      <c r="J46" s="485"/>
      <c r="K46" s="485"/>
      <c r="L46" s="485"/>
      <c r="M46" s="485"/>
      <c r="N46" s="485"/>
      <c r="O46" s="485"/>
      <c r="P46" s="485"/>
      <c r="Q46" s="485"/>
      <c r="R46" s="485"/>
      <c r="S46" s="485"/>
      <c r="T46" s="485"/>
    </row>
    <row r="47" spans="1:20" ht="21.5" thickBot="1">
      <c r="A47" s="1014"/>
      <c r="B47" s="539" t="s">
        <v>603</v>
      </c>
      <c r="C47" s="540"/>
      <c r="D47" s="541">
        <f>N28</f>
        <v>12</v>
      </c>
      <c r="E47" s="485"/>
      <c r="F47" s="485"/>
      <c r="G47" s="485"/>
      <c r="H47" s="485"/>
      <c r="I47" s="485"/>
      <c r="J47" s="485"/>
      <c r="K47" s="485"/>
      <c r="L47" s="485"/>
      <c r="M47" s="1015" t="s">
        <v>604</v>
      </c>
      <c r="N47" s="1015"/>
      <c r="O47" s="1015"/>
      <c r="P47" s="1015"/>
      <c r="Q47" s="485"/>
      <c r="R47" s="485"/>
      <c r="S47" s="485"/>
      <c r="T47" s="485"/>
    </row>
    <row r="48" spans="1:20" ht="21.5" thickBot="1">
      <c r="A48" s="1014"/>
      <c r="B48" s="542" t="s">
        <v>605</v>
      </c>
      <c r="C48" s="543"/>
      <c r="D48" s="544">
        <f>N38</f>
        <v>0.2711088342345192</v>
      </c>
      <c r="E48" s="485"/>
      <c r="F48" s="485"/>
      <c r="G48" s="485"/>
      <c r="H48" s="485"/>
      <c r="I48" s="1016" t="s">
        <v>570</v>
      </c>
      <c r="J48" s="1017"/>
      <c r="K48" s="1018">
        <f>(D52/D53)+(D53/2)</f>
        <v>-0.35352067104457152</v>
      </c>
      <c r="L48" s="1019"/>
      <c r="M48" s="1008" t="s">
        <v>571</v>
      </c>
      <c r="N48" s="1020"/>
      <c r="O48" s="1020"/>
      <c r="P48" s="1020"/>
      <c r="Q48" s="485"/>
      <c r="R48" s="485"/>
      <c r="S48" s="485"/>
      <c r="T48" s="485"/>
    </row>
    <row r="49" spans="1:20" ht="21.5" thickBot="1">
      <c r="A49" s="1014"/>
      <c r="B49" s="542" t="s">
        <v>606</v>
      </c>
      <c r="C49" s="543"/>
      <c r="D49" s="545">
        <f>C27</f>
        <v>7</v>
      </c>
      <c r="E49" s="485"/>
      <c r="F49" s="485"/>
      <c r="G49" s="485"/>
      <c r="H49" s="485"/>
      <c r="I49" s="1016" t="s">
        <v>572</v>
      </c>
      <c r="J49" s="1017"/>
      <c r="K49" s="1018">
        <f>K48-D53</f>
        <v>-1.0708072246617435</v>
      </c>
      <c r="L49" s="1019"/>
      <c r="M49" s="1008" t="s">
        <v>573</v>
      </c>
      <c r="N49" s="1020"/>
      <c r="O49" s="1020"/>
      <c r="P49" s="1020"/>
      <c r="Q49" s="485"/>
      <c r="R49" s="485"/>
      <c r="S49" s="485"/>
      <c r="T49" s="485"/>
    </row>
    <row r="50" spans="1:20" ht="21.5" thickBot="1">
      <c r="A50" s="1014"/>
      <c r="B50" s="542" t="s">
        <v>607</v>
      </c>
      <c r="C50" s="543"/>
      <c r="D50" s="545">
        <f>C28</f>
        <v>20</v>
      </c>
      <c r="E50" s="485"/>
      <c r="F50" s="485"/>
      <c r="G50" s="485"/>
      <c r="H50" s="485"/>
      <c r="I50" s="1021" t="s">
        <v>608</v>
      </c>
      <c r="J50" s="1022"/>
      <c r="K50" s="1023">
        <f>(NORMSDIST(K48)*D47)-NORMSDIST(K49)*D51</f>
        <v>1.4996276304972378</v>
      </c>
      <c r="L50" s="1024"/>
      <c r="M50" s="1008" t="s">
        <v>569</v>
      </c>
      <c r="N50" s="1020"/>
      <c r="O50" s="1020"/>
      <c r="P50" s="1020"/>
      <c r="Q50" s="485"/>
      <c r="R50" s="485"/>
      <c r="S50" s="485"/>
      <c r="T50" s="485"/>
    </row>
    <row r="51" spans="1:20" ht="21.5" thickBot="1">
      <c r="A51" s="1014"/>
      <c r="B51" s="546" t="s">
        <v>609</v>
      </c>
      <c r="C51" s="547"/>
      <c r="D51" s="548">
        <f>-J26</f>
        <v>20</v>
      </c>
      <c r="E51" s="485"/>
      <c r="F51" s="485"/>
      <c r="G51" s="485"/>
      <c r="H51" s="485"/>
      <c r="I51" s="1021" t="s">
        <v>360</v>
      </c>
      <c r="J51" s="1022"/>
      <c r="K51" s="1023">
        <f>D47-D51</f>
        <v>-8</v>
      </c>
      <c r="L51" s="1024"/>
      <c r="M51" s="1008" t="s">
        <v>610</v>
      </c>
      <c r="N51" s="1020"/>
      <c r="O51" s="1020"/>
      <c r="P51" s="1020"/>
      <c r="Q51" s="485"/>
      <c r="R51" s="485"/>
      <c r="S51" s="485"/>
      <c r="T51" s="485"/>
    </row>
    <row r="52" spans="1:20" ht="21">
      <c r="A52" s="485"/>
      <c r="B52" s="549" t="s">
        <v>611</v>
      </c>
      <c r="C52" s="550"/>
      <c r="D52" s="551">
        <f>LN(D47/D51)</f>
        <v>-0.51082562376599072</v>
      </c>
      <c r="E52" s="485"/>
      <c r="F52" s="485"/>
      <c r="G52" s="485"/>
      <c r="H52" s="485"/>
      <c r="I52" s="485"/>
      <c r="J52" s="485"/>
      <c r="K52" s="485"/>
      <c r="L52" s="485"/>
      <c r="M52" s="485"/>
      <c r="N52" s="485"/>
      <c r="O52" s="485"/>
      <c r="P52" s="485"/>
      <c r="Q52" s="485"/>
      <c r="R52" s="485"/>
      <c r="S52" s="485"/>
      <c r="T52" s="485"/>
    </row>
    <row r="53" spans="1:20" ht="21.5" thickBot="1">
      <c r="A53" s="485"/>
      <c r="B53" s="552" t="s">
        <v>612</v>
      </c>
      <c r="C53" s="553"/>
      <c r="D53" s="554">
        <f>D48*SQRT(D49)</f>
        <v>0.71728655361717197</v>
      </c>
      <c r="E53" s="485"/>
      <c r="F53" s="485"/>
      <c r="G53" s="485"/>
      <c r="H53" s="485"/>
      <c r="I53" s="485"/>
      <c r="J53" s="485"/>
      <c r="K53" s="485"/>
      <c r="L53" s="485"/>
      <c r="M53" s="485"/>
      <c r="N53" s="485"/>
      <c r="O53" s="485"/>
      <c r="P53" s="485"/>
      <c r="Q53" s="485"/>
      <c r="R53" s="485"/>
      <c r="S53" s="485"/>
      <c r="T53" s="485"/>
    </row>
    <row r="54" spans="1:20">
      <c r="A54" s="485"/>
      <c r="B54" s="485"/>
      <c r="C54" s="555"/>
      <c r="D54" s="485"/>
      <c r="E54" s="485"/>
      <c r="F54" s="485"/>
      <c r="G54" s="485"/>
      <c r="H54" s="485"/>
      <c r="I54" s="485"/>
      <c r="J54" s="485"/>
      <c r="K54" s="485"/>
      <c r="L54" s="485"/>
      <c r="M54" s="485"/>
      <c r="N54" s="485"/>
      <c r="O54" s="485"/>
      <c r="P54" s="485"/>
      <c r="Q54" s="485"/>
      <c r="R54" s="485"/>
      <c r="S54" s="485"/>
      <c r="T54" s="485"/>
    </row>
    <row r="55" spans="1:20">
      <c r="A55" s="485"/>
      <c r="B55" s="485"/>
      <c r="C55" s="485"/>
      <c r="D55" s="485"/>
      <c r="E55" s="485"/>
      <c r="F55" s="485"/>
      <c r="G55" s="485"/>
      <c r="H55" s="485"/>
      <c r="I55" s="485"/>
      <c r="J55" s="485"/>
      <c r="K55" s="485"/>
      <c r="L55" s="485"/>
      <c r="M55" s="485"/>
      <c r="N55" s="485"/>
      <c r="O55" s="485"/>
      <c r="P55" s="485"/>
      <c r="Q55" s="485"/>
      <c r="R55" s="485"/>
      <c r="S55" s="485"/>
      <c r="T55" s="485"/>
    </row>
    <row r="56" spans="1:20" ht="15" thickBot="1">
      <c r="A56" s="485"/>
      <c r="B56" s="485"/>
      <c r="C56" s="485"/>
      <c r="D56" s="485"/>
      <c r="E56" s="485"/>
      <c r="F56" s="485"/>
      <c r="G56" s="485"/>
      <c r="H56" s="485"/>
      <c r="I56" s="485"/>
      <c r="J56" s="485"/>
      <c r="K56" s="485"/>
      <c r="L56" s="485"/>
      <c r="M56" s="485"/>
      <c r="N56" s="485"/>
      <c r="O56" s="485"/>
      <c r="P56" s="485"/>
      <c r="Q56" s="485"/>
      <c r="R56" s="485"/>
      <c r="S56" s="485"/>
      <c r="T56" s="485"/>
    </row>
    <row r="57" spans="1:20" ht="29" thickBot="1">
      <c r="A57" s="485"/>
      <c r="B57" s="1033" t="s">
        <v>613</v>
      </c>
      <c r="C57" s="1034"/>
      <c r="D57" s="485"/>
      <c r="E57" s="485"/>
      <c r="F57" s="485"/>
      <c r="G57" s="485"/>
      <c r="H57" s="485"/>
      <c r="I57" s="485"/>
      <c r="J57" s="485"/>
      <c r="K57" s="485"/>
      <c r="L57" s="485"/>
      <c r="M57" s="485"/>
      <c r="N57" s="485"/>
      <c r="O57" s="485"/>
      <c r="P57" s="485"/>
      <c r="Q57" s="485"/>
      <c r="R57" s="485"/>
      <c r="S57" s="485"/>
      <c r="T57" s="485"/>
    </row>
    <row r="58" spans="1:20">
      <c r="A58" s="485"/>
      <c r="B58" s="485"/>
      <c r="C58" s="485"/>
      <c r="D58" s="485"/>
      <c r="E58" s="485"/>
      <c r="F58" s="485"/>
      <c r="G58" s="485"/>
      <c r="H58" s="485"/>
      <c r="I58" s="485"/>
      <c r="J58" s="485"/>
      <c r="K58" s="485"/>
      <c r="L58" s="485"/>
      <c r="M58" s="485"/>
      <c r="N58" s="485"/>
      <c r="O58" s="485"/>
      <c r="P58" s="485"/>
      <c r="Q58" s="485"/>
      <c r="R58" s="485"/>
      <c r="S58" s="485"/>
      <c r="T58" s="485"/>
    </row>
    <row r="59" spans="1:20">
      <c r="A59" s="485"/>
      <c r="B59" s="485"/>
      <c r="C59" s="485"/>
      <c r="D59" s="485"/>
      <c r="E59" s="485"/>
      <c r="F59" s="485"/>
      <c r="G59" s="485"/>
      <c r="H59" s="485"/>
      <c r="I59" s="485"/>
      <c r="J59" s="485"/>
      <c r="K59" s="485"/>
      <c r="L59" s="485"/>
      <c r="M59" s="485"/>
      <c r="N59" s="485"/>
      <c r="O59" s="485"/>
      <c r="P59" s="485"/>
      <c r="Q59" s="485"/>
      <c r="R59" s="485"/>
      <c r="S59" s="485"/>
      <c r="T59" s="485"/>
    </row>
    <row r="60" spans="1:20">
      <c r="A60" s="485"/>
      <c r="B60" s="485"/>
      <c r="C60" s="485"/>
      <c r="D60" s="485"/>
      <c r="E60" s="485"/>
      <c r="F60" s="485"/>
      <c r="G60" s="485"/>
      <c r="H60" s="485"/>
      <c r="I60" s="485"/>
      <c r="J60" s="485"/>
      <c r="K60" s="485"/>
      <c r="L60" s="485"/>
      <c r="M60" s="485"/>
      <c r="N60" s="485"/>
      <c r="O60" s="485"/>
      <c r="P60" s="485"/>
      <c r="Q60" s="485"/>
      <c r="R60" s="485"/>
      <c r="S60" s="485"/>
      <c r="T60" s="485"/>
    </row>
    <row r="61" spans="1:20">
      <c r="A61" s="485"/>
      <c r="B61" s="485"/>
      <c r="C61" s="485"/>
      <c r="D61" s="485"/>
      <c r="E61" s="485"/>
      <c r="F61" s="485"/>
      <c r="G61" s="485"/>
      <c r="H61" s="485"/>
      <c r="I61" s="485"/>
      <c r="J61" s="485"/>
      <c r="K61" s="485"/>
      <c r="L61" s="485"/>
      <c r="M61" s="485"/>
      <c r="N61" s="485"/>
      <c r="O61" s="485"/>
      <c r="P61" s="485"/>
      <c r="Q61" s="485"/>
      <c r="R61" s="485"/>
      <c r="S61" s="485"/>
      <c r="T61" s="485"/>
    </row>
    <row r="62" spans="1:20" ht="23.25" customHeight="1">
      <c r="A62" s="485"/>
      <c r="B62" s="485"/>
      <c r="C62" s="485"/>
      <c r="D62" s="485"/>
      <c r="E62" s="485"/>
      <c r="F62" s="485"/>
      <c r="G62" s="485"/>
      <c r="H62" s="485"/>
      <c r="I62" s="485"/>
      <c r="J62" s="485"/>
      <c r="K62" s="485"/>
      <c r="L62" s="485"/>
      <c r="M62" s="485"/>
      <c r="N62" s="485"/>
      <c r="O62" s="485"/>
      <c r="P62" s="485"/>
      <c r="Q62" s="485"/>
      <c r="R62" s="485"/>
      <c r="S62" s="485"/>
      <c r="T62" s="485"/>
    </row>
    <row r="63" spans="1:20" ht="21" customHeight="1">
      <c r="A63" s="485"/>
      <c r="B63" s="485"/>
      <c r="C63" s="485"/>
      <c r="D63" s="485"/>
      <c r="E63" s="485"/>
      <c r="F63" s="485"/>
      <c r="G63" s="485"/>
      <c r="H63" s="485"/>
      <c r="I63" s="485"/>
      <c r="J63" s="485"/>
      <c r="K63" s="485"/>
      <c r="L63" s="485"/>
      <c r="M63" s="485"/>
      <c r="N63" s="485"/>
      <c r="O63" s="485"/>
      <c r="P63" s="485"/>
      <c r="Q63" s="485"/>
      <c r="R63" s="485"/>
      <c r="S63" s="485"/>
      <c r="T63" s="485"/>
    </row>
    <row r="64" spans="1:20">
      <c r="A64" s="485"/>
      <c r="B64" s="485"/>
      <c r="C64" s="485"/>
      <c r="D64" s="485"/>
      <c r="E64" s="485"/>
      <c r="F64" s="485"/>
      <c r="G64" s="485"/>
      <c r="H64" s="485"/>
      <c r="I64" s="485"/>
      <c r="J64" s="485"/>
      <c r="K64" s="485"/>
      <c r="L64" s="485"/>
      <c r="M64" s="485"/>
      <c r="N64" s="485"/>
      <c r="O64" s="485"/>
      <c r="P64" s="485"/>
      <c r="Q64" s="485"/>
      <c r="R64" s="485"/>
      <c r="S64" s="485"/>
      <c r="T64" s="485"/>
    </row>
    <row r="65" spans="1:20">
      <c r="A65" s="485"/>
      <c r="B65" s="485"/>
      <c r="C65" s="485"/>
      <c r="D65" s="485"/>
      <c r="E65" s="485"/>
      <c r="F65" s="485"/>
      <c r="G65" s="485"/>
      <c r="H65" s="485"/>
      <c r="I65" s="485"/>
      <c r="J65" s="485"/>
      <c r="K65" s="485"/>
      <c r="L65" s="485"/>
      <c r="M65" s="485"/>
      <c r="N65" s="485"/>
      <c r="O65" s="485"/>
      <c r="P65" s="485"/>
      <c r="Q65" s="485"/>
      <c r="R65" s="485"/>
      <c r="S65" s="485"/>
      <c r="T65" s="485"/>
    </row>
    <row r="66" spans="1:20">
      <c r="A66" s="485"/>
      <c r="B66" s="485"/>
      <c r="C66" s="485"/>
      <c r="D66" s="485"/>
      <c r="E66" s="485"/>
      <c r="F66" s="485"/>
      <c r="G66" s="485"/>
      <c r="H66" s="485"/>
      <c r="I66" s="485"/>
      <c r="J66" s="485"/>
      <c r="K66" s="485"/>
      <c r="L66" s="485"/>
      <c r="M66" s="485"/>
      <c r="N66" s="485"/>
      <c r="O66" s="485"/>
      <c r="P66" s="485"/>
      <c r="Q66" s="485"/>
      <c r="R66" s="485"/>
      <c r="S66" s="485"/>
      <c r="T66" s="485"/>
    </row>
    <row r="67" spans="1:20">
      <c r="A67" s="485"/>
      <c r="B67" s="485"/>
      <c r="C67" s="485"/>
      <c r="D67" s="485"/>
      <c r="E67" s="485"/>
      <c r="F67" s="485"/>
      <c r="G67" s="485"/>
      <c r="H67" s="485"/>
      <c r="I67" s="485"/>
      <c r="J67" s="485"/>
      <c r="K67" s="485"/>
      <c r="L67" s="485"/>
      <c r="M67" s="485"/>
      <c r="N67" s="485"/>
      <c r="O67" s="485"/>
      <c r="P67" s="485"/>
      <c r="Q67" s="485"/>
      <c r="R67" s="485"/>
      <c r="S67" s="485"/>
      <c r="T67" s="485"/>
    </row>
    <row r="68" spans="1:20">
      <c r="A68" s="485"/>
      <c r="B68" s="485"/>
      <c r="C68" s="485"/>
      <c r="D68" s="485"/>
      <c r="E68" s="485"/>
      <c r="F68" s="485"/>
      <c r="G68" s="485"/>
      <c r="H68" s="485"/>
      <c r="I68" s="485"/>
      <c r="J68" s="485"/>
      <c r="K68" s="485"/>
      <c r="L68" s="485"/>
      <c r="M68" s="485"/>
      <c r="N68" s="485"/>
      <c r="O68" s="485"/>
      <c r="P68" s="485"/>
      <c r="Q68" s="485"/>
      <c r="R68" s="485"/>
      <c r="S68" s="485"/>
      <c r="T68" s="485"/>
    </row>
    <row r="69" spans="1:20">
      <c r="A69" s="485"/>
      <c r="B69" s="485"/>
      <c r="C69" s="485"/>
      <c r="D69" s="485"/>
      <c r="E69" s="485"/>
      <c r="F69" s="485"/>
      <c r="G69" s="485"/>
      <c r="H69" s="485"/>
      <c r="I69" s="485"/>
      <c r="J69" s="485"/>
      <c r="K69" s="485"/>
      <c r="L69" s="485"/>
      <c r="M69" s="485"/>
      <c r="N69" s="485"/>
      <c r="O69" s="485"/>
      <c r="P69" s="485"/>
      <c r="Q69" s="485"/>
      <c r="R69" s="485"/>
      <c r="S69" s="485"/>
      <c r="T69" s="485"/>
    </row>
    <row r="70" spans="1:20">
      <c r="A70" s="485"/>
      <c r="B70" s="485"/>
      <c r="C70" s="485"/>
      <c r="D70" s="485"/>
      <c r="E70" s="485"/>
      <c r="F70" s="485"/>
      <c r="G70" s="485"/>
      <c r="H70" s="485"/>
      <c r="I70" s="485"/>
      <c r="J70" s="485"/>
      <c r="K70" s="485"/>
      <c r="L70" s="485"/>
      <c r="M70" s="485"/>
      <c r="N70" s="485"/>
      <c r="O70" s="485"/>
      <c r="P70" s="485"/>
      <c r="Q70" s="485"/>
      <c r="R70" s="485"/>
      <c r="S70" s="485"/>
      <c r="T70" s="485"/>
    </row>
    <row r="71" spans="1:20">
      <c r="A71" s="485"/>
      <c r="B71" s="485"/>
      <c r="C71" s="485"/>
      <c r="D71" s="485"/>
      <c r="E71" s="485"/>
      <c r="F71" s="485"/>
      <c r="G71" s="485"/>
      <c r="H71" s="485"/>
      <c r="I71" s="485"/>
      <c r="J71" s="485"/>
      <c r="K71" s="485"/>
      <c r="L71" s="485"/>
      <c r="M71" s="485"/>
      <c r="N71" s="485"/>
      <c r="O71" s="485"/>
      <c r="P71" s="485"/>
      <c r="Q71" s="485"/>
      <c r="R71" s="485"/>
      <c r="S71" s="485"/>
      <c r="T71" s="485"/>
    </row>
    <row r="72" spans="1:20">
      <c r="A72" s="485"/>
      <c r="B72" s="485"/>
      <c r="C72" s="485"/>
      <c r="D72" s="485"/>
      <c r="E72" s="485"/>
      <c r="F72" s="485"/>
      <c r="G72" s="485"/>
      <c r="H72" s="485"/>
      <c r="I72" s="485"/>
      <c r="J72" s="485"/>
      <c r="K72" s="485"/>
      <c r="L72" s="485"/>
      <c r="M72" s="485"/>
      <c r="N72" s="485"/>
      <c r="O72" s="485"/>
      <c r="P72" s="485"/>
      <c r="Q72" s="485"/>
      <c r="R72" s="485"/>
      <c r="S72" s="485"/>
      <c r="T72" s="485"/>
    </row>
    <row r="73" spans="1:20">
      <c r="A73" s="485"/>
      <c r="B73" s="485"/>
      <c r="C73" s="485"/>
      <c r="D73" s="485"/>
      <c r="E73" s="485"/>
      <c r="F73" s="485"/>
      <c r="G73" s="485"/>
      <c r="H73" s="485"/>
      <c r="I73" s="485"/>
      <c r="J73" s="485"/>
      <c r="K73" s="485"/>
      <c r="L73" s="485"/>
      <c r="M73" s="485"/>
      <c r="N73" s="485"/>
      <c r="O73" s="485"/>
      <c r="P73" s="485"/>
      <c r="Q73" s="485"/>
      <c r="R73" s="485"/>
      <c r="S73" s="485"/>
      <c r="T73" s="485"/>
    </row>
    <row r="74" spans="1:20">
      <c r="A74" s="485"/>
      <c r="B74" s="485"/>
      <c r="C74" s="485"/>
      <c r="D74" s="485"/>
      <c r="E74" s="485"/>
      <c r="F74" s="485"/>
      <c r="G74" s="485"/>
      <c r="H74" s="485"/>
      <c r="I74" s="485"/>
      <c r="J74" s="485"/>
      <c r="K74" s="485"/>
      <c r="L74" s="485"/>
      <c r="M74" s="485"/>
      <c r="N74" s="485"/>
      <c r="O74" s="485"/>
      <c r="P74" s="485"/>
      <c r="Q74" s="485"/>
      <c r="R74" s="485"/>
      <c r="S74" s="485"/>
      <c r="T74" s="485"/>
    </row>
    <row r="75" spans="1:20">
      <c r="A75" s="485"/>
      <c r="B75" s="485"/>
      <c r="C75" s="485"/>
      <c r="D75" s="485"/>
      <c r="E75" s="485"/>
      <c r="F75" s="485"/>
      <c r="G75" s="485"/>
      <c r="H75" s="485"/>
      <c r="I75" s="485"/>
      <c r="J75" s="485"/>
      <c r="K75" s="485"/>
      <c r="L75" s="485"/>
      <c r="M75" s="485"/>
      <c r="N75" s="485"/>
      <c r="O75" s="485"/>
      <c r="P75" s="485"/>
      <c r="Q75" s="485"/>
      <c r="R75" s="485"/>
      <c r="S75" s="485"/>
      <c r="T75" s="485"/>
    </row>
    <row r="76" spans="1:20">
      <c r="A76" s="485"/>
      <c r="B76" s="485"/>
      <c r="C76" s="485"/>
      <c r="D76" s="485"/>
      <c r="E76" s="485"/>
      <c r="F76" s="485"/>
      <c r="G76" s="485"/>
      <c r="H76" s="485"/>
      <c r="I76" s="485"/>
      <c r="J76" s="485"/>
      <c r="K76" s="485"/>
      <c r="L76" s="485"/>
      <c r="M76" s="485"/>
      <c r="N76" s="485"/>
      <c r="O76" s="485"/>
      <c r="P76" s="485"/>
      <c r="Q76" s="485"/>
      <c r="R76" s="485"/>
      <c r="S76" s="485"/>
      <c r="T76" s="485"/>
    </row>
    <row r="77" spans="1:20">
      <c r="A77" s="485"/>
      <c r="B77" s="485"/>
      <c r="C77" s="485"/>
      <c r="D77" s="485"/>
      <c r="E77" s="485"/>
      <c r="F77" s="485"/>
      <c r="G77" s="485"/>
      <c r="H77" s="485"/>
      <c r="I77" s="485"/>
      <c r="J77" s="485"/>
      <c r="K77" s="485"/>
      <c r="L77" s="485"/>
      <c r="M77" s="485"/>
      <c r="N77" s="485"/>
      <c r="O77" s="485"/>
      <c r="P77" s="485"/>
      <c r="Q77" s="485"/>
      <c r="R77" s="485"/>
      <c r="S77" s="485"/>
      <c r="T77" s="485"/>
    </row>
    <row r="78" spans="1:20">
      <c r="A78" s="485"/>
      <c r="B78" s="485"/>
      <c r="C78" s="485"/>
      <c r="D78" s="485"/>
      <c r="E78" s="485"/>
      <c r="F78" s="485"/>
      <c r="G78" s="485"/>
      <c r="H78" s="485"/>
      <c r="I78" s="485"/>
      <c r="J78" s="485"/>
      <c r="K78" s="485"/>
      <c r="L78" s="485"/>
      <c r="M78" s="485"/>
      <c r="N78" s="485"/>
      <c r="O78" s="485"/>
      <c r="P78" s="485"/>
      <c r="Q78" s="485"/>
      <c r="R78" s="485"/>
      <c r="S78" s="485"/>
      <c r="T78" s="485"/>
    </row>
    <row r="79" spans="1:20">
      <c r="A79" s="485"/>
      <c r="B79" s="485"/>
      <c r="C79" s="485"/>
      <c r="D79" s="485"/>
      <c r="E79" s="485"/>
      <c r="F79" s="485"/>
      <c r="G79" s="485"/>
      <c r="H79" s="485"/>
      <c r="I79" s="485"/>
      <c r="J79" s="485"/>
      <c r="K79" s="485"/>
      <c r="L79" s="485"/>
      <c r="M79" s="485"/>
      <c r="N79" s="485"/>
      <c r="O79" s="485"/>
      <c r="P79" s="485"/>
      <c r="Q79" s="485"/>
      <c r="R79" s="485"/>
      <c r="S79" s="485"/>
      <c r="T79" s="485"/>
    </row>
    <row r="80" spans="1:20">
      <c r="A80" s="485"/>
      <c r="B80" s="485"/>
      <c r="C80" s="485"/>
      <c r="D80" s="485"/>
      <c r="E80" s="485"/>
      <c r="F80" s="485"/>
      <c r="G80" s="485"/>
      <c r="H80" s="485"/>
      <c r="I80" s="485"/>
      <c r="J80" s="485"/>
      <c r="K80" s="485"/>
      <c r="L80" s="485"/>
      <c r="M80" s="485"/>
      <c r="N80" s="485"/>
      <c r="O80" s="485"/>
      <c r="P80" s="485"/>
      <c r="Q80" s="485"/>
      <c r="R80" s="485"/>
      <c r="S80" s="485"/>
      <c r="T80" s="485"/>
    </row>
    <row r="81" spans="1:20">
      <c r="A81" s="485"/>
      <c r="B81" s="485"/>
      <c r="C81" s="485"/>
      <c r="D81" s="485"/>
      <c r="E81" s="485"/>
      <c r="F81" s="485"/>
      <c r="G81" s="485"/>
      <c r="H81" s="485"/>
      <c r="I81" s="485"/>
      <c r="J81" s="485"/>
      <c r="K81" s="485"/>
      <c r="L81" s="485"/>
      <c r="M81" s="485"/>
      <c r="N81" s="485"/>
      <c r="O81" s="485"/>
      <c r="P81" s="485"/>
      <c r="Q81" s="485"/>
      <c r="R81" s="485"/>
      <c r="S81" s="485"/>
      <c r="T81" s="485"/>
    </row>
    <row r="82" spans="1:20">
      <c r="A82" s="485"/>
      <c r="B82" s="485"/>
      <c r="C82" s="485"/>
      <c r="D82" s="485"/>
      <c r="E82" s="485"/>
      <c r="F82" s="485"/>
      <c r="G82" s="485"/>
      <c r="H82" s="485"/>
      <c r="I82" s="485"/>
      <c r="J82" s="485"/>
      <c r="K82" s="485"/>
      <c r="L82" s="485"/>
      <c r="M82" s="485"/>
      <c r="N82" s="485"/>
      <c r="O82" s="485"/>
      <c r="P82" s="485"/>
      <c r="Q82" s="485"/>
      <c r="R82" s="485"/>
      <c r="S82" s="485"/>
      <c r="T82" s="485"/>
    </row>
    <row r="83" spans="1:20">
      <c r="A83" s="485"/>
      <c r="B83" s="485"/>
      <c r="C83" s="485"/>
      <c r="D83" s="485"/>
      <c r="E83" s="485"/>
      <c r="F83" s="485"/>
      <c r="G83" s="485"/>
      <c r="H83" s="485"/>
      <c r="I83" s="485"/>
      <c r="J83" s="485"/>
      <c r="K83" s="485"/>
      <c r="L83" s="485"/>
      <c r="M83" s="485"/>
      <c r="N83" s="485"/>
      <c r="O83" s="485"/>
      <c r="P83" s="485"/>
      <c r="Q83" s="485"/>
      <c r="R83" s="485"/>
      <c r="S83" s="485"/>
      <c r="T83" s="485"/>
    </row>
    <row r="84" spans="1:20">
      <c r="A84" s="485"/>
      <c r="B84" s="485"/>
      <c r="C84" s="485"/>
      <c r="D84" s="485"/>
      <c r="E84" s="485"/>
      <c r="F84" s="485"/>
      <c r="G84" s="485"/>
      <c r="H84" s="485"/>
      <c r="I84" s="485"/>
      <c r="J84" s="485"/>
      <c r="K84" s="485"/>
      <c r="L84" s="485"/>
      <c r="M84" s="485"/>
      <c r="N84" s="485"/>
      <c r="O84" s="485"/>
      <c r="P84" s="485"/>
      <c r="Q84" s="485"/>
      <c r="R84" s="485"/>
      <c r="S84" s="485"/>
      <c r="T84" s="485"/>
    </row>
    <row r="85" spans="1:20">
      <c r="A85" s="485"/>
      <c r="B85" s="485"/>
      <c r="C85" s="485"/>
      <c r="D85" s="485"/>
      <c r="E85" s="485"/>
      <c r="F85" s="485"/>
      <c r="G85" s="485"/>
      <c r="H85" s="485"/>
      <c r="I85" s="485"/>
      <c r="J85" s="485"/>
      <c r="K85" s="485"/>
      <c r="L85" s="485"/>
      <c r="M85" s="485"/>
      <c r="N85" s="485"/>
      <c r="O85" s="485"/>
      <c r="P85" s="485"/>
      <c r="Q85" s="485"/>
      <c r="R85" s="485"/>
      <c r="S85" s="485"/>
      <c r="T85" s="485"/>
    </row>
    <row r="86" spans="1:20">
      <c r="A86" s="485"/>
      <c r="B86" s="485"/>
      <c r="C86" s="485"/>
      <c r="D86" s="485"/>
      <c r="E86" s="485"/>
      <c r="F86" s="485"/>
      <c r="G86" s="485"/>
      <c r="H86" s="485"/>
      <c r="I86" s="485"/>
      <c r="J86" s="485"/>
      <c r="K86" s="485"/>
      <c r="L86" s="485"/>
      <c r="M86" s="485"/>
      <c r="N86" s="485"/>
      <c r="O86" s="485"/>
      <c r="P86" s="485"/>
      <c r="Q86" s="485"/>
      <c r="R86" s="485"/>
      <c r="S86" s="485"/>
      <c r="T86" s="485"/>
    </row>
    <row r="87" spans="1:20">
      <c r="A87" s="485"/>
      <c r="B87" s="485"/>
      <c r="C87" s="485"/>
      <c r="D87" s="485"/>
      <c r="E87" s="485"/>
      <c r="F87" s="485"/>
      <c r="G87" s="485"/>
      <c r="H87" s="485"/>
      <c r="I87" s="485"/>
      <c r="J87" s="485"/>
      <c r="K87" s="485"/>
      <c r="L87" s="485"/>
      <c r="M87" s="485"/>
      <c r="N87" s="485"/>
      <c r="O87" s="485"/>
      <c r="P87" s="485"/>
      <c r="Q87" s="485"/>
      <c r="R87" s="485"/>
      <c r="S87" s="485"/>
      <c r="T87" s="485"/>
    </row>
    <row r="88" spans="1:20">
      <c r="A88" s="485"/>
      <c r="B88" s="485"/>
      <c r="C88" s="485"/>
      <c r="D88" s="485"/>
      <c r="E88" s="485"/>
      <c r="F88" s="485"/>
      <c r="G88" s="485"/>
      <c r="H88" s="485"/>
      <c r="I88" s="485"/>
      <c r="J88" s="485"/>
      <c r="K88" s="485"/>
      <c r="L88" s="485"/>
      <c r="M88" s="485"/>
      <c r="N88" s="485"/>
      <c r="O88" s="485"/>
      <c r="P88" s="485"/>
      <c r="Q88" s="485"/>
      <c r="R88" s="485"/>
      <c r="S88" s="485"/>
      <c r="T88" s="485"/>
    </row>
    <row r="89" spans="1:20">
      <c r="A89" s="485"/>
      <c r="B89" s="485"/>
      <c r="C89" s="485"/>
      <c r="D89" s="485"/>
      <c r="E89" s="485"/>
      <c r="F89" s="485"/>
      <c r="G89" s="485"/>
      <c r="H89" s="485"/>
      <c r="I89" s="485"/>
      <c r="J89" s="485"/>
      <c r="K89" s="485"/>
      <c r="L89" s="485"/>
      <c r="M89" s="485"/>
      <c r="N89" s="485"/>
      <c r="O89" s="485"/>
      <c r="P89" s="485"/>
      <c r="Q89" s="485"/>
      <c r="R89" s="485"/>
      <c r="S89" s="485"/>
      <c r="T89" s="485"/>
    </row>
    <row r="90" spans="1:20">
      <c r="A90" s="485"/>
      <c r="B90" s="485"/>
      <c r="C90" s="485"/>
      <c r="D90" s="485"/>
      <c r="E90" s="485"/>
      <c r="F90" s="485"/>
      <c r="G90" s="485"/>
      <c r="H90" s="485"/>
      <c r="I90" s="485"/>
      <c r="J90" s="485"/>
      <c r="K90" s="485"/>
      <c r="L90" s="485"/>
      <c r="M90" s="485"/>
      <c r="N90" s="485"/>
      <c r="O90" s="485"/>
      <c r="P90" s="485"/>
      <c r="Q90" s="485"/>
      <c r="R90" s="485"/>
      <c r="S90" s="485"/>
      <c r="T90" s="485"/>
    </row>
    <row r="91" spans="1:20">
      <c r="A91" s="485"/>
      <c r="B91" s="485"/>
      <c r="C91" s="485"/>
      <c r="D91" s="485"/>
      <c r="E91" s="485"/>
      <c r="F91" s="485"/>
      <c r="G91" s="485"/>
      <c r="H91" s="485"/>
      <c r="I91" s="485"/>
      <c r="J91" s="485"/>
      <c r="K91" s="485"/>
      <c r="L91" s="485"/>
      <c r="M91" s="485"/>
      <c r="N91" s="485"/>
      <c r="O91" s="485"/>
      <c r="P91" s="485"/>
      <c r="Q91" s="485"/>
      <c r="R91" s="485"/>
      <c r="S91" s="485"/>
      <c r="T91" s="485"/>
    </row>
    <row r="92" spans="1:20">
      <c r="A92" s="485"/>
      <c r="B92" s="485"/>
      <c r="C92" s="485"/>
      <c r="D92" s="485"/>
      <c r="E92" s="485"/>
      <c r="F92" s="485"/>
      <c r="G92" s="485"/>
      <c r="H92" s="485"/>
      <c r="I92" s="485"/>
      <c r="J92" s="485"/>
      <c r="K92" s="485"/>
      <c r="L92" s="485"/>
      <c r="M92" s="485"/>
      <c r="N92" s="485"/>
      <c r="O92" s="485"/>
      <c r="P92" s="485"/>
      <c r="Q92" s="485"/>
      <c r="R92" s="485"/>
      <c r="S92" s="485"/>
      <c r="T92" s="485"/>
    </row>
    <row r="93" spans="1:20">
      <c r="A93" s="485"/>
      <c r="B93" s="485"/>
      <c r="C93" s="485"/>
      <c r="D93" s="485"/>
      <c r="E93" s="485"/>
      <c r="F93" s="485"/>
      <c r="G93" s="485"/>
      <c r="H93" s="485"/>
      <c r="I93" s="485"/>
      <c r="J93" s="485"/>
      <c r="K93" s="485"/>
      <c r="L93" s="485"/>
      <c r="M93" s="485"/>
      <c r="N93" s="485"/>
      <c r="O93" s="485"/>
      <c r="P93" s="485"/>
      <c r="Q93" s="485"/>
      <c r="R93" s="485"/>
      <c r="S93" s="485"/>
      <c r="T93" s="485"/>
    </row>
    <row r="94" spans="1:20">
      <c r="A94" s="485"/>
      <c r="B94" s="485"/>
      <c r="C94" s="485"/>
      <c r="D94" s="485"/>
      <c r="E94" s="485"/>
      <c r="F94" s="485"/>
      <c r="G94" s="485"/>
      <c r="H94" s="485"/>
      <c r="I94" s="485"/>
      <c r="J94" s="485"/>
      <c r="K94" s="485"/>
      <c r="L94" s="485"/>
      <c r="M94" s="485"/>
      <c r="N94" s="485"/>
      <c r="O94" s="485"/>
      <c r="P94" s="485"/>
      <c r="Q94" s="485"/>
      <c r="R94" s="485"/>
      <c r="S94" s="485"/>
      <c r="T94" s="485"/>
    </row>
    <row r="95" spans="1:20">
      <c r="A95" s="485"/>
      <c r="B95" s="485"/>
      <c r="C95" s="485"/>
      <c r="D95" s="485"/>
      <c r="E95" s="485"/>
      <c r="F95" s="485"/>
      <c r="G95" s="485"/>
      <c r="H95" s="485"/>
      <c r="I95" s="485"/>
      <c r="J95" s="485"/>
      <c r="K95" s="485"/>
      <c r="L95" s="485"/>
      <c r="M95" s="485"/>
      <c r="N95" s="485"/>
      <c r="O95" s="485"/>
      <c r="P95" s="485"/>
      <c r="Q95" s="485"/>
      <c r="R95" s="485"/>
      <c r="S95" s="485"/>
      <c r="T95" s="485"/>
    </row>
    <row r="96" spans="1:20">
      <c r="A96" s="485"/>
      <c r="B96" s="485"/>
      <c r="C96" s="485"/>
      <c r="D96" s="485"/>
      <c r="E96" s="485"/>
      <c r="F96" s="485"/>
      <c r="G96" s="485"/>
      <c r="H96" s="485"/>
      <c r="I96" s="485"/>
      <c r="J96" s="485"/>
      <c r="K96" s="485"/>
      <c r="L96" s="485"/>
      <c r="M96" s="485"/>
      <c r="N96" s="485"/>
      <c r="O96" s="485"/>
      <c r="P96" s="485"/>
      <c r="Q96" s="485"/>
      <c r="R96" s="485"/>
      <c r="S96" s="485"/>
      <c r="T96" s="485"/>
    </row>
    <row r="97" spans="1:20">
      <c r="A97" s="485"/>
      <c r="B97" s="485"/>
      <c r="C97" s="485"/>
      <c r="D97" s="485"/>
      <c r="E97" s="485"/>
      <c r="F97" s="485"/>
      <c r="G97" s="485"/>
      <c r="H97" s="485"/>
      <c r="I97" s="485"/>
      <c r="J97" s="485"/>
      <c r="K97" s="485"/>
      <c r="L97" s="485"/>
      <c r="M97" s="485"/>
      <c r="N97" s="485"/>
      <c r="O97" s="485"/>
      <c r="P97" s="485"/>
      <c r="Q97" s="485"/>
      <c r="R97" s="485"/>
      <c r="S97" s="485"/>
      <c r="T97" s="485"/>
    </row>
    <row r="98" spans="1:20">
      <c r="A98" s="485"/>
      <c r="B98" s="485"/>
      <c r="C98" s="485"/>
      <c r="D98" s="485"/>
      <c r="E98" s="485"/>
      <c r="F98" s="485"/>
      <c r="G98" s="485"/>
      <c r="H98" s="485"/>
      <c r="I98" s="485"/>
      <c r="J98" s="485"/>
      <c r="K98" s="485"/>
      <c r="L98" s="485"/>
      <c r="M98" s="485"/>
      <c r="N98" s="485"/>
      <c r="O98" s="485"/>
      <c r="P98" s="485"/>
      <c r="Q98" s="485"/>
      <c r="R98" s="485"/>
      <c r="S98" s="485"/>
      <c r="T98" s="485"/>
    </row>
    <row r="99" spans="1:20">
      <c r="A99" s="485"/>
      <c r="B99" s="485"/>
      <c r="C99" s="485"/>
      <c r="D99" s="485"/>
      <c r="E99" s="485"/>
      <c r="F99" s="485"/>
      <c r="G99" s="485"/>
      <c r="H99" s="485"/>
      <c r="I99" s="485"/>
      <c r="J99" s="485"/>
      <c r="K99" s="485"/>
      <c r="L99" s="485"/>
      <c r="M99" s="485"/>
      <c r="N99" s="485"/>
      <c r="O99" s="485"/>
      <c r="P99" s="485"/>
      <c r="Q99" s="485"/>
      <c r="R99" s="485"/>
      <c r="S99" s="485"/>
      <c r="T99" s="485"/>
    </row>
    <row r="100" spans="1:20">
      <c r="A100" s="485"/>
      <c r="B100" s="485"/>
      <c r="C100" s="485"/>
      <c r="D100" s="485"/>
      <c r="E100" s="485"/>
      <c r="F100" s="485"/>
      <c r="G100" s="485"/>
      <c r="H100" s="485"/>
      <c r="I100" s="485"/>
      <c r="J100" s="485"/>
      <c r="K100" s="485"/>
      <c r="L100" s="485"/>
      <c r="M100" s="485"/>
      <c r="N100" s="485"/>
      <c r="O100" s="485"/>
      <c r="P100" s="485"/>
      <c r="Q100" s="485"/>
      <c r="R100" s="485"/>
      <c r="S100" s="485"/>
      <c r="T100" s="485"/>
    </row>
    <row r="101" spans="1:20">
      <c r="A101" s="485"/>
      <c r="B101" s="485"/>
      <c r="C101" s="485"/>
      <c r="D101" s="485"/>
      <c r="E101" s="485"/>
      <c r="F101" s="485"/>
      <c r="G101" s="485"/>
      <c r="H101" s="485"/>
      <c r="I101" s="485"/>
      <c r="J101" s="485"/>
      <c r="K101" s="485"/>
      <c r="L101" s="485"/>
      <c r="M101" s="485"/>
      <c r="N101" s="485"/>
      <c r="O101" s="485"/>
      <c r="P101" s="485"/>
      <c r="Q101" s="485"/>
      <c r="R101" s="485"/>
      <c r="S101" s="485"/>
      <c r="T101" s="485"/>
    </row>
    <row r="102" spans="1:20">
      <c r="A102" s="485"/>
      <c r="B102" s="485"/>
      <c r="C102" s="485"/>
      <c r="D102" s="485"/>
      <c r="E102" s="485"/>
      <c r="F102" s="485"/>
      <c r="G102" s="485"/>
      <c r="H102" s="485"/>
      <c r="I102" s="485"/>
      <c r="J102" s="485"/>
      <c r="K102" s="485"/>
      <c r="L102" s="485"/>
      <c r="M102" s="485"/>
      <c r="N102" s="485"/>
      <c r="O102" s="485"/>
      <c r="P102" s="485"/>
      <c r="Q102" s="485"/>
      <c r="R102" s="485"/>
      <c r="S102" s="485"/>
      <c r="T102" s="485"/>
    </row>
    <row r="103" spans="1:20">
      <c r="A103" s="485"/>
      <c r="B103" s="485"/>
      <c r="C103" s="485"/>
      <c r="D103" s="485"/>
      <c r="E103" s="485"/>
      <c r="F103" s="485"/>
      <c r="G103" s="485"/>
      <c r="H103" s="485"/>
      <c r="I103" s="485"/>
      <c r="J103" s="485"/>
      <c r="K103" s="485"/>
      <c r="L103" s="485"/>
      <c r="M103" s="485"/>
      <c r="N103" s="485"/>
      <c r="O103" s="485"/>
      <c r="P103" s="485"/>
      <c r="Q103" s="485"/>
      <c r="R103" s="485"/>
      <c r="S103" s="485"/>
      <c r="T103" s="485"/>
    </row>
    <row r="104" spans="1:20">
      <c r="A104" s="485"/>
      <c r="B104" s="485"/>
      <c r="C104" s="485"/>
      <c r="D104" s="485"/>
      <c r="E104" s="485"/>
      <c r="F104" s="485"/>
      <c r="G104" s="485"/>
      <c r="H104" s="485"/>
      <c r="I104" s="485"/>
      <c r="J104" s="485"/>
      <c r="K104" s="485"/>
      <c r="L104" s="485"/>
      <c r="M104" s="485"/>
      <c r="N104" s="485"/>
      <c r="O104" s="485"/>
      <c r="P104" s="485"/>
      <c r="Q104" s="485"/>
      <c r="R104" s="485"/>
      <c r="S104" s="485"/>
      <c r="T104" s="485"/>
    </row>
    <row r="105" spans="1:20">
      <c r="A105" s="485"/>
      <c r="B105" s="485"/>
      <c r="C105" s="485"/>
      <c r="D105" s="485"/>
      <c r="E105" s="485"/>
      <c r="F105" s="485"/>
      <c r="G105" s="485"/>
      <c r="H105" s="485"/>
      <c r="I105" s="485"/>
      <c r="J105" s="485"/>
      <c r="K105" s="485"/>
      <c r="L105" s="485"/>
      <c r="M105" s="485"/>
      <c r="N105" s="485"/>
      <c r="O105" s="485"/>
      <c r="P105" s="485"/>
      <c r="Q105" s="485"/>
      <c r="R105" s="485"/>
      <c r="S105" s="485"/>
      <c r="T105" s="485"/>
    </row>
    <row r="106" spans="1:20">
      <c r="A106" s="485"/>
      <c r="B106" s="485"/>
      <c r="C106" s="485"/>
      <c r="D106" s="485"/>
      <c r="E106" s="485"/>
      <c r="F106" s="485"/>
      <c r="G106" s="485"/>
      <c r="H106" s="485"/>
      <c r="I106" s="485"/>
      <c r="J106" s="485"/>
      <c r="K106" s="485"/>
      <c r="L106" s="485"/>
      <c r="M106" s="485"/>
      <c r="N106" s="485"/>
      <c r="O106" s="485"/>
      <c r="P106" s="485"/>
      <c r="Q106" s="485"/>
      <c r="R106" s="485"/>
      <c r="S106" s="485"/>
      <c r="T106" s="485"/>
    </row>
    <row r="107" spans="1:20">
      <c r="A107" s="485"/>
      <c r="B107" s="485"/>
      <c r="C107" s="485"/>
      <c r="D107" s="485"/>
      <c r="E107" s="485"/>
      <c r="F107" s="485"/>
      <c r="G107" s="485"/>
      <c r="H107" s="485"/>
      <c r="I107" s="485"/>
      <c r="J107" s="485"/>
      <c r="K107" s="485"/>
      <c r="L107" s="485"/>
      <c r="M107" s="485"/>
      <c r="N107" s="485"/>
      <c r="O107" s="485"/>
      <c r="P107" s="485"/>
      <c r="Q107" s="485"/>
      <c r="R107" s="485"/>
      <c r="S107" s="485"/>
      <c r="T107" s="485"/>
    </row>
  </sheetData>
  <mergeCells count="32">
    <mergeCell ref="B57:C57"/>
    <mergeCell ref="I49:J49"/>
    <mergeCell ref="K49:L49"/>
    <mergeCell ref="M49:P49"/>
    <mergeCell ref="I50:J50"/>
    <mergeCell ref="K50:L50"/>
    <mergeCell ref="M50:P50"/>
    <mergeCell ref="I31:O31"/>
    <mergeCell ref="B36:D36"/>
    <mergeCell ref="I38:M38"/>
    <mergeCell ref="B41:C41"/>
    <mergeCell ref="I44:N44"/>
    <mergeCell ref="A47:A51"/>
    <mergeCell ref="M47:P47"/>
    <mergeCell ref="I48:J48"/>
    <mergeCell ref="K48:L48"/>
    <mergeCell ref="M48:P48"/>
    <mergeCell ref="I51:J51"/>
    <mergeCell ref="K51:L51"/>
    <mergeCell ref="M51:P51"/>
    <mergeCell ref="I28:M28"/>
    <mergeCell ref="B5:C5"/>
    <mergeCell ref="C7:F7"/>
    <mergeCell ref="C8:F8"/>
    <mergeCell ref="C9:F9"/>
    <mergeCell ref="B10:B11"/>
    <mergeCell ref="B12:C12"/>
    <mergeCell ref="B13:C13"/>
    <mergeCell ref="B14:C14"/>
    <mergeCell ref="B15:C15"/>
    <mergeCell ref="B16:C16"/>
    <mergeCell ref="I21:M21"/>
  </mergeCells>
  <pageMargins left="0.7" right="0.7" top="0.75" bottom="0.75" header="0.3" footer="0.3"/>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O26" sqref="O26"/>
    </sheetView>
  </sheetViews>
  <sheetFormatPr baseColWidth="10" defaultColWidth="8.81640625" defaultRowHeight="14.5"/>
  <sheetData>
    <row r="1" spans="1:1">
      <c r="A1" t="s">
        <v>621</v>
      </c>
    </row>
    <row r="3" spans="1:1">
      <c r="A3" t="s">
        <v>622</v>
      </c>
    </row>
    <row r="4" spans="1:1">
      <c r="A4" t="s">
        <v>624</v>
      </c>
    </row>
    <row r="6" spans="1:1">
      <c r="A6" t="s">
        <v>623</v>
      </c>
    </row>
    <row r="8" spans="1:1">
      <c r="A8" t="s">
        <v>625</v>
      </c>
    </row>
    <row r="10" spans="1:1">
      <c r="A10" t="s">
        <v>626</v>
      </c>
    </row>
    <row r="12" spans="1:1">
      <c r="A12" t="s">
        <v>627</v>
      </c>
    </row>
    <row r="16" spans="1:1">
      <c r="A16" t="s">
        <v>628</v>
      </c>
    </row>
    <row r="18" spans="1:1">
      <c r="A18" t="s">
        <v>629</v>
      </c>
    </row>
  </sheetData>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1091"/>
  <sheetViews>
    <sheetView topLeftCell="A310" zoomScale="80" zoomScaleNormal="80" zoomScalePageLayoutView="80" workbookViewId="0">
      <selection activeCell="C67" sqref="C67"/>
    </sheetView>
  </sheetViews>
  <sheetFormatPr baseColWidth="10" defaultColWidth="12.453125" defaultRowHeight="14.5"/>
  <cols>
    <col min="1" max="1" width="12.453125" style="10"/>
    <col min="2" max="2" width="21.453125" style="10" bestFit="1" customWidth="1"/>
    <col min="3" max="3" width="18.81640625" style="10" bestFit="1" customWidth="1"/>
    <col min="4" max="6" width="14.81640625" style="10" bestFit="1" customWidth="1"/>
    <col min="7" max="7" width="16.453125" style="10" bestFit="1" customWidth="1"/>
    <col min="8" max="18" width="15.81640625" style="10" bestFit="1" customWidth="1"/>
    <col min="19" max="21" width="12.453125" style="10"/>
    <col min="22" max="22" width="12.453125" style="10" bestFit="1" customWidth="1"/>
    <col min="23" max="26" width="13.7265625" style="10" bestFit="1" customWidth="1"/>
    <col min="27" max="38" width="12.453125" style="10"/>
    <col min="39" max="39" width="14.453125" style="10" customWidth="1"/>
    <col min="40" max="40" width="8" style="10" customWidth="1"/>
    <col min="41" max="41" width="13" style="10" bestFit="1" customWidth="1"/>
    <col min="42" max="43" width="12.453125" style="10"/>
    <col min="44" max="44" width="13" style="10" bestFit="1" customWidth="1"/>
    <col min="45" max="257" width="12.453125" style="10"/>
    <col min="258" max="258" width="21.453125" style="10" bestFit="1" customWidth="1"/>
    <col min="259" max="259" width="18.81640625" style="10" bestFit="1" customWidth="1"/>
    <col min="260" max="262" width="14.81640625" style="10" bestFit="1" customWidth="1"/>
    <col min="263" max="263" width="16.453125" style="10" bestFit="1" customWidth="1"/>
    <col min="264" max="274" width="15.81640625" style="10" bestFit="1" customWidth="1"/>
    <col min="275" max="277" width="12.453125" style="10"/>
    <col min="278" max="278" width="12.453125" style="10" bestFit="1" customWidth="1"/>
    <col min="279" max="282" width="13.7265625" style="10" bestFit="1" customWidth="1"/>
    <col min="283" max="294" width="12.453125" style="10"/>
    <col min="295" max="295" width="22.453125" style="10" bestFit="1" customWidth="1"/>
    <col min="296" max="296" width="12.453125" style="10"/>
    <col min="297" max="297" width="13" style="10" bestFit="1" customWidth="1"/>
    <col min="298" max="299" width="12.453125" style="10"/>
    <col min="300" max="300" width="13" style="10" bestFit="1" customWidth="1"/>
    <col min="301" max="513" width="12.453125" style="10"/>
    <col min="514" max="514" width="21.453125" style="10" bestFit="1" customWidth="1"/>
    <col min="515" max="515" width="18.81640625" style="10" bestFit="1" customWidth="1"/>
    <col min="516" max="518" width="14.81640625" style="10" bestFit="1" customWidth="1"/>
    <col min="519" max="519" width="16.453125" style="10" bestFit="1" customWidth="1"/>
    <col min="520" max="530" width="15.81640625" style="10" bestFit="1" customWidth="1"/>
    <col min="531" max="533" width="12.453125" style="10"/>
    <col min="534" max="534" width="12.453125" style="10" bestFit="1" customWidth="1"/>
    <col min="535" max="538" width="13.7265625" style="10" bestFit="1" customWidth="1"/>
    <col min="539" max="550" width="12.453125" style="10"/>
    <col min="551" max="551" width="22.453125" style="10" bestFit="1" customWidth="1"/>
    <col min="552" max="552" width="12.453125" style="10"/>
    <col min="553" max="553" width="13" style="10" bestFit="1" customWidth="1"/>
    <col min="554" max="555" width="12.453125" style="10"/>
    <col min="556" max="556" width="13" style="10" bestFit="1" customWidth="1"/>
    <col min="557" max="769" width="12.453125" style="10"/>
    <col min="770" max="770" width="21.453125" style="10" bestFit="1" customWidth="1"/>
    <col min="771" max="771" width="18.81640625" style="10" bestFit="1" customWidth="1"/>
    <col min="772" max="774" width="14.81640625" style="10" bestFit="1" customWidth="1"/>
    <col min="775" max="775" width="16.453125" style="10" bestFit="1" customWidth="1"/>
    <col min="776" max="786" width="15.81640625" style="10" bestFit="1" customWidth="1"/>
    <col min="787" max="789" width="12.453125" style="10"/>
    <col min="790" max="790" width="12.453125" style="10" bestFit="1" customWidth="1"/>
    <col min="791" max="794" width="13.7265625" style="10" bestFit="1" customWidth="1"/>
    <col min="795" max="806" width="12.453125" style="10"/>
    <col min="807" max="807" width="22.453125" style="10" bestFit="1" customWidth="1"/>
    <col min="808" max="808" width="12.453125" style="10"/>
    <col min="809" max="809" width="13" style="10" bestFit="1" customWidth="1"/>
    <col min="810" max="811" width="12.453125" style="10"/>
    <col min="812" max="812" width="13" style="10" bestFit="1" customWidth="1"/>
    <col min="813" max="1025" width="12.453125" style="10"/>
    <col min="1026" max="1026" width="21.453125" style="10" bestFit="1" customWidth="1"/>
    <col min="1027" max="1027" width="18.81640625" style="10" bestFit="1" customWidth="1"/>
    <col min="1028" max="1030" width="14.81640625" style="10" bestFit="1" customWidth="1"/>
    <col min="1031" max="1031" width="16.453125" style="10" bestFit="1" customWidth="1"/>
    <col min="1032" max="1042" width="15.81640625" style="10" bestFit="1" customWidth="1"/>
    <col min="1043" max="1045" width="12.453125" style="10"/>
    <col min="1046" max="1046" width="12.453125" style="10" bestFit="1" customWidth="1"/>
    <col min="1047" max="1050" width="13.7265625" style="10" bestFit="1" customWidth="1"/>
    <col min="1051" max="1062" width="12.453125" style="10"/>
    <col min="1063" max="1063" width="22.453125" style="10" bestFit="1" customWidth="1"/>
    <col min="1064" max="1064" width="12.453125" style="10"/>
    <col min="1065" max="1065" width="13" style="10" bestFit="1" customWidth="1"/>
    <col min="1066" max="1067" width="12.453125" style="10"/>
    <col min="1068" max="1068" width="13" style="10" bestFit="1" customWidth="1"/>
    <col min="1069" max="1281" width="12.453125" style="10"/>
    <col min="1282" max="1282" width="21.453125" style="10" bestFit="1" customWidth="1"/>
    <col min="1283" max="1283" width="18.81640625" style="10" bestFit="1" customWidth="1"/>
    <col min="1284" max="1286" width="14.81640625" style="10" bestFit="1" customWidth="1"/>
    <col min="1287" max="1287" width="16.453125" style="10" bestFit="1" customWidth="1"/>
    <col min="1288" max="1298" width="15.81640625" style="10" bestFit="1" customWidth="1"/>
    <col min="1299" max="1301" width="12.453125" style="10"/>
    <col min="1302" max="1302" width="12.453125" style="10" bestFit="1" customWidth="1"/>
    <col min="1303" max="1306" width="13.7265625" style="10" bestFit="1" customWidth="1"/>
    <col min="1307" max="1318" width="12.453125" style="10"/>
    <col min="1319" max="1319" width="22.453125" style="10" bestFit="1" customWidth="1"/>
    <col min="1320" max="1320" width="12.453125" style="10"/>
    <col min="1321" max="1321" width="13" style="10" bestFit="1" customWidth="1"/>
    <col min="1322" max="1323" width="12.453125" style="10"/>
    <col min="1324" max="1324" width="13" style="10" bestFit="1" customWidth="1"/>
    <col min="1325" max="1537" width="12.453125" style="10"/>
    <col min="1538" max="1538" width="21.453125" style="10" bestFit="1" customWidth="1"/>
    <col min="1539" max="1539" width="18.81640625" style="10" bestFit="1" customWidth="1"/>
    <col min="1540" max="1542" width="14.81640625" style="10" bestFit="1" customWidth="1"/>
    <col min="1543" max="1543" width="16.453125" style="10" bestFit="1" customWidth="1"/>
    <col min="1544" max="1554" width="15.81640625" style="10" bestFit="1" customWidth="1"/>
    <col min="1555" max="1557" width="12.453125" style="10"/>
    <col min="1558" max="1558" width="12.453125" style="10" bestFit="1" customWidth="1"/>
    <col min="1559" max="1562" width="13.7265625" style="10" bestFit="1" customWidth="1"/>
    <col min="1563" max="1574" width="12.453125" style="10"/>
    <col min="1575" max="1575" width="22.453125" style="10" bestFit="1" customWidth="1"/>
    <col min="1576" max="1576" width="12.453125" style="10"/>
    <col min="1577" max="1577" width="13" style="10" bestFit="1" customWidth="1"/>
    <col min="1578" max="1579" width="12.453125" style="10"/>
    <col min="1580" max="1580" width="13" style="10" bestFit="1" customWidth="1"/>
    <col min="1581" max="1793" width="12.453125" style="10"/>
    <col min="1794" max="1794" width="21.453125" style="10" bestFit="1" customWidth="1"/>
    <col min="1795" max="1795" width="18.81640625" style="10" bestFit="1" customWidth="1"/>
    <col min="1796" max="1798" width="14.81640625" style="10" bestFit="1" customWidth="1"/>
    <col min="1799" max="1799" width="16.453125" style="10" bestFit="1" customWidth="1"/>
    <col min="1800" max="1810" width="15.81640625" style="10" bestFit="1" customWidth="1"/>
    <col min="1811" max="1813" width="12.453125" style="10"/>
    <col min="1814" max="1814" width="12.453125" style="10" bestFit="1" customWidth="1"/>
    <col min="1815" max="1818" width="13.7265625" style="10" bestFit="1" customWidth="1"/>
    <col min="1819" max="1830" width="12.453125" style="10"/>
    <col min="1831" max="1831" width="22.453125" style="10" bestFit="1" customWidth="1"/>
    <col min="1832" max="1832" width="12.453125" style="10"/>
    <col min="1833" max="1833" width="13" style="10" bestFit="1" customWidth="1"/>
    <col min="1834" max="1835" width="12.453125" style="10"/>
    <col min="1836" max="1836" width="13" style="10" bestFit="1" customWidth="1"/>
    <col min="1837" max="2049" width="12.453125" style="10"/>
    <col min="2050" max="2050" width="21.453125" style="10" bestFit="1" customWidth="1"/>
    <col min="2051" max="2051" width="18.81640625" style="10" bestFit="1" customWidth="1"/>
    <col min="2052" max="2054" width="14.81640625" style="10" bestFit="1" customWidth="1"/>
    <col min="2055" max="2055" width="16.453125" style="10" bestFit="1" customWidth="1"/>
    <col min="2056" max="2066" width="15.81640625" style="10" bestFit="1" customWidth="1"/>
    <col min="2067" max="2069" width="12.453125" style="10"/>
    <col min="2070" max="2070" width="12.453125" style="10" bestFit="1" customWidth="1"/>
    <col min="2071" max="2074" width="13.7265625" style="10" bestFit="1" customWidth="1"/>
    <col min="2075" max="2086" width="12.453125" style="10"/>
    <col min="2087" max="2087" width="22.453125" style="10" bestFit="1" customWidth="1"/>
    <col min="2088" max="2088" width="12.453125" style="10"/>
    <col min="2089" max="2089" width="13" style="10" bestFit="1" customWidth="1"/>
    <col min="2090" max="2091" width="12.453125" style="10"/>
    <col min="2092" max="2092" width="13" style="10" bestFit="1" customWidth="1"/>
    <col min="2093" max="2305" width="12.453125" style="10"/>
    <col min="2306" max="2306" width="21.453125" style="10" bestFit="1" customWidth="1"/>
    <col min="2307" max="2307" width="18.81640625" style="10" bestFit="1" customWidth="1"/>
    <col min="2308" max="2310" width="14.81640625" style="10" bestFit="1" customWidth="1"/>
    <col min="2311" max="2311" width="16.453125" style="10" bestFit="1" customWidth="1"/>
    <col min="2312" max="2322" width="15.81640625" style="10" bestFit="1" customWidth="1"/>
    <col min="2323" max="2325" width="12.453125" style="10"/>
    <col min="2326" max="2326" width="12.453125" style="10" bestFit="1" customWidth="1"/>
    <col min="2327" max="2330" width="13.7265625" style="10" bestFit="1" customWidth="1"/>
    <col min="2331" max="2342" width="12.453125" style="10"/>
    <col min="2343" max="2343" width="22.453125" style="10" bestFit="1" customWidth="1"/>
    <col min="2344" max="2344" width="12.453125" style="10"/>
    <col min="2345" max="2345" width="13" style="10" bestFit="1" customWidth="1"/>
    <col min="2346" max="2347" width="12.453125" style="10"/>
    <col min="2348" max="2348" width="13" style="10" bestFit="1" customWidth="1"/>
    <col min="2349" max="2561" width="12.453125" style="10"/>
    <col min="2562" max="2562" width="21.453125" style="10" bestFit="1" customWidth="1"/>
    <col min="2563" max="2563" width="18.81640625" style="10" bestFit="1" customWidth="1"/>
    <col min="2564" max="2566" width="14.81640625" style="10" bestFit="1" customWidth="1"/>
    <col min="2567" max="2567" width="16.453125" style="10" bestFit="1" customWidth="1"/>
    <col min="2568" max="2578" width="15.81640625" style="10" bestFit="1" customWidth="1"/>
    <col min="2579" max="2581" width="12.453125" style="10"/>
    <col min="2582" max="2582" width="12.453125" style="10" bestFit="1" customWidth="1"/>
    <col min="2583" max="2586" width="13.7265625" style="10" bestFit="1" customWidth="1"/>
    <col min="2587" max="2598" width="12.453125" style="10"/>
    <col min="2599" max="2599" width="22.453125" style="10" bestFit="1" customWidth="1"/>
    <col min="2600" max="2600" width="12.453125" style="10"/>
    <col min="2601" max="2601" width="13" style="10" bestFit="1" customWidth="1"/>
    <col min="2602" max="2603" width="12.453125" style="10"/>
    <col min="2604" max="2604" width="13" style="10" bestFit="1" customWidth="1"/>
    <col min="2605" max="2817" width="12.453125" style="10"/>
    <col min="2818" max="2818" width="21.453125" style="10" bestFit="1" customWidth="1"/>
    <col min="2819" max="2819" width="18.81640625" style="10" bestFit="1" customWidth="1"/>
    <col min="2820" max="2822" width="14.81640625" style="10" bestFit="1" customWidth="1"/>
    <col min="2823" max="2823" width="16.453125" style="10" bestFit="1" customWidth="1"/>
    <col min="2824" max="2834" width="15.81640625" style="10" bestFit="1" customWidth="1"/>
    <col min="2835" max="2837" width="12.453125" style="10"/>
    <col min="2838" max="2838" width="12.453125" style="10" bestFit="1" customWidth="1"/>
    <col min="2839" max="2842" width="13.7265625" style="10" bestFit="1" customWidth="1"/>
    <col min="2843" max="2854" width="12.453125" style="10"/>
    <col min="2855" max="2855" width="22.453125" style="10" bestFit="1" customWidth="1"/>
    <col min="2856" max="2856" width="12.453125" style="10"/>
    <col min="2857" max="2857" width="13" style="10" bestFit="1" customWidth="1"/>
    <col min="2858" max="2859" width="12.453125" style="10"/>
    <col min="2860" max="2860" width="13" style="10" bestFit="1" customWidth="1"/>
    <col min="2861" max="3073" width="12.453125" style="10"/>
    <col min="3074" max="3074" width="21.453125" style="10" bestFit="1" customWidth="1"/>
    <col min="3075" max="3075" width="18.81640625" style="10" bestFit="1" customWidth="1"/>
    <col min="3076" max="3078" width="14.81640625" style="10" bestFit="1" customWidth="1"/>
    <col min="3079" max="3079" width="16.453125" style="10" bestFit="1" customWidth="1"/>
    <col min="3080" max="3090" width="15.81640625" style="10" bestFit="1" customWidth="1"/>
    <col min="3091" max="3093" width="12.453125" style="10"/>
    <col min="3094" max="3094" width="12.453125" style="10" bestFit="1" customWidth="1"/>
    <col min="3095" max="3098" width="13.7265625" style="10" bestFit="1" customWidth="1"/>
    <col min="3099" max="3110" width="12.453125" style="10"/>
    <col min="3111" max="3111" width="22.453125" style="10" bestFit="1" customWidth="1"/>
    <col min="3112" max="3112" width="12.453125" style="10"/>
    <col min="3113" max="3113" width="13" style="10" bestFit="1" customWidth="1"/>
    <col min="3114" max="3115" width="12.453125" style="10"/>
    <col min="3116" max="3116" width="13" style="10" bestFit="1" customWidth="1"/>
    <col min="3117" max="3329" width="12.453125" style="10"/>
    <col min="3330" max="3330" width="21.453125" style="10" bestFit="1" customWidth="1"/>
    <col min="3331" max="3331" width="18.81640625" style="10" bestFit="1" customWidth="1"/>
    <col min="3332" max="3334" width="14.81640625" style="10" bestFit="1" customWidth="1"/>
    <col min="3335" max="3335" width="16.453125" style="10" bestFit="1" customWidth="1"/>
    <col min="3336" max="3346" width="15.81640625" style="10" bestFit="1" customWidth="1"/>
    <col min="3347" max="3349" width="12.453125" style="10"/>
    <col min="3350" max="3350" width="12.453125" style="10" bestFit="1" customWidth="1"/>
    <col min="3351" max="3354" width="13.7265625" style="10" bestFit="1" customWidth="1"/>
    <col min="3355" max="3366" width="12.453125" style="10"/>
    <col min="3367" max="3367" width="22.453125" style="10" bestFit="1" customWidth="1"/>
    <col min="3368" max="3368" width="12.453125" style="10"/>
    <col min="3369" max="3369" width="13" style="10" bestFit="1" customWidth="1"/>
    <col min="3370" max="3371" width="12.453125" style="10"/>
    <col min="3372" max="3372" width="13" style="10" bestFit="1" customWidth="1"/>
    <col min="3373" max="3585" width="12.453125" style="10"/>
    <col min="3586" max="3586" width="21.453125" style="10" bestFit="1" customWidth="1"/>
    <col min="3587" max="3587" width="18.81640625" style="10" bestFit="1" customWidth="1"/>
    <col min="3588" max="3590" width="14.81640625" style="10" bestFit="1" customWidth="1"/>
    <col min="3591" max="3591" width="16.453125" style="10" bestFit="1" customWidth="1"/>
    <col min="3592" max="3602" width="15.81640625" style="10" bestFit="1" customWidth="1"/>
    <col min="3603" max="3605" width="12.453125" style="10"/>
    <col min="3606" max="3606" width="12.453125" style="10" bestFit="1" customWidth="1"/>
    <col min="3607" max="3610" width="13.7265625" style="10" bestFit="1" customWidth="1"/>
    <col min="3611" max="3622" width="12.453125" style="10"/>
    <col min="3623" max="3623" width="22.453125" style="10" bestFit="1" customWidth="1"/>
    <col min="3624" max="3624" width="12.453125" style="10"/>
    <col min="3625" max="3625" width="13" style="10" bestFit="1" customWidth="1"/>
    <col min="3626" max="3627" width="12.453125" style="10"/>
    <col min="3628" max="3628" width="13" style="10" bestFit="1" customWidth="1"/>
    <col min="3629" max="3841" width="12.453125" style="10"/>
    <col min="3842" max="3842" width="21.453125" style="10" bestFit="1" customWidth="1"/>
    <col min="3843" max="3843" width="18.81640625" style="10" bestFit="1" customWidth="1"/>
    <col min="3844" max="3846" width="14.81640625" style="10" bestFit="1" customWidth="1"/>
    <col min="3847" max="3847" width="16.453125" style="10" bestFit="1" customWidth="1"/>
    <col min="3848" max="3858" width="15.81640625" style="10" bestFit="1" customWidth="1"/>
    <col min="3859" max="3861" width="12.453125" style="10"/>
    <col min="3862" max="3862" width="12.453125" style="10" bestFit="1" customWidth="1"/>
    <col min="3863" max="3866" width="13.7265625" style="10" bestFit="1" customWidth="1"/>
    <col min="3867" max="3878" width="12.453125" style="10"/>
    <col min="3879" max="3879" width="22.453125" style="10" bestFit="1" customWidth="1"/>
    <col min="3880" max="3880" width="12.453125" style="10"/>
    <col min="3881" max="3881" width="13" style="10" bestFit="1" customWidth="1"/>
    <col min="3882" max="3883" width="12.453125" style="10"/>
    <col min="3884" max="3884" width="13" style="10" bestFit="1" customWidth="1"/>
    <col min="3885" max="4097" width="12.453125" style="10"/>
    <col min="4098" max="4098" width="21.453125" style="10" bestFit="1" customWidth="1"/>
    <col min="4099" max="4099" width="18.81640625" style="10" bestFit="1" customWidth="1"/>
    <col min="4100" max="4102" width="14.81640625" style="10" bestFit="1" customWidth="1"/>
    <col min="4103" max="4103" width="16.453125" style="10" bestFit="1" customWidth="1"/>
    <col min="4104" max="4114" width="15.81640625" style="10" bestFit="1" customWidth="1"/>
    <col min="4115" max="4117" width="12.453125" style="10"/>
    <col min="4118" max="4118" width="12.453125" style="10" bestFit="1" customWidth="1"/>
    <col min="4119" max="4122" width="13.7265625" style="10" bestFit="1" customWidth="1"/>
    <col min="4123" max="4134" width="12.453125" style="10"/>
    <col min="4135" max="4135" width="22.453125" style="10" bestFit="1" customWidth="1"/>
    <col min="4136" max="4136" width="12.453125" style="10"/>
    <col min="4137" max="4137" width="13" style="10" bestFit="1" customWidth="1"/>
    <col min="4138" max="4139" width="12.453125" style="10"/>
    <col min="4140" max="4140" width="13" style="10" bestFit="1" customWidth="1"/>
    <col min="4141" max="4353" width="12.453125" style="10"/>
    <col min="4354" max="4354" width="21.453125" style="10" bestFit="1" customWidth="1"/>
    <col min="4355" max="4355" width="18.81640625" style="10" bestFit="1" customWidth="1"/>
    <col min="4356" max="4358" width="14.81640625" style="10" bestFit="1" customWidth="1"/>
    <col min="4359" max="4359" width="16.453125" style="10" bestFit="1" customWidth="1"/>
    <col min="4360" max="4370" width="15.81640625" style="10" bestFit="1" customWidth="1"/>
    <col min="4371" max="4373" width="12.453125" style="10"/>
    <col min="4374" max="4374" width="12.453125" style="10" bestFit="1" customWidth="1"/>
    <col min="4375" max="4378" width="13.7265625" style="10" bestFit="1" customWidth="1"/>
    <col min="4379" max="4390" width="12.453125" style="10"/>
    <col min="4391" max="4391" width="22.453125" style="10" bestFit="1" customWidth="1"/>
    <col min="4392" max="4392" width="12.453125" style="10"/>
    <col min="4393" max="4393" width="13" style="10" bestFit="1" customWidth="1"/>
    <col min="4394" max="4395" width="12.453125" style="10"/>
    <col min="4396" max="4396" width="13" style="10" bestFit="1" customWidth="1"/>
    <col min="4397" max="4609" width="12.453125" style="10"/>
    <col min="4610" max="4610" width="21.453125" style="10" bestFit="1" customWidth="1"/>
    <col min="4611" max="4611" width="18.81640625" style="10" bestFit="1" customWidth="1"/>
    <col min="4612" max="4614" width="14.81640625" style="10" bestFit="1" customWidth="1"/>
    <col min="4615" max="4615" width="16.453125" style="10" bestFit="1" customWidth="1"/>
    <col min="4616" max="4626" width="15.81640625" style="10" bestFit="1" customWidth="1"/>
    <col min="4627" max="4629" width="12.453125" style="10"/>
    <col min="4630" max="4630" width="12.453125" style="10" bestFit="1" customWidth="1"/>
    <col min="4631" max="4634" width="13.7265625" style="10" bestFit="1" customWidth="1"/>
    <col min="4635" max="4646" width="12.453125" style="10"/>
    <col min="4647" max="4647" width="22.453125" style="10" bestFit="1" customWidth="1"/>
    <col min="4648" max="4648" width="12.453125" style="10"/>
    <col min="4649" max="4649" width="13" style="10" bestFit="1" customWidth="1"/>
    <col min="4650" max="4651" width="12.453125" style="10"/>
    <col min="4652" max="4652" width="13" style="10" bestFit="1" customWidth="1"/>
    <col min="4653" max="4865" width="12.453125" style="10"/>
    <col min="4866" max="4866" width="21.453125" style="10" bestFit="1" customWidth="1"/>
    <col min="4867" max="4867" width="18.81640625" style="10" bestFit="1" customWidth="1"/>
    <col min="4868" max="4870" width="14.81640625" style="10" bestFit="1" customWidth="1"/>
    <col min="4871" max="4871" width="16.453125" style="10" bestFit="1" customWidth="1"/>
    <col min="4872" max="4882" width="15.81640625" style="10" bestFit="1" customWidth="1"/>
    <col min="4883" max="4885" width="12.453125" style="10"/>
    <col min="4886" max="4886" width="12.453125" style="10" bestFit="1" customWidth="1"/>
    <col min="4887" max="4890" width="13.7265625" style="10" bestFit="1" customWidth="1"/>
    <col min="4891" max="4902" width="12.453125" style="10"/>
    <col min="4903" max="4903" width="22.453125" style="10" bestFit="1" customWidth="1"/>
    <col min="4904" max="4904" width="12.453125" style="10"/>
    <col min="4905" max="4905" width="13" style="10" bestFit="1" customWidth="1"/>
    <col min="4906" max="4907" width="12.453125" style="10"/>
    <col min="4908" max="4908" width="13" style="10" bestFit="1" customWidth="1"/>
    <col min="4909" max="5121" width="12.453125" style="10"/>
    <col min="5122" max="5122" width="21.453125" style="10" bestFit="1" customWidth="1"/>
    <col min="5123" max="5123" width="18.81640625" style="10" bestFit="1" customWidth="1"/>
    <col min="5124" max="5126" width="14.81640625" style="10" bestFit="1" customWidth="1"/>
    <col min="5127" max="5127" width="16.453125" style="10" bestFit="1" customWidth="1"/>
    <col min="5128" max="5138" width="15.81640625" style="10" bestFit="1" customWidth="1"/>
    <col min="5139" max="5141" width="12.453125" style="10"/>
    <col min="5142" max="5142" width="12.453125" style="10" bestFit="1" customWidth="1"/>
    <col min="5143" max="5146" width="13.7265625" style="10" bestFit="1" customWidth="1"/>
    <col min="5147" max="5158" width="12.453125" style="10"/>
    <col min="5159" max="5159" width="22.453125" style="10" bestFit="1" customWidth="1"/>
    <col min="5160" max="5160" width="12.453125" style="10"/>
    <col min="5161" max="5161" width="13" style="10" bestFit="1" customWidth="1"/>
    <col min="5162" max="5163" width="12.453125" style="10"/>
    <col min="5164" max="5164" width="13" style="10" bestFit="1" customWidth="1"/>
    <col min="5165" max="5377" width="12.453125" style="10"/>
    <col min="5378" max="5378" width="21.453125" style="10" bestFit="1" customWidth="1"/>
    <col min="5379" max="5379" width="18.81640625" style="10" bestFit="1" customWidth="1"/>
    <col min="5380" max="5382" width="14.81640625" style="10" bestFit="1" customWidth="1"/>
    <col min="5383" max="5383" width="16.453125" style="10" bestFit="1" customWidth="1"/>
    <col min="5384" max="5394" width="15.81640625" style="10" bestFit="1" customWidth="1"/>
    <col min="5395" max="5397" width="12.453125" style="10"/>
    <col min="5398" max="5398" width="12.453125" style="10" bestFit="1" customWidth="1"/>
    <col min="5399" max="5402" width="13.7265625" style="10" bestFit="1" customWidth="1"/>
    <col min="5403" max="5414" width="12.453125" style="10"/>
    <col min="5415" max="5415" width="22.453125" style="10" bestFit="1" customWidth="1"/>
    <col min="5416" max="5416" width="12.453125" style="10"/>
    <col min="5417" max="5417" width="13" style="10" bestFit="1" customWidth="1"/>
    <col min="5418" max="5419" width="12.453125" style="10"/>
    <col min="5420" max="5420" width="13" style="10" bestFit="1" customWidth="1"/>
    <col min="5421" max="5633" width="12.453125" style="10"/>
    <col min="5634" max="5634" width="21.453125" style="10" bestFit="1" customWidth="1"/>
    <col min="5635" max="5635" width="18.81640625" style="10" bestFit="1" customWidth="1"/>
    <col min="5636" max="5638" width="14.81640625" style="10" bestFit="1" customWidth="1"/>
    <col min="5639" max="5639" width="16.453125" style="10" bestFit="1" customWidth="1"/>
    <col min="5640" max="5650" width="15.81640625" style="10" bestFit="1" customWidth="1"/>
    <col min="5651" max="5653" width="12.453125" style="10"/>
    <col min="5654" max="5654" width="12.453125" style="10" bestFit="1" customWidth="1"/>
    <col min="5655" max="5658" width="13.7265625" style="10" bestFit="1" customWidth="1"/>
    <col min="5659" max="5670" width="12.453125" style="10"/>
    <col min="5671" max="5671" width="22.453125" style="10" bestFit="1" customWidth="1"/>
    <col min="5672" max="5672" width="12.453125" style="10"/>
    <col min="5673" max="5673" width="13" style="10" bestFit="1" customWidth="1"/>
    <col min="5674" max="5675" width="12.453125" style="10"/>
    <col min="5676" max="5676" width="13" style="10" bestFit="1" customWidth="1"/>
    <col min="5677" max="5889" width="12.453125" style="10"/>
    <col min="5890" max="5890" width="21.453125" style="10" bestFit="1" customWidth="1"/>
    <col min="5891" max="5891" width="18.81640625" style="10" bestFit="1" customWidth="1"/>
    <col min="5892" max="5894" width="14.81640625" style="10" bestFit="1" customWidth="1"/>
    <col min="5895" max="5895" width="16.453125" style="10" bestFit="1" customWidth="1"/>
    <col min="5896" max="5906" width="15.81640625" style="10" bestFit="1" customWidth="1"/>
    <col min="5907" max="5909" width="12.453125" style="10"/>
    <col min="5910" max="5910" width="12.453125" style="10" bestFit="1" customWidth="1"/>
    <col min="5911" max="5914" width="13.7265625" style="10" bestFit="1" customWidth="1"/>
    <col min="5915" max="5926" width="12.453125" style="10"/>
    <col min="5927" max="5927" width="22.453125" style="10" bestFit="1" customWidth="1"/>
    <col min="5928" max="5928" width="12.453125" style="10"/>
    <col min="5929" max="5929" width="13" style="10" bestFit="1" customWidth="1"/>
    <col min="5930" max="5931" width="12.453125" style="10"/>
    <col min="5932" max="5932" width="13" style="10" bestFit="1" customWidth="1"/>
    <col min="5933" max="6145" width="12.453125" style="10"/>
    <col min="6146" max="6146" width="21.453125" style="10" bestFit="1" customWidth="1"/>
    <col min="6147" max="6147" width="18.81640625" style="10" bestFit="1" customWidth="1"/>
    <col min="6148" max="6150" width="14.81640625" style="10" bestFit="1" customWidth="1"/>
    <col min="6151" max="6151" width="16.453125" style="10" bestFit="1" customWidth="1"/>
    <col min="6152" max="6162" width="15.81640625" style="10" bestFit="1" customWidth="1"/>
    <col min="6163" max="6165" width="12.453125" style="10"/>
    <col min="6166" max="6166" width="12.453125" style="10" bestFit="1" customWidth="1"/>
    <col min="6167" max="6170" width="13.7265625" style="10" bestFit="1" customWidth="1"/>
    <col min="6171" max="6182" width="12.453125" style="10"/>
    <col min="6183" max="6183" width="22.453125" style="10" bestFit="1" customWidth="1"/>
    <col min="6184" max="6184" width="12.453125" style="10"/>
    <col min="6185" max="6185" width="13" style="10" bestFit="1" customWidth="1"/>
    <col min="6186" max="6187" width="12.453125" style="10"/>
    <col min="6188" max="6188" width="13" style="10" bestFit="1" customWidth="1"/>
    <col min="6189" max="6401" width="12.453125" style="10"/>
    <col min="6402" max="6402" width="21.453125" style="10" bestFit="1" customWidth="1"/>
    <col min="6403" max="6403" width="18.81640625" style="10" bestFit="1" customWidth="1"/>
    <col min="6404" max="6406" width="14.81640625" style="10" bestFit="1" customWidth="1"/>
    <col min="6407" max="6407" width="16.453125" style="10" bestFit="1" customWidth="1"/>
    <col min="6408" max="6418" width="15.81640625" style="10" bestFit="1" customWidth="1"/>
    <col min="6419" max="6421" width="12.453125" style="10"/>
    <col min="6422" max="6422" width="12.453125" style="10" bestFit="1" customWidth="1"/>
    <col min="6423" max="6426" width="13.7265625" style="10" bestFit="1" customWidth="1"/>
    <col min="6427" max="6438" width="12.453125" style="10"/>
    <col min="6439" max="6439" width="22.453125" style="10" bestFit="1" customWidth="1"/>
    <col min="6440" max="6440" width="12.453125" style="10"/>
    <col min="6441" max="6441" width="13" style="10" bestFit="1" customWidth="1"/>
    <col min="6442" max="6443" width="12.453125" style="10"/>
    <col min="6444" max="6444" width="13" style="10" bestFit="1" customWidth="1"/>
    <col min="6445" max="6657" width="12.453125" style="10"/>
    <col min="6658" max="6658" width="21.453125" style="10" bestFit="1" customWidth="1"/>
    <col min="6659" max="6659" width="18.81640625" style="10" bestFit="1" customWidth="1"/>
    <col min="6660" max="6662" width="14.81640625" style="10" bestFit="1" customWidth="1"/>
    <col min="6663" max="6663" width="16.453125" style="10" bestFit="1" customWidth="1"/>
    <col min="6664" max="6674" width="15.81640625" style="10" bestFit="1" customWidth="1"/>
    <col min="6675" max="6677" width="12.453125" style="10"/>
    <col min="6678" max="6678" width="12.453125" style="10" bestFit="1" customWidth="1"/>
    <col min="6679" max="6682" width="13.7265625" style="10" bestFit="1" customWidth="1"/>
    <col min="6683" max="6694" width="12.453125" style="10"/>
    <col min="6695" max="6695" width="22.453125" style="10" bestFit="1" customWidth="1"/>
    <col min="6696" max="6696" width="12.453125" style="10"/>
    <col min="6697" max="6697" width="13" style="10" bestFit="1" customWidth="1"/>
    <col min="6698" max="6699" width="12.453125" style="10"/>
    <col min="6700" max="6700" width="13" style="10" bestFit="1" customWidth="1"/>
    <col min="6701" max="6913" width="12.453125" style="10"/>
    <col min="6914" max="6914" width="21.453125" style="10" bestFit="1" customWidth="1"/>
    <col min="6915" max="6915" width="18.81640625" style="10" bestFit="1" customWidth="1"/>
    <col min="6916" max="6918" width="14.81640625" style="10" bestFit="1" customWidth="1"/>
    <col min="6919" max="6919" width="16.453125" style="10" bestFit="1" customWidth="1"/>
    <col min="6920" max="6930" width="15.81640625" style="10" bestFit="1" customWidth="1"/>
    <col min="6931" max="6933" width="12.453125" style="10"/>
    <col min="6934" max="6934" width="12.453125" style="10" bestFit="1" customWidth="1"/>
    <col min="6935" max="6938" width="13.7265625" style="10" bestFit="1" customWidth="1"/>
    <col min="6939" max="6950" width="12.453125" style="10"/>
    <col min="6951" max="6951" width="22.453125" style="10" bestFit="1" customWidth="1"/>
    <col min="6952" max="6952" width="12.453125" style="10"/>
    <col min="6953" max="6953" width="13" style="10" bestFit="1" customWidth="1"/>
    <col min="6954" max="6955" width="12.453125" style="10"/>
    <col min="6956" max="6956" width="13" style="10" bestFit="1" customWidth="1"/>
    <col min="6957" max="7169" width="12.453125" style="10"/>
    <col min="7170" max="7170" width="21.453125" style="10" bestFit="1" customWidth="1"/>
    <col min="7171" max="7171" width="18.81640625" style="10" bestFit="1" customWidth="1"/>
    <col min="7172" max="7174" width="14.81640625" style="10" bestFit="1" customWidth="1"/>
    <col min="7175" max="7175" width="16.453125" style="10" bestFit="1" customWidth="1"/>
    <col min="7176" max="7186" width="15.81640625" style="10" bestFit="1" customWidth="1"/>
    <col min="7187" max="7189" width="12.453125" style="10"/>
    <col min="7190" max="7190" width="12.453125" style="10" bestFit="1" customWidth="1"/>
    <col min="7191" max="7194" width="13.7265625" style="10" bestFit="1" customWidth="1"/>
    <col min="7195" max="7206" width="12.453125" style="10"/>
    <col min="7207" max="7207" width="22.453125" style="10" bestFit="1" customWidth="1"/>
    <col min="7208" max="7208" width="12.453125" style="10"/>
    <col min="7209" max="7209" width="13" style="10" bestFit="1" customWidth="1"/>
    <col min="7210" max="7211" width="12.453125" style="10"/>
    <col min="7212" max="7212" width="13" style="10" bestFit="1" customWidth="1"/>
    <col min="7213" max="7425" width="12.453125" style="10"/>
    <col min="7426" max="7426" width="21.453125" style="10" bestFit="1" customWidth="1"/>
    <col min="7427" max="7427" width="18.81640625" style="10" bestFit="1" customWidth="1"/>
    <col min="7428" max="7430" width="14.81640625" style="10" bestFit="1" customWidth="1"/>
    <col min="7431" max="7431" width="16.453125" style="10" bestFit="1" customWidth="1"/>
    <col min="7432" max="7442" width="15.81640625" style="10" bestFit="1" customWidth="1"/>
    <col min="7443" max="7445" width="12.453125" style="10"/>
    <col min="7446" max="7446" width="12.453125" style="10" bestFit="1" customWidth="1"/>
    <col min="7447" max="7450" width="13.7265625" style="10" bestFit="1" customWidth="1"/>
    <col min="7451" max="7462" width="12.453125" style="10"/>
    <col min="7463" max="7463" width="22.453125" style="10" bestFit="1" customWidth="1"/>
    <col min="7464" max="7464" width="12.453125" style="10"/>
    <col min="7465" max="7465" width="13" style="10" bestFit="1" customWidth="1"/>
    <col min="7466" max="7467" width="12.453125" style="10"/>
    <col min="7468" max="7468" width="13" style="10" bestFit="1" customWidth="1"/>
    <col min="7469" max="7681" width="12.453125" style="10"/>
    <col min="7682" max="7682" width="21.453125" style="10" bestFit="1" customWidth="1"/>
    <col min="7683" max="7683" width="18.81640625" style="10" bestFit="1" customWidth="1"/>
    <col min="7684" max="7686" width="14.81640625" style="10" bestFit="1" customWidth="1"/>
    <col min="7687" max="7687" width="16.453125" style="10" bestFit="1" customWidth="1"/>
    <col min="7688" max="7698" width="15.81640625" style="10" bestFit="1" customWidth="1"/>
    <col min="7699" max="7701" width="12.453125" style="10"/>
    <col min="7702" max="7702" width="12.453125" style="10" bestFit="1" customWidth="1"/>
    <col min="7703" max="7706" width="13.7265625" style="10" bestFit="1" customWidth="1"/>
    <col min="7707" max="7718" width="12.453125" style="10"/>
    <col min="7719" max="7719" width="22.453125" style="10" bestFit="1" customWidth="1"/>
    <col min="7720" max="7720" width="12.453125" style="10"/>
    <col min="7721" max="7721" width="13" style="10" bestFit="1" customWidth="1"/>
    <col min="7722" max="7723" width="12.453125" style="10"/>
    <col min="7724" max="7724" width="13" style="10" bestFit="1" customWidth="1"/>
    <col min="7725" max="7937" width="12.453125" style="10"/>
    <col min="7938" max="7938" width="21.453125" style="10" bestFit="1" customWidth="1"/>
    <col min="7939" max="7939" width="18.81640625" style="10" bestFit="1" customWidth="1"/>
    <col min="7940" max="7942" width="14.81640625" style="10" bestFit="1" customWidth="1"/>
    <col min="7943" max="7943" width="16.453125" style="10" bestFit="1" customWidth="1"/>
    <col min="7944" max="7954" width="15.81640625" style="10" bestFit="1" customWidth="1"/>
    <col min="7955" max="7957" width="12.453125" style="10"/>
    <col min="7958" max="7958" width="12.453125" style="10" bestFit="1" customWidth="1"/>
    <col min="7959" max="7962" width="13.7265625" style="10" bestFit="1" customWidth="1"/>
    <col min="7963" max="7974" width="12.453125" style="10"/>
    <col min="7975" max="7975" width="22.453125" style="10" bestFit="1" customWidth="1"/>
    <col min="7976" max="7976" width="12.453125" style="10"/>
    <col min="7977" max="7977" width="13" style="10" bestFit="1" customWidth="1"/>
    <col min="7978" max="7979" width="12.453125" style="10"/>
    <col min="7980" max="7980" width="13" style="10" bestFit="1" customWidth="1"/>
    <col min="7981" max="8193" width="12.453125" style="10"/>
    <col min="8194" max="8194" width="21.453125" style="10" bestFit="1" customWidth="1"/>
    <col min="8195" max="8195" width="18.81640625" style="10" bestFit="1" customWidth="1"/>
    <col min="8196" max="8198" width="14.81640625" style="10" bestFit="1" customWidth="1"/>
    <col min="8199" max="8199" width="16.453125" style="10" bestFit="1" customWidth="1"/>
    <col min="8200" max="8210" width="15.81640625" style="10" bestFit="1" customWidth="1"/>
    <col min="8211" max="8213" width="12.453125" style="10"/>
    <col min="8214" max="8214" width="12.453125" style="10" bestFit="1" customWidth="1"/>
    <col min="8215" max="8218" width="13.7265625" style="10" bestFit="1" customWidth="1"/>
    <col min="8219" max="8230" width="12.453125" style="10"/>
    <col min="8231" max="8231" width="22.453125" style="10" bestFit="1" customWidth="1"/>
    <col min="8232" max="8232" width="12.453125" style="10"/>
    <col min="8233" max="8233" width="13" style="10" bestFit="1" customWidth="1"/>
    <col min="8234" max="8235" width="12.453125" style="10"/>
    <col min="8236" max="8236" width="13" style="10" bestFit="1" customWidth="1"/>
    <col min="8237" max="8449" width="12.453125" style="10"/>
    <col min="8450" max="8450" width="21.453125" style="10" bestFit="1" customWidth="1"/>
    <col min="8451" max="8451" width="18.81640625" style="10" bestFit="1" customWidth="1"/>
    <col min="8452" max="8454" width="14.81640625" style="10" bestFit="1" customWidth="1"/>
    <col min="8455" max="8455" width="16.453125" style="10" bestFit="1" customWidth="1"/>
    <col min="8456" max="8466" width="15.81640625" style="10" bestFit="1" customWidth="1"/>
    <col min="8467" max="8469" width="12.453125" style="10"/>
    <col min="8470" max="8470" width="12.453125" style="10" bestFit="1" customWidth="1"/>
    <col min="8471" max="8474" width="13.7265625" style="10" bestFit="1" customWidth="1"/>
    <col min="8475" max="8486" width="12.453125" style="10"/>
    <col min="8487" max="8487" width="22.453125" style="10" bestFit="1" customWidth="1"/>
    <col min="8488" max="8488" width="12.453125" style="10"/>
    <col min="8489" max="8489" width="13" style="10" bestFit="1" customWidth="1"/>
    <col min="8490" max="8491" width="12.453125" style="10"/>
    <col min="8492" max="8492" width="13" style="10" bestFit="1" customWidth="1"/>
    <col min="8493" max="8705" width="12.453125" style="10"/>
    <col min="8706" max="8706" width="21.453125" style="10" bestFit="1" customWidth="1"/>
    <col min="8707" max="8707" width="18.81640625" style="10" bestFit="1" customWidth="1"/>
    <col min="8708" max="8710" width="14.81640625" style="10" bestFit="1" customWidth="1"/>
    <col min="8711" max="8711" width="16.453125" style="10" bestFit="1" customWidth="1"/>
    <col min="8712" max="8722" width="15.81640625" style="10" bestFit="1" customWidth="1"/>
    <col min="8723" max="8725" width="12.453125" style="10"/>
    <col min="8726" max="8726" width="12.453125" style="10" bestFit="1" customWidth="1"/>
    <col min="8727" max="8730" width="13.7265625" style="10" bestFit="1" customWidth="1"/>
    <col min="8731" max="8742" width="12.453125" style="10"/>
    <col min="8743" max="8743" width="22.453125" style="10" bestFit="1" customWidth="1"/>
    <col min="8744" max="8744" width="12.453125" style="10"/>
    <col min="8745" max="8745" width="13" style="10" bestFit="1" customWidth="1"/>
    <col min="8746" max="8747" width="12.453125" style="10"/>
    <col min="8748" max="8748" width="13" style="10" bestFit="1" customWidth="1"/>
    <col min="8749" max="8961" width="12.453125" style="10"/>
    <col min="8962" max="8962" width="21.453125" style="10" bestFit="1" customWidth="1"/>
    <col min="8963" max="8963" width="18.81640625" style="10" bestFit="1" customWidth="1"/>
    <col min="8964" max="8966" width="14.81640625" style="10" bestFit="1" customWidth="1"/>
    <col min="8967" max="8967" width="16.453125" style="10" bestFit="1" customWidth="1"/>
    <col min="8968" max="8978" width="15.81640625" style="10" bestFit="1" customWidth="1"/>
    <col min="8979" max="8981" width="12.453125" style="10"/>
    <col min="8982" max="8982" width="12.453125" style="10" bestFit="1" customWidth="1"/>
    <col min="8983" max="8986" width="13.7265625" style="10" bestFit="1" customWidth="1"/>
    <col min="8987" max="8998" width="12.453125" style="10"/>
    <col min="8999" max="8999" width="22.453125" style="10" bestFit="1" customWidth="1"/>
    <col min="9000" max="9000" width="12.453125" style="10"/>
    <col min="9001" max="9001" width="13" style="10" bestFit="1" customWidth="1"/>
    <col min="9002" max="9003" width="12.453125" style="10"/>
    <col min="9004" max="9004" width="13" style="10" bestFit="1" customWidth="1"/>
    <col min="9005" max="9217" width="12.453125" style="10"/>
    <col min="9218" max="9218" width="21.453125" style="10" bestFit="1" customWidth="1"/>
    <col min="9219" max="9219" width="18.81640625" style="10" bestFit="1" customWidth="1"/>
    <col min="9220" max="9222" width="14.81640625" style="10" bestFit="1" customWidth="1"/>
    <col min="9223" max="9223" width="16.453125" style="10" bestFit="1" customWidth="1"/>
    <col min="9224" max="9234" width="15.81640625" style="10" bestFit="1" customWidth="1"/>
    <col min="9235" max="9237" width="12.453125" style="10"/>
    <col min="9238" max="9238" width="12.453125" style="10" bestFit="1" customWidth="1"/>
    <col min="9239" max="9242" width="13.7265625" style="10" bestFit="1" customWidth="1"/>
    <col min="9243" max="9254" width="12.453125" style="10"/>
    <col min="9255" max="9255" width="22.453125" style="10" bestFit="1" customWidth="1"/>
    <col min="9256" max="9256" width="12.453125" style="10"/>
    <col min="9257" max="9257" width="13" style="10" bestFit="1" customWidth="1"/>
    <col min="9258" max="9259" width="12.453125" style="10"/>
    <col min="9260" max="9260" width="13" style="10" bestFit="1" customWidth="1"/>
    <col min="9261" max="9473" width="12.453125" style="10"/>
    <col min="9474" max="9474" width="21.453125" style="10" bestFit="1" customWidth="1"/>
    <col min="9475" max="9475" width="18.81640625" style="10" bestFit="1" customWidth="1"/>
    <col min="9476" max="9478" width="14.81640625" style="10" bestFit="1" customWidth="1"/>
    <col min="9479" max="9479" width="16.453125" style="10" bestFit="1" customWidth="1"/>
    <col min="9480" max="9490" width="15.81640625" style="10" bestFit="1" customWidth="1"/>
    <col min="9491" max="9493" width="12.453125" style="10"/>
    <col min="9494" max="9494" width="12.453125" style="10" bestFit="1" customWidth="1"/>
    <col min="9495" max="9498" width="13.7265625" style="10" bestFit="1" customWidth="1"/>
    <col min="9499" max="9510" width="12.453125" style="10"/>
    <col min="9511" max="9511" width="22.453125" style="10" bestFit="1" customWidth="1"/>
    <col min="9512" max="9512" width="12.453125" style="10"/>
    <col min="9513" max="9513" width="13" style="10" bestFit="1" customWidth="1"/>
    <col min="9514" max="9515" width="12.453125" style="10"/>
    <col min="9516" max="9516" width="13" style="10" bestFit="1" customWidth="1"/>
    <col min="9517" max="9729" width="12.453125" style="10"/>
    <col min="9730" max="9730" width="21.453125" style="10" bestFit="1" customWidth="1"/>
    <col min="9731" max="9731" width="18.81640625" style="10" bestFit="1" customWidth="1"/>
    <col min="9732" max="9734" width="14.81640625" style="10" bestFit="1" customWidth="1"/>
    <col min="9735" max="9735" width="16.453125" style="10" bestFit="1" customWidth="1"/>
    <col min="9736" max="9746" width="15.81640625" style="10" bestFit="1" customWidth="1"/>
    <col min="9747" max="9749" width="12.453125" style="10"/>
    <col min="9750" max="9750" width="12.453125" style="10" bestFit="1" customWidth="1"/>
    <col min="9751" max="9754" width="13.7265625" style="10" bestFit="1" customWidth="1"/>
    <col min="9755" max="9766" width="12.453125" style="10"/>
    <col min="9767" max="9767" width="22.453125" style="10" bestFit="1" customWidth="1"/>
    <col min="9768" max="9768" width="12.453125" style="10"/>
    <col min="9769" max="9769" width="13" style="10" bestFit="1" customWidth="1"/>
    <col min="9770" max="9771" width="12.453125" style="10"/>
    <col min="9772" max="9772" width="13" style="10" bestFit="1" customWidth="1"/>
    <col min="9773" max="9985" width="12.453125" style="10"/>
    <col min="9986" max="9986" width="21.453125" style="10" bestFit="1" customWidth="1"/>
    <col min="9987" max="9987" width="18.81640625" style="10" bestFit="1" customWidth="1"/>
    <col min="9988" max="9990" width="14.81640625" style="10" bestFit="1" customWidth="1"/>
    <col min="9991" max="9991" width="16.453125" style="10" bestFit="1" customWidth="1"/>
    <col min="9992" max="10002" width="15.81640625" style="10" bestFit="1" customWidth="1"/>
    <col min="10003" max="10005" width="12.453125" style="10"/>
    <col min="10006" max="10006" width="12.453125" style="10" bestFit="1" customWidth="1"/>
    <col min="10007" max="10010" width="13.7265625" style="10" bestFit="1" customWidth="1"/>
    <col min="10011" max="10022" width="12.453125" style="10"/>
    <col min="10023" max="10023" width="22.453125" style="10" bestFit="1" customWidth="1"/>
    <col min="10024" max="10024" width="12.453125" style="10"/>
    <col min="10025" max="10025" width="13" style="10" bestFit="1" customWidth="1"/>
    <col min="10026" max="10027" width="12.453125" style="10"/>
    <col min="10028" max="10028" width="13" style="10" bestFit="1" customWidth="1"/>
    <col min="10029" max="10241" width="12.453125" style="10"/>
    <col min="10242" max="10242" width="21.453125" style="10" bestFit="1" customWidth="1"/>
    <col min="10243" max="10243" width="18.81640625" style="10" bestFit="1" customWidth="1"/>
    <col min="10244" max="10246" width="14.81640625" style="10" bestFit="1" customWidth="1"/>
    <col min="10247" max="10247" width="16.453125" style="10" bestFit="1" customWidth="1"/>
    <col min="10248" max="10258" width="15.81640625" style="10" bestFit="1" customWidth="1"/>
    <col min="10259" max="10261" width="12.453125" style="10"/>
    <col min="10262" max="10262" width="12.453125" style="10" bestFit="1" customWidth="1"/>
    <col min="10263" max="10266" width="13.7265625" style="10" bestFit="1" customWidth="1"/>
    <col min="10267" max="10278" width="12.453125" style="10"/>
    <col min="10279" max="10279" width="22.453125" style="10" bestFit="1" customWidth="1"/>
    <col min="10280" max="10280" width="12.453125" style="10"/>
    <col min="10281" max="10281" width="13" style="10" bestFit="1" customWidth="1"/>
    <col min="10282" max="10283" width="12.453125" style="10"/>
    <col min="10284" max="10284" width="13" style="10" bestFit="1" customWidth="1"/>
    <col min="10285" max="10497" width="12.453125" style="10"/>
    <col min="10498" max="10498" width="21.453125" style="10" bestFit="1" customWidth="1"/>
    <col min="10499" max="10499" width="18.81640625" style="10" bestFit="1" customWidth="1"/>
    <col min="10500" max="10502" width="14.81640625" style="10" bestFit="1" customWidth="1"/>
    <col min="10503" max="10503" width="16.453125" style="10" bestFit="1" customWidth="1"/>
    <col min="10504" max="10514" width="15.81640625" style="10" bestFit="1" customWidth="1"/>
    <col min="10515" max="10517" width="12.453125" style="10"/>
    <col min="10518" max="10518" width="12.453125" style="10" bestFit="1" customWidth="1"/>
    <col min="10519" max="10522" width="13.7265625" style="10" bestFit="1" customWidth="1"/>
    <col min="10523" max="10534" width="12.453125" style="10"/>
    <col min="10535" max="10535" width="22.453125" style="10" bestFit="1" customWidth="1"/>
    <col min="10536" max="10536" width="12.453125" style="10"/>
    <col min="10537" max="10537" width="13" style="10" bestFit="1" customWidth="1"/>
    <col min="10538" max="10539" width="12.453125" style="10"/>
    <col min="10540" max="10540" width="13" style="10" bestFit="1" customWidth="1"/>
    <col min="10541" max="10753" width="12.453125" style="10"/>
    <col min="10754" max="10754" width="21.453125" style="10" bestFit="1" customWidth="1"/>
    <col min="10755" max="10755" width="18.81640625" style="10" bestFit="1" customWidth="1"/>
    <col min="10756" max="10758" width="14.81640625" style="10" bestFit="1" customWidth="1"/>
    <col min="10759" max="10759" width="16.453125" style="10" bestFit="1" customWidth="1"/>
    <col min="10760" max="10770" width="15.81640625" style="10" bestFit="1" customWidth="1"/>
    <col min="10771" max="10773" width="12.453125" style="10"/>
    <col min="10774" max="10774" width="12.453125" style="10" bestFit="1" customWidth="1"/>
    <col min="10775" max="10778" width="13.7265625" style="10" bestFit="1" customWidth="1"/>
    <col min="10779" max="10790" width="12.453125" style="10"/>
    <col min="10791" max="10791" width="22.453125" style="10" bestFit="1" customWidth="1"/>
    <col min="10792" max="10792" width="12.453125" style="10"/>
    <col min="10793" max="10793" width="13" style="10" bestFit="1" customWidth="1"/>
    <col min="10794" max="10795" width="12.453125" style="10"/>
    <col min="10796" max="10796" width="13" style="10" bestFit="1" customWidth="1"/>
    <col min="10797" max="11009" width="12.453125" style="10"/>
    <col min="11010" max="11010" width="21.453125" style="10" bestFit="1" customWidth="1"/>
    <col min="11011" max="11011" width="18.81640625" style="10" bestFit="1" customWidth="1"/>
    <col min="11012" max="11014" width="14.81640625" style="10" bestFit="1" customWidth="1"/>
    <col min="11015" max="11015" width="16.453125" style="10" bestFit="1" customWidth="1"/>
    <col min="11016" max="11026" width="15.81640625" style="10" bestFit="1" customWidth="1"/>
    <col min="11027" max="11029" width="12.453125" style="10"/>
    <col min="11030" max="11030" width="12.453125" style="10" bestFit="1" customWidth="1"/>
    <col min="11031" max="11034" width="13.7265625" style="10" bestFit="1" customWidth="1"/>
    <col min="11035" max="11046" width="12.453125" style="10"/>
    <col min="11047" max="11047" width="22.453125" style="10" bestFit="1" customWidth="1"/>
    <col min="11048" max="11048" width="12.453125" style="10"/>
    <col min="11049" max="11049" width="13" style="10" bestFit="1" customWidth="1"/>
    <col min="11050" max="11051" width="12.453125" style="10"/>
    <col min="11052" max="11052" width="13" style="10" bestFit="1" customWidth="1"/>
    <col min="11053" max="11265" width="12.453125" style="10"/>
    <col min="11266" max="11266" width="21.453125" style="10" bestFit="1" customWidth="1"/>
    <col min="11267" max="11267" width="18.81640625" style="10" bestFit="1" customWidth="1"/>
    <col min="11268" max="11270" width="14.81640625" style="10" bestFit="1" customWidth="1"/>
    <col min="11271" max="11271" width="16.453125" style="10" bestFit="1" customWidth="1"/>
    <col min="11272" max="11282" width="15.81640625" style="10" bestFit="1" customWidth="1"/>
    <col min="11283" max="11285" width="12.453125" style="10"/>
    <col min="11286" max="11286" width="12.453125" style="10" bestFit="1" customWidth="1"/>
    <col min="11287" max="11290" width="13.7265625" style="10" bestFit="1" customWidth="1"/>
    <col min="11291" max="11302" width="12.453125" style="10"/>
    <col min="11303" max="11303" width="22.453125" style="10" bestFit="1" customWidth="1"/>
    <col min="11304" max="11304" width="12.453125" style="10"/>
    <col min="11305" max="11305" width="13" style="10" bestFit="1" customWidth="1"/>
    <col min="11306" max="11307" width="12.453125" style="10"/>
    <col min="11308" max="11308" width="13" style="10" bestFit="1" customWidth="1"/>
    <col min="11309" max="11521" width="12.453125" style="10"/>
    <col min="11522" max="11522" width="21.453125" style="10" bestFit="1" customWidth="1"/>
    <col min="11523" max="11523" width="18.81640625" style="10" bestFit="1" customWidth="1"/>
    <col min="11524" max="11526" width="14.81640625" style="10" bestFit="1" customWidth="1"/>
    <col min="11527" max="11527" width="16.453125" style="10" bestFit="1" customWidth="1"/>
    <col min="11528" max="11538" width="15.81640625" style="10" bestFit="1" customWidth="1"/>
    <col min="11539" max="11541" width="12.453125" style="10"/>
    <col min="11542" max="11542" width="12.453125" style="10" bestFit="1" customWidth="1"/>
    <col min="11543" max="11546" width="13.7265625" style="10" bestFit="1" customWidth="1"/>
    <col min="11547" max="11558" width="12.453125" style="10"/>
    <col min="11559" max="11559" width="22.453125" style="10" bestFit="1" customWidth="1"/>
    <col min="11560" max="11560" width="12.453125" style="10"/>
    <col min="11561" max="11561" width="13" style="10" bestFit="1" customWidth="1"/>
    <col min="11562" max="11563" width="12.453125" style="10"/>
    <col min="11564" max="11564" width="13" style="10" bestFit="1" customWidth="1"/>
    <col min="11565" max="11777" width="12.453125" style="10"/>
    <col min="11778" max="11778" width="21.453125" style="10" bestFit="1" customWidth="1"/>
    <col min="11779" max="11779" width="18.81640625" style="10" bestFit="1" customWidth="1"/>
    <col min="11780" max="11782" width="14.81640625" style="10" bestFit="1" customWidth="1"/>
    <col min="11783" max="11783" width="16.453125" style="10" bestFit="1" customWidth="1"/>
    <col min="11784" max="11794" width="15.81640625" style="10" bestFit="1" customWidth="1"/>
    <col min="11795" max="11797" width="12.453125" style="10"/>
    <col min="11798" max="11798" width="12.453125" style="10" bestFit="1" customWidth="1"/>
    <col min="11799" max="11802" width="13.7265625" style="10" bestFit="1" customWidth="1"/>
    <col min="11803" max="11814" width="12.453125" style="10"/>
    <col min="11815" max="11815" width="22.453125" style="10" bestFit="1" customWidth="1"/>
    <col min="11816" max="11816" width="12.453125" style="10"/>
    <col min="11817" max="11817" width="13" style="10" bestFit="1" customWidth="1"/>
    <col min="11818" max="11819" width="12.453125" style="10"/>
    <col min="11820" max="11820" width="13" style="10" bestFit="1" customWidth="1"/>
    <col min="11821" max="12033" width="12.453125" style="10"/>
    <col min="12034" max="12034" width="21.453125" style="10" bestFit="1" customWidth="1"/>
    <col min="12035" max="12035" width="18.81640625" style="10" bestFit="1" customWidth="1"/>
    <col min="12036" max="12038" width="14.81640625" style="10" bestFit="1" customWidth="1"/>
    <col min="12039" max="12039" width="16.453125" style="10" bestFit="1" customWidth="1"/>
    <col min="12040" max="12050" width="15.81640625" style="10" bestFit="1" customWidth="1"/>
    <col min="12051" max="12053" width="12.453125" style="10"/>
    <col min="12054" max="12054" width="12.453125" style="10" bestFit="1" customWidth="1"/>
    <col min="12055" max="12058" width="13.7265625" style="10" bestFit="1" customWidth="1"/>
    <col min="12059" max="12070" width="12.453125" style="10"/>
    <col min="12071" max="12071" width="22.453125" style="10" bestFit="1" customWidth="1"/>
    <col min="12072" max="12072" width="12.453125" style="10"/>
    <col min="12073" max="12073" width="13" style="10" bestFit="1" customWidth="1"/>
    <col min="12074" max="12075" width="12.453125" style="10"/>
    <col min="12076" max="12076" width="13" style="10" bestFit="1" customWidth="1"/>
    <col min="12077" max="12289" width="12.453125" style="10"/>
    <col min="12290" max="12290" width="21.453125" style="10" bestFit="1" customWidth="1"/>
    <col min="12291" max="12291" width="18.81640625" style="10" bestFit="1" customWidth="1"/>
    <col min="12292" max="12294" width="14.81640625" style="10" bestFit="1" customWidth="1"/>
    <col min="12295" max="12295" width="16.453125" style="10" bestFit="1" customWidth="1"/>
    <col min="12296" max="12306" width="15.81640625" style="10" bestFit="1" customWidth="1"/>
    <col min="12307" max="12309" width="12.453125" style="10"/>
    <col min="12310" max="12310" width="12.453125" style="10" bestFit="1" customWidth="1"/>
    <col min="12311" max="12314" width="13.7265625" style="10" bestFit="1" customWidth="1"/>
    <col min="12315" max="12326" width="12.453125" style="10"/>
    <col min="12327" max="12327" width="22.453125" style="10" bestFit="1" customWidth="1"/>
    <col min="12328" max="12328" width="12.453125" style="10"/>
    <col min="12329" max="12329" width="13" style="10" bestFit="1" customWidth="1"/>
    <col min="12330" max="12331" width="12.453125" style="10"/>
    <col min="12332" max="12332" width="13" style="10" bestFit="1" customWidth="1"/>
    <col min="12333" max="12545" width="12.453125" style="10"/>
    <col min="12546" max="12546" width="21.453125" style="10" bestFit="1" customWidth="1"/>
    <col min="12547" max="12547" width="18.81640625" style="10" bestFit="1" customWidth="1"/>
    <col min="12548" max="12550" width="14.81640625" style="10" bestFit="1" customWidth="1"/>
    <col min="12551" max="12551" width="16.453125" style="10" bestFit="1" customWidth="1"/>
    <col min="12552" max="12562" width="15.81640625" style="10" bestFit="1" customWidth="1"/>
    <col min="12563" max="12565" width="12.453125" style="10"/>
    <col min="12566" max="12566" width="12.453125" style="10" bestFit="1" customWidth="1"/>
    <col min="12567" max="12570" width="13.7265625" style="10" bestFit="1" customWidth="1"/>
    <col min="12571" max="12582" width="12.453125" style="10"/>
    <col min="12583" max="12583" width="22.453125" style="10" bestFit="1" customWidth="1"/>
    <col min="12584" max="12584" width="12.453125" style="10"/>
    <col min="12585" max="12585" width="13" style="10" bestFit="1" customWidth="1"/>
    <col min="12586" max="12587" width="12.453125" style="10"/>
    <col min="12588" max="12588" width="13" style="10" bestFit="1" customWidth="1"/>
    <col min="12589" max="12801" width="12.453125" style="10"/>
    <col min="12802" max="12802" width="21.453125" style="10" bestFit="1" customWidth="1"/>
    <col min="12803" max="12803" width="18.81640625" style="10" bestFit="1" customWidth="1"/>
    <col min="12804" max="12806" width="14.81640625" style="10" bestFit="1" customWidth="1"/>
    <col min="12807" max="12807" width="16.453125" style="10" bestFit="1" customWidth="1"/>
    <col min="12808" max="12818" width="15.81640625" style="10" bestFit="1" customWidth="1"/>
    <col min="12819" max="12821" width="12.453125" style="10"/>
    <col min="12822" max="12822" width="12.453125" style="10" bestFit="1" customWidth="1"/>
    <col min="12823" max="12826" width="13.7265625" style="10" bestFit="1" customWidth="1"/>
    <col min="12827" max="12838" width="12.453125" style="10"/>
    <col min="12839" max="12839" width="22.453125" style="10" bestFit="1" customWidth="1"/>
    <col min="12840" max="12840" width="12.453125" style="10"/>
    <col min="12841" max="12841" width="13" style="10" bestFit="1" customWidth="1"/>
    <col min="12842" max="12843" width="12.453125" style="10"/>
    <col min="12844" max="12844" width="13" style="10" bestFit="1" customWidth="1"/>
    <col min="12845" max="13057" width="12.453125" style="10"/>
    <col min="13058" max="13058" width="21.453125" style="10" bestFit="1" customWidth="1"/>
    <col min="13059" max="13059" width="18.81640625" style="10" bestFit="1" customWidth="1"/>
    <col min="13060" max="13062" width="14.81640625" style="10" bestFit="1" customWidth="1"/>
    <col min="13063" max="13063" width="16.453125" style="10" bestFit="1" customWidth="1"/>
    <col min="13064" max="13074" width="15.81640625" style="10" bestFit="1" customWidth="1"/>
    <col min="13075" max="13077" width="12.453125" style="10"/>
    <col min="13078" max="13078" width="12.453125" style="10" bestFit="1" customWidth="1"/>
    <col min="13079" max="13082" width="13.7265625" style="10" bestFit="1" customWidth="1"/>
    <col min="13083" max="13094" width="12.453125" style="10"/>
    <col min="13095" max="13095" width="22.453125" style="10" bestFit="1" customWidth="1"/>
    <col min="13096" max="13096" width="12.453125" style="10"/>
    <col min="13097" max="13097" width="13" style="10" bestFit="1" customWidth="1"/>
    <col min="13098" max="13099" width="12.453125" style="10"/>
    <col min="13100" max="13100" width="13" style="10" bestFit="1" customWidth="1"/>
    <col min="13101" max="13313" width="12.453125" style="10"/>
    <col min="13314" max="13314" width="21.453125" style="10" bestFit="1" customWidth="1"/>
    <col min="13315" max="13315" width="18.81640625" style="10" bestFit="1" customWidth="1"/>
    <col min="13316" max="13318" width="14.81640625" style="10" bestFit="1" customWidth="1"/>
    <col min="13319" max="13319" width="16.453125" style="10" bestFit="1" customWidth="1"/>
    <col min="13320" max="13330" width="15.81640625" style="10" bestFit="1" customWidth="1"/>
    <col min="13331" max="13333" width="12.453125" style="10"/>
    <col min="13334" max="13334" width="12.453125" style="10" bestFit="1" customWidth="1"/>
    <col min="13335" max="13338" width="13.7265625" style="10" bestFit="1" customWidth="1"/>
    <col min="13339" max="13350" width="12.453125" style="10"/>
    <col min="13351" max="13351" width="22.453125" style="10" bestFit="1" customWidth="1"/>
    <col min="13352" max="13352" width="12.453125" style="10"/>
    <col min="13353" max="13353" width="13" style="10" bestFit="1" customWidth="1"/>
    <col min="13354" max="13355" width="12.453125" style="10"/>
    <col min="13356" max="13356" width="13" style="10" bestFit="1" customWidth="1"/>
    <col min="13357" max="13569" width="12.453125" style="10"/>
    <col min="13570" max="13570" width="21.453125" style="10" bestFit="1" customWidth="1"/>
    <col min="13571" max="13571" width="18.81640625" style="10" bestFit="1" customWidth="1"/>
    <col min="13572" max="13574" width="14.81640625" style="10" bestFit="1" customWidth="1"/>
    <col min="13575" max="13575" width="16.453125" style="10" bestFit="1" customWidth="1"/>
    <col min="13576" max="13586" width="15.81640625" style="10" bestFit="1" customWidth="1"/>
    <col min="13587" max="13589" width="12.453125" style="10"/>
    <col min="13590" max="13590" width="12.453125" style="10" bestFit="1" customWidth="1"/>
    <col min="13591" max="13594" width="13.7265625" style="10" bestFit="1" customWidth="1"/>
    <col min="13595" max="13606" width="12.453125" style="10"/>
    <col min="13607" max="13607" width="22.453125" style="10" bestFit="1" customWidth="1"/>
    <col min="13608" max="13608" width="12.453125" style="10"/>
    <col min="13609" max="13609" width="13" style="10" bestFit="1" customWidth="1"/>
    <col min="13610" max="13611" width="12.453125" style="10"/>
    <col min="13612" max="13612" width="13" style="10" bestFit="1" customWidth="1"/>
    <col min="13613" max="13825" width="12.453125" style="10"/>
    <col min="13826" max="13826" width="21.453125" style="10" bestFit="1" customWidth="1"/>
    <col min="13827" max="13827" width="18.81640625" style="10" bestFit="1" customWidth="1"/>
    <col min="13828" max="13830" width="14.81640625" style="10" bestFit="1" customWidth="1"/>
    <col min="13831" max="13831" width="16.453125" style="10" bestFit="1" customWidth="1"/>
    <col min="13832" max="13842" width="15.81640625" style="10" bestFit="1" customWidth="1"/>
    <col min="13843" max="13845" width="12.453125" style="10"/>
    <col min="13846" max="13846" width="12.453125" style="10" bestFit="1" customWidth="1"/>
    <col min="13847" max="13850" width="13.7265625" style="10" bestFit="1" customWidth="1"/>
    <col min="13851" max="13862" width="12.453125" style="10"/>
    <col min="13863" max="13863" width="22.453125" style="10" bestFit="1" customWidth="1"/>
    <col min="13864" max="13864" width="12.453125" style="10"/>
    <col min="13865" max="13865" width="13" style="10" bestFit="1" customWidth="1"/>
    <col min="13866" max="13867" width="12.453125" style="10"/>
    <col min="13868" max="13868" width="13" style="10" bestFit="1" customWidth="1"/>
    <col min="13869" max="14081" width="12.453125" style="10"/>
    <col min="14082" max="14082" width="21.453125" style="10" bestFit="1" customWidth="1"/>
    <col min="14083" max="14083" width="18.81640625" style="10" bestFit="1" customWidth="1"/>
    <col min="14084" max="14086" width="14.81640625" style="10" bestFit="1" customWidth="1"/>
    <col min="14087" max="14087" width="16.453125" style="10" bestFit="1" customWidth="1"/>
    <col min="14088" max="14098" width="15.81640625" style="10" bestFit="1" customWidth="1"/>
    <col min="14099" max="14101" width="12.453125" style="10"/>
    <col min="14102" max="14102" width="12.453125" style="10" bestFit="1" customWidth="1"/>
    <col min="14103" max="14106" width="13.7265625" style="10" bestFit="1" customWidth="1"/>
    <col min="14107" max="14118" width="12.453125" style="10"/>
    <col min="14119" max="14119" width="22.453125" style="10" bestFit="1" customWidth="1"/>
    <col min="14120" max="14120" width="12.453125" style="10"/>
    <col min="14121" max="14121" width="13" style="10" bestFit="1" customWidth="1"/>
    <col min="14122" max="14123" width="12.453125" style="10"/>
    <col min="14124" max="14124" width="13" style="10" bestFit="1" customWidth="1"/>
    <col min="14125" max="14337" width="12.453125" style="10"/>
    <col min="14338" max="14338" width="21.453125" style="10" bestFit="1" customWidth="1"/>
    <col min="14339" max="14339" width="18.81640625" style="10" bestFit="1" customWidth="1"/>
    <col min="14340" max="14342" width="14.81640625" style="10" bestFit="1" customWidth="1"/>
    <col min="14343" max="14343" width="16.453125" style="10" bestFit="1" customWidth="1"/>
    <col min="14344" max="14354" width="15.81640625" style="10" bestFit="1" customWidth="1"/>
    <col min="14355" max="14357" width="12.453125" style="10"/>
    <col min="14358" max="14358" width="12.453125" style="10" bestFit="1" customWidth="1"/>
    <col min="14359" max="14362" width="13.7265625" style="10" bestFit="1" customWidth="1"/>
    <col min="14363" max="14374" width="12.453125" style="10"/>
    <col min="14375" max="14375" width="22.453125" style="10" bestFit="1" customWidth="1"/>
    <col min="14376" max="14376" width="12.453125" style="10"/>
    <col min="14377" max="14377" width="13" style="10" bestFit="1" customWidth="1"/>
    <col min="14378" max="14379" width="12.453125" style="10"/>
    <col min="14380" max="14380" width="13" style="10" bestFit="1" customWidth="1"/>
    <col min="14381" max="14593" width="12.453125" style="10"/>
    <col min="14594" max="14594" width="21.453125" style="10" bestFit="1" customWidth="1"/>
    <col min="14595" max="14595" width="18.81640625" style="10" bestFit="1" customWidth="1"/>
    <col min="14596" max="14598" width="14.81640625" style="10" bestFit="1" customWidth="1"/>
    <col min="14599" max="14599" width="16.453125" style="10" bestFit="1" customWidth="1"/>
    <col min="14600" max="14610" width="15.81640625" style="10" bestFit="1" customWidth="1"/>
    <col min="14611" max="14613" width="12.453125" style="10"/>
    <col min="14614" max="14614" width="12.453125" style="10" bestFit="1" customWidth="1"/>
    <col min="14615" max="14618" width="13.7265625" style="10" bestFit="1" customWidth="1"/>
    <col min="14619" max="14630" width="12.453125" style="10"/>
    <col min="14631" max="14631" width="22.453125" style="10" bestFit="1" customWidth="1"/>
    <col min="14632" max="14632" width="12.453125" style="10"/>
    <col min="14633" max="14633" width="13" style="10" bestFit="1" customWidth="1"/>
    <col min="14634" max="14635" width="12.453125" style="10"/>
    <col min="14636" max="14636" width="13" style="10" bestFit="1" customWidth="1"/>
    <col min="14637" max="14849" width="12.453125" style="10"/>
    <col min="14850" max="14850" width="21.453125" style="10" bestFit="1" customWidth="1"/>
    <col min="14851" max="14851" width="18.81640625" style="10" bestFit="1" customWidth="1"/>
    <col min="14852" max="14854" width="14.81640625" style="10" bestFit="1" customWidth="1"/>
    <col min="14855" max="14855" width="16.453125" style="10" bestFit="1" customWidth="1"/>
    <col min="14856" max="14866" width="15.81640625" style="10" bestFit="1" customWidth="1"/>
    <col min="14867" max="14869" width="12.453125" style="10"/>
    <col min="14870" max="14870" width="12.453125" style="10" bestFit="1" customWidth="1"/>
    <col min="14871" max="14874" width="13.7265625" style="10" bestFit="1" customWidth="1"/>
    <col min="14875" max="14886" width="12.453125" style="10"/>
    <col min="14887" max="14887" width="22.453125" style="10" bestFit="1" customWidth="1"/>
    <col min="14888" max="14888" width="12.453125" style="10"/>
    <col min="14889" max="14889" width="13" style="10" bestFit="1" customWidth="1"/>
    <col min="14890" max="14891" width="12.453125" style="10"/>
    <col min="14892" max="14892" width="13" style="10" bestFit="1" customWidth="1"/>
    <col min="14893" max="15105" width="12.453125" style="10"/>
    <col min="15106" max="15106" width="21.453125" style="10" bestFit="1" customWidth="1"/>
    <col min="15107" max="15107" width="18.81640625" style="10" bestFit="1" customWidth="1"/>
    <col min="15108" max="15110" width="14.81640625" style="10" bestFit="1" customWidth="1"/>
    <col min="15111" max="15111" width="16.453125" style="10" bestFit="1" customWidth="1"/>
    <col min="15112" max="15122" width="15.81640625" style="10" bestFit="1" customWidth="1"/>
    <col min="15123" max="15125" width="12.453125" style="10"/>
    <col min="15126" max="15126" width="12.453125" style="10" bestFit="1" customWidth="1"/>
    <col min="15127" max="15130" width="13.7265625" style="10" bestFit="1" customWidth="1"/>
    <col min="15131" max="15142" width="12.453125" style="10"/>
    <col min="15143" max="15143" width="22.453125" style="10" bestFit="1" customWidth="1"/>
    <col min="15144" max="15144" width="12.453125" style="10"/>
    <col min="15145" max="15145" width="13" style="10" bestFit="1" customWidth="1"/>
    <col min="15146" max="15147" width="12.453125" style="10"/>
    <col min="15148" max="15148" width="13" style="10" bestFit="1" customWidth="1"/>
    <col min="15149" max="15361" width="12.453125" style="10"/>
    <col min="15362" max="15362" width="21.453125" style="10" bestFit="1" customWidth="1"/>
    <col min="15363" max="15363" width="18.81640625" style="10" bestFit="1" customWidth="1"/>
    <col min="15364" max="15366" width="14.81640625" style="10" bestFit="1" customWidth="1"/>
    <col min="15367" max="15367" width="16.453125" style="10" bestFit="1" customWidth="1"/>
    <col min="15368" max="15378" width="15.81640625" style="10" bestFit="1" customWidth="1"/>
    <col min="15379" max="15381" width="12.453125" style="10"/>
    <col min="15382" max="15382" width="12.453125" style="10" bestFit="1" customWidth="1"/>
    <col min="15383" max="15386" width="13.7265625" style="10" bestFit="1" customWidth="1"/>
    <col min="15387" max="15398" width="12.453125" style="10"/>
    <col min="15399" max="15399" width="22.453125" style="10" bestFit="1" customWidth="1"/>
    <col min="15400" max="15400" width="12.453125" style="10"/>
    <col min="15401" max="15401" width="13" style="10" bestFit="1" customWidth="1"/>
    <col min="15402" max="15403" width="12.453125" style="10"/>
    <col min="15404" max="15404" width="13" style="10" bestFit="1" customWidth="1"/>
    <col min="15405" max="15617" width="12.453125" style="10"/>
    <col min="15618" max="15618" width="21.453125" style="10" bestFit="1" customWidth="1"/>
    <col min="15619" max="15619" width="18.81640625" style="10" bestFit="1" customWidth="1"/>
    <col min="15620" max="15622" width="14.81640625" style="10" bestFit="1" customWidth="1"/>
    <col min="15623" max="15623" width="16.453125" style="10" bestFit="1" customWidth="1"/>
    <col min="15624" max="15634" width="15.81640625" style="10" bestFit="1" customWidth="1"/>
    <col min="15635" max="15637" width="12.453125" style="10"/>
    <col min="15638" max="15638" width="12.453125" style="10" bestFit="1" customWidth="1"/>
    <col min="15639" max="15642" width="13.7265625" style="10" bestFit="1" customWidth="1"/>
    <col min="15643" max="15654" width="12.453125" style="10"/>
    <col min="15655" max="15655" width="22.453125" style="10" bestFit="1" customWidth="1"/>
    <col min="15656" max="15656" width="12.453125" style="10"/>
    <col min="15657" max="15657" width="13" style="10" bestFit="1" customWidth="1"/>
    <col min="15658" max="15659" width="12.453125" style="10"/>
    <col min="15660" max="15660" width="13" style="10" bestFit="1" customWidth="1"/>
    <col min="15661" max="15873" width="12.453125" style="10"/>
    <col min="15874" max="15874" width="21.453125" style="10" bestFit="1" customWidth="1"/>
    <col min="15875" max="15875" width="18.81640625" style="10" bestFit="1" customWidth="1"/>
    <col min="15876" max="15878" width="14.81640625" style="10" bestFit="1" customWidth="1"/>
    <col min="15879" max="15879" width="16.453125" style="10" bestFit="1" customWidth="1"/>
    <col min="15880" max="15890" width="15.81640625" style="10" bestFit="1" customWidth="1"/>
    <col min="15891" max="15893" width="12.453125" style="10"/>
    <col min="15894" max="15894" width="12.453125" style="10" bestFit="1" customWidth="1"/>
    <col min="15895" max="15898" width="13.7265625" style="10" bestFit="1" customWidth="1"/>
    <col min="15899" max="15910" width="12.453125" style="10"/>
    <col min="15911" max="15911" width="22.453125" style="10" bestFit="1" customWidth="1"/>
    <col min="15912" max="15912" width="12.453125" style="10"/>
    <col min="15913" max="15913" width="13" style="10" bestFit="1" customWidth="1"/>
    <col min="15914" max="15915" width="12.453125" style="10"/>
    <col min="15916" max="15916" width="13" style="10" bestFit="1" customWidth="1"/>
    <col min="15917" max="16129" width="12.453125" style="10"/>
    <col min="16130" max="16130" width="21.453125" style="10" bestFit="1" customWidth="1"/>
    <col min="16131" max="16131" width="18.81640625" style="10" bestFit="1" customWidth="1"/>
    <col min="16132" max="16134" width="14.81640625" style="10" bestFit="1" customWidth="1"/>
    <col min="16135" max="16135" width="16.453125" style="10" bestFit="1" customWidth="1"/>
    <col min="16136" max="16146" width="15.81640625" style="10" bestFit="1" customWidth="1"/>
    <col min="16147" max="16149" width="12.453125" style="10"/>
    <col min="16150" max="16150" width="12.453125" style="10" bestFit="1" customWidth="1"/>
    <col min="16151" max="16154" width="13.7265625" style="10" bestFit="1" customWidth="1"/>
    <col min="16155" max="16166" width="12.453125" style="10"/>
    <col min="16167" max="16167" width="22.453125" style="10" bestFit="1" customWidth="1"/>
    <col min="16168" max="16168" width="12.453125" style="10"/>
    <col min="16169" max="16169" width="13" style="10" bestFit="1" customWidth="1"/>
    <col min="16170" max="16171" width="12.453125" style="10"/>
    <col min="16172" max="16172" width="13" style="10" bestFit="1" customWidth="1"/>
    <col min="16173" max="16384" width="12.453125" style="10"/>
  </cols>
  <sheetData>
    <row r="1" spans="2:62">
      <c r="E1" s="641" t="s">
        <v>630</v>
      </c>
      <c r="F1" s="635"/>
      <c r="G1" s="634" t="s">
        <v>708</v>
      </c>
      <c r="H1" s="634"/>
      <c r="I1" s="634"/>
      <c r="J1" s="634"/>
      <c r="K1" s="634"/>
      <c r="L1" s="634"/>
      <c r="M1" s="634"/>
      <c r="N1" s="634"/>
      <c r="O1" s="634"/>
      <c r="P1" s="634"/>
      <c r="Q1" s="634"/>
      <c r="R1" s="634"/>
      <c r="S1" s="634"/>
      <c r="T1" s="634"/>
    </row>
    <row r="2" spans="2:62">
      <c r="B2" s="633" t="s">
        <v>581</v>
      </c>
      <c r="C2" s="559">
        <f>'Cours en bourse'!L18</f>
        <v>0.11245834671835075</v>
      </c>
      <c r="E2" s="636">
        <v>1</v>
      </c>
      <c r="F2" s="637">
        <v>2</v>
      </c>
      <c r="G2" s="636">
        <v>3</v>
      </c>
      <c r="H2" s="636">
        <v>4</v>
      </c>
      <c r="I2" s="636">
        <v>5</v>
      </c>
      <c r="J2" s="636">
        <v>6</v>
      </c>
      <c r="K2" s="636">
        <v>7</v>
      </c>
      <c r="L2" s="636">
        <v>8</v>
      </c>
      <c r="M2" s="636">
        <v>9</v>
      </c>
      <c r="N2" s="636">
        <v>10</v>
      </c>
      <c r="O2" s="636">
        <v>11</v>
      </c>
      <c r="P2" s="636">
        <v>12</v>
      </c>
      <c r="Q2" s="636">
        <v>13</v>
      </c>
      <c r="R2" s="636">
        <v>14</v>
      </c>
      <c r="S2" s="636">
        <v>15</v>
      </c>
      <c r="T2" s="636">
        <v>16</v>
      </c>
    </row>
    <row r="3" spans="2:62" ht="15.5">
      <c r="B3" s="633" t="s">
        <v>631</v>
      </c>
      <c r="C3" s="558">
        <v>2009</v>
      </c>
      <c r="E3" s="636" t="s">
        <v>550</v>
      </c>
      <c r="F3" s="638">
        <v>0.08</v>
      </c>
      <c r="G3" s="639">
        <v>0.16</v>
      </c>
      <c r="H3" s="639">
        <v>0.24</v>
      </c>
      <c r="I3" s="639">
        <v>0.32</v>
      </c>
      <c r="J3" s="639">
        <v>0.4</v>
      </c>
      <c r="K3" s="639">
        <v>0.48</v>
      </c>
      <c r="L3" s="639">
        <v>0.56000000000000005</v>
      </c>
      <c r="M3" s="639">
        <v>0.64</v>
      </c>
      <c r="N3" s="639">
        <v>0.72</v>
      </c>
      <c r="O3" s="639">
        <v>0.8</v>
      </c>
      <c r="P3" s="640">
        <f>(0.2/6)+O3</f>
        <v>0.83333333333333337</v>
      </c>
      <c r="Q3" s="640">
        <f>(0.2/6)+P3</f>
        <v>0.8666666666666667</v>
      </c>
      <c r="R3" s="640">
        <f>(0.2/6)+Q3</f>
        <v>0.9</v>
      </c>
      <c r="S3" s="640">
        <f>(0.2/6)+R3</f>
        <v>0.93333333333333335</v>
      </c>
      <c r="T3" s="640">
        <f>(0.2/6)+S3</f>
        <v>0.96666666666666667</v>
      </c>
    </row>
    <row r="4" spans="2:62">
      <c r="V4" s="10" t="s">
        <v>632</v>
      </c>
    </row>
    <row r="5" spans="2:62" ht="42" customHeight="1" thickBot="1">
      <c r="B5" s="1042" t="s">
        <v>633</v>
      </c>
      <c r="C5" s="1042"/>
      <c r="D5" s="1042"/>
      <c r="E5" s="1042"/>
      <c r="W5" s="10">
        <f>C24</f>
        <v>2009</v>
      </c>
      <c r="X5" s="10">
        <f t="shared" ref="X5:AL5" si="0">D24</f>
        <v>2010</v>
      </c>
      <c r="Y5" s="10">
        <f t="shared" si="0"/>
        <v>2011</v>
      </c>
      <c r="Z5" s="10">
        <f t="shared" si="0"/>
        <v>2012</v>
      </c>
      <c r="AA5" s="10">
        <f t="shared" si="0"/>
        <v>2013</v>
      </c>
      <c r="AB5" s="10">
        <f t="shared" si="0"/>
        <v>2014</v>
      </c>
      <c r="AC5" s="10">
        <f t="shared" si="0"/>
        <v>2015</v>
      </c>
      <c r="AD5" s="10">
        <f t="shared" si="0"/>
        <v>2016</v>
      </c>
      <c r="AE5" s="10">
        <f t="shared" si="0"/>
        <v>2017</v>
      </c>
      <c r="AF5" s="10">
        <f t="shared" si="0"/>
        <v>2018</v>
      </c>
      <c r="AG5" s="10">
        <f t="shared" si="0"/>
        <v>2019</v>
      </c>
      <c r="AH5" s="10">
        <f t="shared" si="0"/>
        <v>2020</v>
      </c>
      <c r="AI5" s="10">
        <f t="shared" si="0"/>
        <v>2021</v>
      </c>
      <c r="AJ5" s="10">
        <f t="shared" si="0"/>
        <v>2022</v>
      </c>
      <c r="AK5" s="10">
        <f t="shared" si="0"/>
        <v>2023</v>
      </c>
      <c r="AL5" s="10">
        <f t="shared" si="0"/>
        <v>2024</v>
      </c>
      <c r="AM5" s="560" t="s">
        <v>634</v>
      </c>
      <c r="AN5" s="560" t="s">
        <v>635</v>
      </c>
      <c r="AP5" s="561" t="s">
        <v>636</v>
      </c>
      <c r="AQ5" s="561" t="s">
        <v>637</v>
      </c>
    </row>
    <row r="6" spans="2:62" ht="15.5">
      <c r="B6" s="642" t="s">
        <v>638</v>
      </c>
      <c r="C6" s="563">
        <v>2009</v>
      </c>
      <c r="D6" s="563">
        <v>2010</v>
      </c>
      <c r="E6" s="563">
        <v>2011</v>
      </c>
      <c r="F6" s="563">
        <v>2012</v>
      </c>
      <c r="G6" s="563">
        <v>2013</v>
      </c>
      <c r="H6" s="563">
        <v>2014</v>
      </c>
      <c r="I6" s="563">
        <v>2015</v>
      </c>
      <c r="J6" s="563">
        <v>2016</v>
      </c>
      <c r="K6" s="563">
        <v>2017</v>
      </c>
      <c r="L6" s="563">
        <v>2018</v>
      </c>
      <c r="M6" s="563">
        <v>2019</v>
      </c>
      <c r="N6" s="563">
        <v>2020</v>
      </c>
      <c r="O6" s="563">
        <v>2021</v>
      </c>
      <c r="P6" s="563">
        <v>2022</v>
      </c>
      <c r="Q6" s="563">
        <v>2023</v>
      </c>
      <c r="R6" s="564">
        <v>2024</v>
      </c>
      <c r="V6" s="10">
        <v>1</v>
      </c>
      <c r="W6" s="565">
        <f>C26</f>
        <v>-63.722307692307709</v>
      </c>
      <c r="X6" s="565">
        <f t="shared" ref="X6:AL6" si="1">D26</f>
        <v>-399.97293846153849</v>
      </c>
      <c r="Y6" s="565">
        <f t="shared" si="1"/>
        <v>-651.57016551724132</v>
      </c>
      <c r="Z6" s="565">
        <f t="shared" si="1"/>
        <v>-904.64160689655171</v>
      </c>
      <c r="AA6" s="565">
        <f t="shared" si="1"/>
        <v>-906.38165409572412</v>
      </c>
      <c r="AB6" s="565">
        <f t="shared" si="1"/>
        <v>-804.32010915162084</v>
      </c>
      <c r="AC6" s="565">
        <f t="shared" si="1"/>
        <v>-549.36474978228966</v>
      </c>
      <c r="AD6" s="565">
        <f t="shared" si="1"/>
        <v>-20.451464161949673</v>
      </c>
      <c r="AE6" s="565">
        <f t="shared" si="1"/>
        <v>496.93846695067555</v>
      </c>
      <c r="AF6" s="565">
        <f t="shared" si="1"/>
        <v>1007.2779479782045</v>
      </c>
      <c r="AG6" s="565">
        <f t="shared" si="1"/>
        <v>1510.7644228358281</v>
      </c>
      <c r="AH6" s="565">
        <f t="shared" si="1"/>
        <v>2014.5524838823387</v>
      </c>
      <c r="AI6" s="565">
        <f t="shared" si="1"/>
        <v>2516.0584541316143</v>
      </c>
      <c r="AJ6" s="565">
        <f t="shared" si="1"/>
        <v>3018.0103805947374</v>
      </c>
      <c r="AK6" s="565">
        <f t="shared" si="1"/>
        <v>3517.8294332413179</v>
      </c>
      <c r="AL6" s="565">
        <f t="shared" si="1"/>
        <v>4047.2598579215978</v>
      </c>
      <c r="AM6" s="566">
        <f>SUMIF(W6:AL6,"&lt;0",W6:AL6)</f>
        <v>-4300.4249957592237</v>
      </c>
      <c r="AN6" s="10">
        <f>COUNTIF(W6:AL6,"&lt;0")</f>
        <v>8</v>
      </c>
      <c r="AO6" s="558" t="s">
        <v>639</v>
      </c>
      <c r="AP6" s="567">
        <f>MIN(AM6:AM38)</f>
        <v>-6495.3891579945139</v>
      </c>
      <c r="AQ6" s="568">
        <f>MAX(AN6:AN38)</f>
        <v>11</v>
      </c>
      <c r="AR6" s="566"/>
    </row>
    <row r="7" spans="2:62" ht="15.5">
      <c r="B7" s="569" t="s">
        <v>640</v>
      </c>
      <c r="C7" s="570">
        <v>-105</v>
      </c>
      <c r="D7" s="570">
        <v>-105</v>
      </c>
      <c r="E7" s="570">
        <v>-105</v>
      </c>
      <c r="F7" s="570">
        <v>-105</v>
      </c>
      <c r="G7" s="570">
        <v>-95</v>
      </c>
      <c r="H7" s="570">
        <v>-95</v>
      </c>
      <c r="I7" s="570">
        <v>-95</v>
      </c>
      <c r="J7" s="571">
        <v>185</v>
      </c>
      <c r="K7" s="571">
        <v>185</v>
      </c>
      <c r="L7" s="571">
        <v>185</v>
      </c>
      <c r="M7" s="571">
        <v>185</v>
      </c>
      <c r="N7" s="571">
        <v>185</v>
      </c>
      <c r="O7" s="571">
        <v>185</v>
      </c>
      <c r="P7" s="571">
        <v>185</v>
      </c>
      <c r="Q7" s="571">
        <v>185</v>
      </c>
      <c r="R7" s="572">
        <v>185</v>
      </c>
      <c r="U7" s="573"/>
      <c r="V7" s="574">
        <v>2</v>
      </c>
      <c r="W7" s="574">
        <f>C59</f>
        <v>-63.722307692307709</v>
      </c>
      <c r="X7" s="574">
        <f t="shared" ref="X7:AL7" si="2">D59</f>
        <v>-399.97293846153843</v>
      </c>
      <c r="Y7" s="574">
        <f t="shared" si="2"/>
        <v>-651.57016551724132</v>
      </c>
      <c r="Z7" s="574">
        <f t="shared" si="2"/>
        <v>-904.64160689655171</v>
      </c>
      <c r="AA7" s="574">
        <f t="shared" si="2"/>
        <v>-906.38165409572412</v>
      </c>
      <c r="AB7" s="574">
        <f t="shared" si="2"/>
        <v>-804.32010915162084</v>
      </c>
      <c r="AC7" s="574">
        <f t="shared" si="2"/>
        <v>-549.36474978228966</v>
      </c>
      <c r="AD7" s="574">
        <f t="shared" si="2"/>
        <v>-205.45146416194967</v>
      </c>
      <c r="AE7" s="574">
        <f t="shared" si="2"/>
        <v>126.93846695067555</v>
      </c>
      <c r="AF7" s="574">
        <f t="shared" si="2"/>
        <v>452.27794797820451</v>
      </c>
      <c r="AG7" s="574">
        <f t="shared" si="2"/>
        <v>770.76442283582833</v>
      </c>
      <c r="AH7" s="574">
        <f t="shared" si="2"/>
        <v>1089.5524838823389</v>
      </c>
      <c r="AI7" s="574">
        <f t="shared" si="2"/>
        <v>1406.0584541316146</v>
      </c>
      <c r="AJ7" s="574">
        <f t="shared" si="2"/>
        <v>1723.0103805947376</v>
      </c>
      <c r="AK7" s="574">
        <f t="shared" si="2"/>
        <v>2037.8294332413184</v>
      </c>
      <c r="AL7" s="574">
        <f t="shared" si="2"/>
        <v>2382.2598579215983</v>
      </c>
      <c r="AM7" s="566">
        <f t="shared" ref="AM7:AM38" si="3">SUMIF(W7:AL7,"&lt;0",W7:AL7)</f>
        <v>-4485.4249957592237</v>
      </c>
      <c r="AN7" s="10">
        <f t="shared" ref="AN7:AN38" si="4">COUNTIF(W7:AL7,"&lt;0")</f>
        <v>8</v>
      </c>
      <c r="AO7" s="558" t="s">
        <v>641</v>
      </c>
      <c r="AP7" s="575">
        <f>MAX(AM6:AM38)</f>
        <v>-1107.7883740488398</v>
      </c>
      <c r="AQ7" s="576">
        <f>MIN(AN6:AN38)</f>
        <v>5</v>
      </c>
      <c r="AR7" s="566"/>
      <c r="AT7" s="565"/>
      <c r="AU7" s="565"/>
      <c r="AV7" s="565"/>
      <c r="AW7" s="565"/>
      <c r="AX7" s="565"/>
      <c r="AY7" s="565"/>
      <c r="AZ7" s="565"/>
      <c r="BA7" s="565"/>
      <c r="BB7" s="565"/>
      <c r="BC7" s="565"/>
      <c r="BD7" s="565"/>
      <c r="BE7" s="565"/>
      <c r="BF7" s="565"/>
      <c r="BG7" s="565"/>
      <c r="BH7" s="565"/>
      <c r="BI7" s="565"/>
      <c r="BJ7" s="566"/>
    </row>
    <row r="8" spans="2:62" ht="15.5">
      <c r="B8" s="569" t="s">
        <v>642</v>
      </c>
      <c r="C8" s="577" t="s">
        <v>643</v>
      </c>
      <c r="D8" s="577" t="s">
        <v>643</v>
      </c>
      <c r="E8" s="577" t="s">
        <v>643</v>
      </c>
      <c r="F8" s="577" t="s">
        <v>643</v>
      </c>
      <c r="G8" s="577" t="s">
        <v>644</v>
      </c>
      <c r="H8" s="577" t="s">
        <v>644</v>
      </c>
      <c r="I8" s="578">
        <v>115</v>
      </c>
      <c r="J8" s="578">
        <v>115</v>
      </c>
      <c r="K8" s="578">
        <v>115</v>
      </c>
      <c r="L8" s="578">
        <v>115</v>
      </c>
      <c r="M8" s="578">
        <v>115</v>
      </c>
      <c r="N8" s="578">
        <v>115</v>
      </c>
      <c r="O8" s="578">
        <v>115</v>
      </c>
      <c r="P8" s="578">
        <v>115</v>
      </c>
      <c r="Q8" s="578">
        <v>115</v>
      </c>
      <c r="R8" s="579">
        <v>115</v>
      </c>
      <c r="U8" s="573"/>
      <c r="V8" s="10">
        <v>3</v>
      </c>
      <c r="W8" s="574">
        <f>C92</f>
        <v>-63.717307692307656</v>
      </c>
      <c r="X8" s="574">
        <f t="shared" ref="X8:AL8" si="5">D92</f>
        <v>-399.96793846153844</v>
      </c>
      <c r="Y8" s="574">
        <f t="shared" si="5"/>
        <v>-651.56516551724133</v>
      </c>
      <c r="Z8" s="574">
        <f t="shared" si="5"/>
        <v>-904.63660689655171</v>
      </c>
      <c r="AA8" s="574">
        <f t="shared" si="5"/>
        <v>-811.37665409572412</v>
      </c>
      <c r="AB8" s="574">
        <f t="shared" si="5"/>
        <v>-614.31510915162085</v>
      </c>
      <c r="AC8" s="574">
        <f t="shared" si="5"/>
        <v>-264.35974978228967</v>
      </c>
      <c r="AD8" s="574">
        <f t="shared" si="5"/>
        <v>79.553535838050323</v>
      </c>
      <c r="AE8" s="574">
        <f t="shared" si="5"/>
        <v>411.94346695067554</v>
      </c>
      <c r="AF8" s="574">
        <f t="shared" si="5"/>
        <v>737.28294797820445</v>
      </c>
      <c r="AG8" s="574">
        <f t="shared" si="5"/>
        <v>1055.7694228358282</v>
      </c>
      <c r="AH8" s="574">
        <f t="shared" si="5"/>
        <v>1374.5574838823388</v>
      </c>
      <c r="AI8" s="574">
        <f t="shared" si="5"/>
        <v>1691.0634541316144</v>
      </c>
      <c r="AJ8" s="574">
        <f t="shared" si="5"/>
        <v>2008.0153805947375</v>
      </c>
      <c r="AK8" s="574">
        <f t="shared" si="5"/>
        <v>2322.834433241318</v>
      </c>
      <c r="AL8" s="574">
        <f t="shared" si="5"/>
        <v>2667.2648579215979</v>
      </c>
      <c r="AM8" s="566">
        <f t="shared" si="3"/>
        <v>-3709.9385315972736</v>
      </c>
      <c r="AN8" s="10">
        <f t="shared" si="4"/>
        <v>7</v>
      </c>
      <c r="AT8" s="574"/>
      <c r="AU8" s="574"/>
      <c r="AV8" s="574"/>
      <c r="AW8" s="574"/>
      <c r="AX8" s="574"/>
      <c r="AY8" s="574"/>
      <c r="AZ8" s="574"/>
      <c r="BA8" s="574"/>
      <c r="BB8" s="574"/>
      <c r="BC8" s="574"/>
      <c r="BD8" s="574"/>
      <c r="BE8" s="574"/>
      <c r="BF8" s="574"/>
      <c r="BG8" s="574"/>
      <c r="BH8" s="574"/>
      <c r="BI8" s="574"/>
      <c r="BJ8" s="566"/>
    </row>
    <row r="9" spans="2:62" ht="15.5">
      <c r="B9" s="569" t="s">
        <v>645</v>
      </c>
      <c r="C9" s="577" t="s">
        <v>646</v>
      </c>
      <c r="D9" s="577" t="s">
        <v>646</v>
      </c>
      <c r="E9" s="577" t="s">
        <v>647</v>
      </c>
      <c r="F9" s="577" t="s">
        <v>647</v>
      </c>
      <c r="G9" s="578">
        <v>120</v>
      </c>
      <c r="H9" s="578">
        <v>120</v>
      </c>
      <c r="I9" s="578">
        <v>120</v>
      </c>
      <c r="J9" s="578">
        <v>120</v>
      </c>
      <c r="K9" s="578">
        <v>120</v>
      </c>
      <c r="L9" s="578">
        <v>120</v>
      </c>
      <c r="M9" s="578">
        <v>120</v>
      </c>
      <c r="N9" s="578">
        <v>120</v>
      </c>
      <c r="O9" s="578">
        <v>120</v>
      </c>
      <c r="P9" s="578">
        <v>120</v>
      </c>
      <c r="Q9" s="578">
        <v>120</v>
      </c>
      <c r="R9" s="579">
        <v>120</v>
      </c>
      <c r="U9" s="573"/>
      <c r="V9" s="574">
        <v>4</v>
      </c>
      <c r="W9" s="574">
        <f>C125</f>
        <v>-63.717307692307656</v>
      </c>
      <c r="X9" s="574">
        <f t="shared" ref="X9:AL9" si="6">D125</f>
        <v>-399.96793846153844</v>
      </c>
      <c r="Y9" s="574">
        <f t="shared" si="6"/>
        <v>-651.56516551724133</v>
      </c>
      <c r="Z9" s="574">
        <f t="shared" si="6"/>
        <v>-904.63660689655171</v>
      </c>
      <c r="AA9" s="574">
        <f t="shared" si="6"/>
        <v>-906.37665409572412</v>
      </c>
      <c r="AB9" s="574">
        <f t="shared" si="6"/>
        <v>-804.31510915162085</v>
      </c>
      <c r="AC9" s="574">
        <f t="shared" si="6"/>
        <v>-664.35974978228967</v>
      </c>
      <c r="AD9" s="574">
        <f t="shared" si="6"/>
        <v>-250.44646416194968</v>
      </c>
      <c r="AE9" s="574">
        <f t="shared" si="6"/>
        <v>151.94346695067554</v>
      </c>
      <c r="AF9" s="574">
        <f t="shared" si="6"/>
        <v>547.28294797820445</v>
      </c>
      <c r="AG9" s="574">
        <f t="shared" si="6"/>
        <v>935.76942283582821</v>
      </c>
      <c r="AH9" s="574">
        <f t="shared" si="6"/>
        <v>1324.5574838823388</v>
      </c>
      <c r="AI9" s="574">
        <f t="shared" si="6"/>
        <v>1711.0634541316144</v>
      </c>
      <c r="AJ9" s="574">
        <f t="shared" si="6"/>
        <v>2098.0153805947375</v>
      </c>
      <c r="AK9" s="574">
        <f t="shared" si="6"/>
        <v>2482.834433241318</v>
      </c>
      <c r="AL9" s="574">
        <f t="shared" si="6"/>
        <v>2897.2648579215979</v>
      </c>
      <c r="AM9" s="566">
        <f t="shared" si="3"/>
        <v>-4645.3849957592229</v>
      </c>
      <c r="AN9" s="10">
        <f t="shared" si="4"/>
        <v>8</v>
      </c>
      <c r="AT9" s="574"/>
      <c r="AU9" s="574"/>
      <c r="AV9" s="574"/>
      <c r="AW9" s="574"/>
      <c r="AX9" s="574"/>
      <c r="AY9" s="574"/>
      <c r="AZ9" s="574"/>
      <c r="BA9" s="574"/>
      <c r="BB9" s="574"/>
      <c r="BC9" s="574"/>
      <c r="BD9" s="574"/>
      <c r="BE9" s="574"/>
      <c r="BF9" s="574"/>
      <c r="BG9" s="574"/>
      <c r="BH9" s="574"/>
      <c r="BI9" s="574"/>
      <c r="BJ9" s="566"/>
    </row>
    <row r="10" spans="2:62" ht="15.5">
      <c r="B10" s="569" t="s">
        <v>648</v>
      </c>
      <c r="C10" s="578">
        <f>C7+C8+C9</f>
        <v>-405</v>
      </c>
      <c r="D10" s="578">
        <f>D7+D8+D9</f>
        <v>-405</v>
      </c>
      <c r="E10" s="578">
        <f t="shared" ref="E10:R10" si="7">E7+E8+E9</f>
        <v>-285</v>
      </c>
      <c r="F10" s="578">
        <f t="shared" si="7"/>
        <v>-285</v>
      </c>
      <c r="G10" s="578">
        <f t="shared" si="7"/>
        <v>-20</v>
      </c>
      <c r="H10" s="578">
        <f t="shared" si="7"/>
        <v>-20</v>
      </c>
      <c r="I10" s="578">
        <f t="shared" si="7"/>
        <v>140</v>
      </c>
      <c r="J10" s="578">
        <f t="shared" si="7"/>
        <v>420</v>
      </c>
      <c r="K10" s="578">
        <f t="shared" si="7"/>
        <v>420</v>
      </c>
      <c r="L10" s="578">
        <f t="shared" si="7"/>
        <v>420</v>
      </c>
      <c r="M10" s="578">
        <f t="shared" si="7"/>
        <v>420</v>
      </c>
      <c r="N10" s="578">
        <f t="shared" si="7"/>
        <v>420</v>
      </c>
      <c r="O10" s="578">
        <f t="shared" si="7"/>
        <v>420</v>
      </c>
      <c r="P10" s="578">
        <f t="shared" si="7"/>
        <v>420</v>
      </c>
      <c r="Q10" s="578">
        <f t="shared" si="7"/>
        <v>420</v>
      </c>
      <c r="R10" s="579">
        <f t="shared" si="7"/>
        <v>420</v>
      </c>
      <c r="U10" s="573"/>
      <c r="V10" s="10">
        <v>5</v>
      </c>
      <c r="W10" s="574">
        <f>C158</f>
        <v>-63.717307692307656</v>
      </c>
      <c r="X10" s="574">
        <f t="shared" ref="X10:AL10" si="8">D158</f>
        <v>-399.96793846153844</v>
      </c>
      <c r="Y10" s="574">
        <f t="shared" si="8"/>
        <v>-651.56516551724133</v>
      </c>
      <c r="Z10" s="574">
        <f t="shared" si="8"/>
        <v>-904.63660689655171</v>
      </c>
      <c r="AA10" s="574">
        <f t="shared" si="8"/>
        <v>-861.37665409572412</v>
      </c>
      <c r="AB10" s="574">
        <f t="shared" si="8"/>
        <v>-714.31510915162085</v>
      </c>
      <c r="AC10" s="574">
        <f t="shared" si="8"/>
        <v>-574.35974978228967</v>
      </c>
      <c r="AD10" s="574">
        <f t="shared" si="8"/>
        <v>-160.44646416194968</v>
      </c>
      <c r="AE10" s="574">
        <f t="shared" si="8"/>
        <v>241.94346695067554</v>
      </c>
      <c r="AF10" s="574">
        <f t="shared" si="8"/>
        <v>637.28294797820445</v>
      </c>
      <c r="AG10" s="574">
        <f t="shared" si="8"/>
        <v>1025.7694228358282</v>
      </c>
      <c r="AH10" s="574">
        <f t="shared" si="8"/>
        <v>1414.5574838823388</v>
      </c>
      <c r="AI10" s="574">
        <f t="shared" si="8"/>
        <v>1801.0634541316144</v>
      </c>
      <c r="AJ10" s="574">
        <f t="shared" si="8"/>
        <v>2188.0153805947375</v>
      </c>
      <c r="AK10" s="574">
        <f t="shared" si="8"/>
        <v>2572.834433241318</v>
      </c>
      <c r="AL10" s="574">
        <f t="shared" si="8"/>
        <v>2987.2648579215979</v>
      </c>
      <c r="AM10" s="566">
        <f t="shared" si="3"/>
        <v>-4330.3849957592229</v>
      </c>
      <c r="AN10" s="10">
        <f t="shared" si="4"/>
        <v>8</v>
      </c>
      <c r="AT10" s="574"/>
      <c r="AU10" s="574"/>
      <c r="AV10" s="574"/>
      <c r="AW10" s="574"/>
      <c r="AX10" s="574"/>
      <c r="AY10" s="574"/>
      <c r="AZ10" s="574"/>
      <c r="BA10" s="574"/>
      <c r="BB10" s="574"/>
      <c r="BC10" s="574"/>
      <c r="BD10" s="574"/>
      <c r="BE10" s="574"/>
      <c r="BF10" s="574"/>
      <c r="BG10" s="574"/>
      <c r="BH10" s="574"/>
      <c r="BI10" s="574"/>
      <c r="BJ10" s="566"/>
    </row>
    <row r="11" spans="2:62" ht="16" thickBot="1">
      <c r="B11" s="580" t="s">
        <v>649</v>
      </c>
      <c r="C11" s="581">
        <f>C10/(1+$C$2)^(C6-$C$3)</f>
        <v>-405</v>
      </c>
      <c r="D11" s="581">
        <f>D10/(1+$C$2)^(D6-$C$3)</f>
        <v>-364.05857459266912</v>
      </c>
      <c r="E11" s="581">
        <f t="shared" ref="E11:R11" si="9">E10/(1+$C$2)^(E6-$C$3)</f>
        <v>-230.29119972148825</v>
      </c>
      <c r="F11" s="581">
        <f>F10/(1+$C$2)^(F6-$C$3)</f>
        <v>-207.01107632553254</v>
      </c>
      <c r="G11" s="581">
        <f t="shared" si="9"/>
        <v>-13.058550118599543</v>
      </c>
      <c r="H11" s="581">
        <f t="shared" si="9"/>
        <v>-11.738462080059948</v>
      </c>
      <c r="I11" s="581">
        <f t="shared" si="9"/>
        <v>73.86275162823965</v>
      </c>
      <c r="J11" s="581">
        <f t="shared" si="9"/>
        <v>199.18791165384647</v>
      </c>
      <c r="K11" s="581">
        <f t="shared" si="9"/>
        <v>179.05201775997494</v>
      </c>
      <c r="L11" s="581">
        <f t="shared" si="9"/>
        <v>160.95166015713025</v>
      </c>
      <c r="M11" s="581">
        <f t="shared" si="9"/>
        <v>144.68106660525564</v>
      </c>
      <c r="N11" s="581">
        <f t="shared" si="9"/>
        <v>130.05526636754661</v>
      </c>
      <c r="O11" s="581">
        <f t="shared" si="9"/>
        <v>116.90798738775042</v>
      </c>
      <c r="P11" s="581">
        <f t="shared" si="9"/>
        <v>105.08976604168433</v>
      </c>
      <c r="Q11" s="581">
        <f t="shared" si="9"/>
        <v>94.466247973858472</v>
      </c>
      <c r="R11" s="582">
        <f t="shared" si="9"/>
        <v>84.916660702421055</v>
      </c>
      <c r="U11" s="573"/>
      <c r="V11" s="574">
        <v>6</v>
      </c>
      <c r="W11" s="574">
        <f>C191</f>
        <v>-63.717307692307656</v>
      </c>
      <c r="X11" s="574">
        <f t="shared" ref="X11:AL11" si="10">D191</f>
        <v>-399.96793846153844</v>
      </c>
      <c r="Y11" s="574">
        <f t="shared" si="10"/>
        <v>-651.56516551724133</v>
      </c>
      <c r="Z11" s="574">
        <f t="shared" si="10"/>
        <v>-904.63660689655171</v>
      </c>
      <c r="AA11" s="574">
        <f t="shared" si="10"/>
        <v>-1026.3766540957242</v>
      </c>
      <c r="AB11" s="574">
        <f t="shared" si="10"/>
        <v>-1044.3151091516208</v>
      </c>
      <c r="AC11" s="574">
        <f t="shared" si="10"/>
        <v>-909.35974978228967</v>
      </c>
      <c r="AD11" s="574">
        <f t="shared" si="10"/>
        <v>-500.44646416194962</v>
      </c>
      <c r="AE11" s="574">
        <f t="shared" si="10"/>
        <v>-103.0565330493244</v>
      </c>
      <c r="AF11" s="574">
        <f t="shared" si="10"/>
        <v>287.28294797820456</v>
      </c>
      <c r="AG11" s="574">
        <f t="shared" si="10"/>
        <v>670.76942283582821</v>
      </c>
      <c r="AH11" s="574">
        <f t="shared" si="10"/>
        <v>1054.5574838823388</v>
      </c>
      <c r="AI11" s="574">
        <f t="shared" si="10"/>
        <v>1436.0634541316144</v>
      </c>
      <c r="AJ11" s="574">
        <f t="shared" si="10"/>
        <v>1818.0153805947375</v>
      </c>
      <c r="AK11" s="574">
        <f t="shared" si="10"/>
        <v>2197.834433241318</v>
      </c>
      <c r="AL11" s="574">
        <f t="shared" si="10"/>
        <v>2607.2648579215979</v>
      </c>
      <c r="AM11" s="566">
        <f t="shared" si="3"/>
        <v>-5603.4415288085484</v>
      </c>
      <c r="AN11" s="10">
        <f t="shared" si="4"/>
        <v>9</v>
      </c>
      <c r="AT11" s="574"/>
      <c r="AU11" s="574"/>
      <c r="AV11" s="574"/>
      <c r="AW11" s="574"/>
      <c r="AX11" s="574"/>
      <c r="AY11" s="574"/>
      <c r="AZ11" s="574"/>
      <c r="BA11" s="574"/>
      <c r="BB11" s="574"/>
      <c r="BC11" s="574"/>
      <c r="BD11" s="574"/>
      <c r="BE11" s="574"/>
      <c r="BF11" s="574"/>
      <c r="BG11" s="574"/>
      <c r="BH11" s="574"/>
      <c r="BI11" s="574"/>
      <c r="BJ11" s="566"/>
    </row>
    <row r="12" spans="2:62" ht="16" thickBot="1">
      <c r="U12" s="573"/>
      <c r="V12" s="10">
        <v>7</v>
      </c>
      <c r="W12" s="574">
        <f>C224</f>
        <v>-63.717307692307656</v>
      </c>
      <c r="X12" s="574">
        <f t="shared" ref="X12:AL12" si="11">D224</f>
        <v>-399.96793846153844</v>
      </c>
      <c r="Y12" s="574">
        <f t="shared" si="11"/>
        <v>-576.56516551724133</v>
      </c>
      <c r="Z12" s="574">
        <f t="shared" si="11"/>
        <v>-754.63660689655171</v>
      </c>
      <c r="AA12" s="574">
        <f t="shared" si="11"/>
        <v>-876.37665409572412</v>
      </c>
      <c r="AB12" s="574">
        <f t="shared" si="11"/>
        <v>-894.31510915162085</v>
      </c>
      <c r="AC12" s="574">
        <f t="shared" si="11"/>
        <v>-759.35974978228967</v>
      </c>
      <c r="AD12" s="574">
        <f t="shared" si="11"/>
        <v>-350.44646416194968</v>
      </c>
      <c r="AE12" s="574">
        <f t="shared" si="11"/>
        <v>46.94346695067555</v>
      </c>
      <c r="AF12" s="574">
        <f t="shared" si="11"/>
        <v>437.2829479782045</v>
      </c>
      <c r="AG12" s="574">
        <f t="shared" si="11"/>
        <v>820.76942283582821</v>
      </c>
      <c r="AH12" s="574">
        <f t="shared" si="11"/>
        <v>1204.5574838823388</v>
      </c>
      <c r="AI12" s="574">
        <f t="shared" si="11"/>
        <v>1586.0634541316144</v>
      </c>
      <c r="AJ12" s="574">
        <f t="shared" si="11"/>
        <v>1968.0153805947375</v>
      </c>
      <c r="AK12" s="574">
        <f t="shared" si="11"/>
        <v>2347.834433241318</v>
      </c>
      <c r="AL12" s="574">
        <f t="shared" si="11"/>
        <v>2757.2648579215979</v>
      </c>
      <c r="AM12" s="566">
        <f t="shared" si="3"/>
        <v>-4675.3849957592229</v>
      </c>
      <c r="AN12" s="10">
        <f t="shared" si="4"/>
        <v>8</v>
      </c>
      <c r="AT12" s="574"/>
      <c r="AU12" s="574"/>
      <c r="AV12" s="574"/>
      <c r="AW12" s="574"/>
      <c r="AX12" s="574"/>
      <c r="AY12" s="574"/>
      <c r="AZ12" s="574"/>
      <c r="BA12" s="574"/>
      <c r="BB12" s="574"/>
      <c r="BC12" s="574"/>
      <c r="BD12" s="574"/>
      <c r="BE12" s="574"/>
      <c r="BF12" s="574"/>
      <c r="BG12" s="574"/>
      <c r="BH12" s="574"/>
      <c r="BI12" s="574"/>
      <c r="BJ12" s="566"/>
    </row>
    <row r="13" spans="2:62" ht="15.5">
      <c r="B13" s="642" t="s">
        <v>650</v>
      </c>
      <c r="C13" s="583">
        <v>2009</v>
      </c>
      <c r="D13" s="583">
        <v>2010</v>
      </c>
      <c r="E13" s="583">
        <v>2011</v>
      </c>
      <c r="F13" s="583">
        <v>2012</v>
      </c>
      <c r="G13" s="583">
        <v>2013</v>
      </c>
      <c r="H13" s="583">
        <v>2014</v>
      </c>
      <c r="I13" s="583">
        <v>2015</v>
      </c>
      <c r="J13" s="583">
        <v>2016</v>
      </c>
      <c r="K13" s="583">
        <v>2017</v>
      </c>
      <c r="L13" s="583">
        <v>2018</v>
      </c>
      <c r="M13" s="583">
        <v>2019</v>
      </c>
      <c r="N13" s="583">
        <v>2020</v>
      </c>
      <c r="O13" s="583">
        <v>2021</v>
      </c>
      <c r="P13" s="583">
        <v>2022</v>
      </c>
      <c r="Q13" s="583">
        <v>2023</v>
      </c>
      <c r="R13" s="584">
        <v>2024</v>
      </c>
      <c r="U13" s="573"/>
      <c r="V13" s="574">
        <v>8</v>
      </c>
      <c r="W13" s="574">
        <f>C257</f>
        <v>-63.717307692307656</v>
      </c>
      <c r="X13" s="574">
        <f t="shared" ref="X13:AL13" si="12">D257</f>
        <v>-399.96793846153844</v>
      </c>
      <c r="Y13" s="574">
        <f t="shared" si="12"/>
        <v>-651.56516551724133</v>
      </c>
      <c r="Z13" s="574">
        <f t="shared" si="12"/>
        <v>-904.63660689655171</v>
      </c>
      <c r="AA13" s="574">
        <f t="shared" si="12"/>
        <v>-857.84900000000005</v>
      </c>
      <c r="AB13" s="574">
        <f t="shared" si="12"/>
        <v>-820.87600000000009</v>
      </c>
      <c r="AC13" s="574">
        <f t="shared" si="12"/>
        <v>-631.49940000000004</v>
      </c>
      <c r="AD13" s="574">
        <f t="shared" si="12"/>
        <v>-169.71920000000006</v>
      </c>
      <c r="AE13" s="574">
        <f t="shared" si="12"/>
        <v>284.46459999999996</v>
      </c>
      <c r="AF13" s="574">
        <f t="shared" si="12"/>
        <v>731.05200000000002</v>
      </c>
      <c r="AG13" s="574">
        <f t="shared" si="12"/>
        <v>1170.0430000000001</v>
      </c>
      <c r="AH13" s="574">
        <f t="shared" si="12"/>
        <v>1605.8688333333334</v>
      </c>
      <c r="AI13" s="574">
        <f t="shared" si="12"/>
        <v>2038.5295000000001</v>
      </c>
      <c r="AJ13" s="574">
        <f t="shared" si="12"/>
        <v>2468.0250000000001</v>
      </c>
      <c r="AK13" s="574">
        <f t="shared" si="12"/>
        <v>2894.3553333333334</v>
      </c>
      <c r="AL13" s="574">
        <f t="shared" si="12"/>
        <v>3317.5205000000001</v>
      </c>
      <c r="AM13" s="566">
        <f t="shared" si="3"/>
        <v>-4499.8306185676402</v>
      </c>
      <c r="AN13" s="10">
        <f t="shared" si="4"/>
        <v>8</v>
      </c>
    </row>
    <row r="14" spans="2:62" ht="15.5">
      <c r="B14" s="569"/>
      <c r="C14" s="585">
        <v>94.954999999999998</v>
      </c>
      <c r="D14" s="585">
        <v>94.954999999999998</v>
      </c>
      <c r="E14" s="585">
        <v>94.954999999999998</v>
      </c>
      <c r="F14" s="585">
        <v>94.954999999999998</v>
      </c>
      <c r="G14" s="585">
        <v>94.954999999999998</v>
      </c>
      <c r="H14" s="585">
        <v>94.954999999999998</v>
      </c>
      <c r="I14" s="585">
        <v>94.954999999999998</v>
      </c>
      <c r="J14" s="585">
        <v>94.954999999999998</v>
      </c>
      <c r="K14" s="585">
        <v>94.954999999999998</v>
      </c>
      <c r="L14" s="585">
        <v>94.954999999999998</v>
      </c>
      <c r="M14" s="585">
        <v>94.954999999999998</v>
      </c>
      <c r="N14" s="585">
        <v>94.954999999999998</v>
      </c>
      <c r="O14" s="585">
        <v>94.954999999999998</v>
      </c>
      <c r="P14" s="585">
        <v>94.954999999999998</v>
      </c>
      <c r="Q14" s="585">
        <v>94.954999999999998</v>
      </c>
      <c r="R14" s="586">
        <v>94.954999999999998</v>
      </c>
      <c r="U14" s="573"/>
      <c r="V14" s="10">
        <v>9</v>
      </c>
      <c r="W14" s="574">
        <f t="shared" ref="W14:AL14" si="13">C290</f>
        <v>-63.717307692307656</v>
      </c>
      <c r="X14" s="574">
        <f t="shared" si="13"/>
        <v>-399.96793846153844</v>
      </c>
      <c r="Y14" s="574">
        <f t="shared" si="13"/>
        <v>-606.75650769230765</v>
      </c>
      <c r="Z14" s="574">
        <f t="shared" si="13"/>
        <v>-819.59070769230766</v>
      </c>
      <c r="AA14" s="574">
        <f t="shared" si="13"/>
        <v>-775.02130769230769</v>
      </c>
      <c r="AB14" s="574">
        <f t="shared" si="13"/>
        <v>-738.04830769230773</v>
      </c>
      <c r="AC14" s="574">
        <f t="shared" si="13"/>
        <v>-548.67170769230768</v>
      </c>
      <c r="AD14" s="574">
        <f t="shared" si="13"/>
        <v>-86.891507692307698</v>
      </c>
      <c r="AE14" s="574">
        <f t="shared" si="13"/>
        <v>367.29229230769232</v>
      </c>
      <c r="AF14" s="574">
        <f t="shared" si="13"/>
        <v>813.87969230769227</v>
      </c>
      <c r="AG14" s="574">
        <f t="shared" si="13"/>
        <v>1252.8706923076923</v>
      </c>
      <c r="AH14" s="574">
        <f t="shared" si="13"/>
        <v>1688.6965256410256</v>
      </c>
      <c r="AI14" s="574">
        <f t="shared" si="13"/>
        <v>2121.3571923076925</v>
      </c>
      <c r="AJ14" s="574">
        <f t="shared" si="13"/>
        <v>2550.8526923076925</v>
      </c>
      <c r="AK14" s="574">
        <f t="shared" si="13"/>
        <v>2977.1830256410258</v>
      </c>
      <c r="AL14" s="574">
        <f t="shared" si="13"/>
        <v>3400.3481923076924</v>
      </c>
      <c r="AM14" s="566">
        <f t="shared" si="3"/>
        <v>-4038.6652923076922</v>
      </c>
      <c r="AN14" s="10">
        <f t="shared" si="4"/>
        <v>8</v>
      </c>
    </row>
    <row r="15" spans="2:62" ht="15.5">
      <c r="B15" s="569" t="s">
        <v>648</v>
      </c>
      <c r="C15" s="585">
        <v>94.954999999999998</v>
      </c>
      <c r="D15" s="585">
        <f t="shared" ref="D15:I15" si="14">D14*(1-F3)</f>
        <v>87.358599999999996</v>
      </c>
      <c r="E15" s="585">
        <f t="shared" si="14"/>
        <v>79.762199999999993</v>
      </c>
      <c r="F15" s="585">
        <f t="shared" si="14"/>
        <v>72.165800000000004</v>
      </c>
      <c r="G15" s="585">
        <f t="shared" si="14"/>
        <v>64.569399999999987</v>
      </c>
      <c r="H15" s="585">
        <f t="shared" si="14"/>
        <v>56.972999999999999</v>
      </c>
      <c r="I15" s="585">
        <f t="shared" si="14"/>
        <v>49.376600000000003</v>
      </c>
      <c r="J15" s="585">
        <f t="shared" ref="J15:R15" si="15">J14*(1-L3)</f>
        <v>41.780199999999994</v>
      </c>
      <c r="K15" s="585">
        <f t="shared" si="15"/>
        <v>34.183799999999998</v>
      </c>
      <c r="L15" s="585">
        <f t="shared" si="15"/>
        <v>26.587400000000002</v>
      </c>
      <c r="M15" s="585">
        <f t="shared" si="15"/>
        <v>18.990999999999996</v>
      </c>
      <c r="N15" s="585">
        <f t="shared" si="15"/>
        <v>15.82583333333333</v>
      </c>
      <c r="O15" s="585">
        <f t="shared" si="15"/>
        <v>12.660666666666664</v>
      </c>
      <c r="P15" s="585">
        <f t="shared" si="15"/>
        <v>9.4954999999999981</v>
      </c>
      <c r="Q15" s="585">
        <f t="shared" si="15"/>
        <v>6.330333333333332</v>
      </c>
      <c r="R15" s="586">
        <f t="shared" si="15"/>
        <v>3.165166666666666</v>
      </c>
      <c r="U15" s="573"/>
      <c r="V15" s="574">
        <v>10</v>
      </c>
      <c r="W15" s="574">
        <f t="shared" ref="W15:AL15" si="16">C323</f>
        <v>-63.717307692307656</v>
      </c>
      <c r="X15" s="574">
        <f t="shared" si="16"/>
        <v>-399.96793846153844</v>
      </c>
      <c r="Y15" s="574">
        <f t="shared" si="16"/>
        <v>-651.56516551724133</v>
      </c>
      <c r="Z15" s="574">
        <f t="shared" si="16"/>
        <v>-904.63660689655171</v>
      </c>
      <c r="AA15" s="574">
        <f t="shared" si="16"/>
        <v>-906.37665409572412</v>
      </c>
      <c r="AB15" s="574">
        <f t="shared" si="16"/>
        <v>-804.31510915162085</v>
      </c>
      <c r="AC15" s="574">
        <f t="shared" si="16"/>
        <v>-664.35974978228967</v>
      </c>
      <c r="AD15" s="574">
        <f t="shared" si="16"/>
        <v>-435.44646416194962</v>
      </c>
      <c r="AE15" s="574">
        <f t="shared" si="16"/>
        <v>-218.05653304932434</v>
      </c>
      <c r="AF15" s="574">
        <f t="shared" si="16"/>
        <v>-7.7170520217954106</v>
      </c>
      <c r="AG15" s="574">
        <f t="shared" si="16"/>
        <v>195.76942283582832</v>
      </c>
      <c r="AH15" s="574">
        <f t="shared" si="16"/>
        <v>399.557483882339</v>
      </c>
      <c r="AI15" s="574">
        <f t="shared" si="16"/>
        <v>601.06345413161466</v>
      </c>
      <c r="AJ15" s="574">
        <f t="shared" si="16"/>
        <v>803.01538059473774</v>
      </c>
      <c r="AK15" s="574">
        <f t="shared" si="16"/>
        <v>1002.8344332413184</v>
      </c>
      <c r="AL15" s="574">
        <f t="shared" si="16"/>
        <v>1232.2648579215984</v>
      </c>
      <c r="AM15" s="566">
        <f t="shared" si="3"/>
        <v>-5056.1585808303425</v>
      </c>
      <c r="AN15" s="10">
        <f t="shared" si="4"/>
        <v>10</v>
      </c>
    </row>
    <row r="16" spans="2:62" ht="16" thickBot="1">
      <c r="B16" s="580" t="s">
        <v>651</v>
      </c>
      <c r="C16" s="581">
        <f>C15/(1+$C$2)^(C13-$C$3)</f>
        <v>94.954999999999998</v>
      </c>
      <c r="D16" s="581">
        <f t="shared" ref="D16:R16" si="17">D15/(1+$C$2)^(D13-$C$3)</f>
        <v>78.527524430644789</v>
      </c>
      <c r="E16" s="581">
        <f t="shared" si="17"/>
        <v>64.450992036579962</v>
      </c>
      <c r="F16" s="581">
        <f t="shared" si="17"/>
        <v>52.417964673309186</v>
      </c>
      <c r="G16" s="581">
        <f t="shared" si="17"/>
        <v>42.159137301395056</v>
      </c>
      <c r="H16" s="581">
        <f t="shared" si="17"/>
        <v>33.438770004362773</v>
      </c>
      <c r="I16" s="581">
        <f t="shared" si="17"/>
        <v>26.050653871763842</v>
      </c>
      <c r="J16" s="581">
        <f t="shared" si="17"/>
        <v>19.814549491619132</v>
      </c>
      <c r="K16" s="581">
        <f t="shared" si="17"/>
        <v>14.573043725484361</v>
      </c>
      <c r="L16" s="581">
        <f t="shared" si="17"/>
        <v>10.188776593480203</v>
      </c>
      <c r="M16" s="581">
        <f t="shared" si="17"/>
        <v>6.5419955616676413</v>
      </c>
      <c r="N16" s="581">
        <f t="shared" si="17"/>
        <v>4.900554689654915</v>
      </c>
      <c r="O16" s="581">
        <f t="shared" si="17"/>
        <v>3.5241263309218538</v>
      </c>
      <c r="P16" s="581">
        <f t="shared" si="17"/>
        <v>2.3759044605924129</v>
      </c>
      <c r="Q16" s="581">
        <f t="shared" si="17"/>
        <v>1.4238162819615443</v>
      </c>
      <c r="R16" s="582">
        <f t="shared" si="17"/>
        <v>0.63994139023796737</v>
      </c>
      <c r="U16" s="573"/>
      <c r="V16" s="10">
        <v>11</v>
      </c>
      <c r="W16" s="574">
        <f t="shared" ref="W16:AL16" si="18">C356</f>
        <v>-63.717307692307656</v>
      </c>
      <c r="X16" s="574">
        <f t="shared" si="18"/>
        <v>-399.96793846153844</v>
      </c>
      <c r="Y16" s="574">
        <f t="shared" si="18"/>
        <v>-651.56516551724133</v>
      </c>
      <c r="Z16" s="574">
        <f t="shared" si="18"/>
        <v>-904.63660689655171</v>
      </c>
      <c r="AA16" s="574">
        <f t="shared" si="18"/>
        <v>-811.37665409572412</v>
      </c>
      <c r="AB16" s="574">
        <f t="shared" si="18"/>
        <v>-614.31510915162085</v>
      </c>
      <c r="AC16" s="574">
        <f t="shared" si="18"/>
        <v>-379.35974978228973</v>
      </c>
      <c r="AD16" s="574">
        <f t="shared" si="18"/>
        <v>-150.44646416194973</v>
      </c>
      <c r="AE16" s="574">
        <f t="shared" si="18"/>
        <v>66.943466950675486</v>
      </c>
      <c r="AF16" s="574">
        <f t="shared" si="18"/>
        <v>277.28294797820445</v>
      </c>
      <c r="AG16" s="574">
        <f t="shared" si="18"/>
        <v>480.76942283582815</v>
      </c>
      <c r="AH16" s="574">
        <f t="shared" si="18"/>
        <v>684.55748388233883</v>
      </c>
      <c r="AI16" s="574">
        <f t="shared" si="18"/>
        <v>886.06345413161455</v>
      </c>
      <c r="AJ16" s="574">
        <f t="shared" si="18"/>
        <v>1088.0153805947375</v>
      </c>
      <c r="AK16" s="574">
        <f t="shared" si="18"/>
        <v>1287.8344332413183</v>
      </c>
      <c r="AL16" s="574">
        <f t="shared" si="18"/>
        <v>1517.2648579215984</v>
      </c>
      <c r="AM16" s="566">
        <f t="shared" si="3"/>
        <v>-3975.3849957592233</v>
      </c>
      <c r="AN16" s="10">
        <f t="shared" si="4"/>
        <v>8</v>
      </c>
    </row>
    <row r="17" spans="2:40" ht="16" thickBot="1">
      <c r="C17" s="587"/>
      <c r="D17" s="587"/>
      <c r="E17" s="587"/>
      <c r="F17" s="587"/>
      <c r="G17" s="587"/>
      <c r="H17" s="587"/>
      <c r="I17" s="587"/>
      <c r="J17" s="587"/>
      <c r="K17" s="587"/>
      <c r="L17" s="587"/>
      <c r="M17" s="587"/>
      <c r="N17" s="587"/>
      <c r="O17" s="587"/>
      <c r="P17" s="587"/>
      <c r="Q17" s="587"/>
      <c r="R17" s="587"/>
      <c r="U17" s="573"/>
      <c r="V17" s="574">
        <v>12</v>
      </c>
      <c r="W17" s="574">
        <f t="shared" ref="W17:AL17" si="19">C389</f>
        <v>-63.717307692307656</v>
      </c>
      <c r="X17" s="574">
        <f t="shared" si="19"/>
        <v>-399.96793846153844</v>
      </c>
      <c r="Y17" s="574">
        <f t="shared" si="19"/>
        <v>-651.56516551724133</v>
      </c>
      <c r="Z17" s="574">
        <f t="shared" si="19"/>
        <v>-904.63660689655171</v>
      </c>
      <c r="AA17" s="574">
        <f t="shared" si="19"/>
        <v>-861.37665409572412</v>
      </c>
      <c r="AB17" s="574">
        <f t="shared" si="19"/>
        <v>-714.31510915162085</v>
      </c>
      <c r="AC17" s="574">
        <f t="shared" si="19"/>
        <v>-574.35974978228967</v>
      </c>
      <c r="AD17" s="574">
        <f t="shared" si="19"/>
        <v>-345.44646416194968</v>
      </c>
      <c r="AE17" s="574">
        <f t="shared" si="19"/>
        <v>-128.05653304932449</v>
      </c>
      <c r="AF17" s="574">
        <f t="shared" si="19"/>
        <v>82.282947978204447</v>
      </c>
      <c r="AG17" s="574">
        <f t="shared" si="19"/>
        <v>285.76942283582815</v>
      </c>
      <c r="AH17" s="574">
        <f t="shared" si="19"/>
        <v>489.55748388233883</v>
      </c>
      <c r="AI17" s="574">
        <f t="shared" si="19"/>
        <v>691.06345413161455</v>
      </c>
      <c r="AJ17" s="574">
        <f t="shared" si="19"/>
        <v>1008.0153805947375</v>
      </c>
      <c r="AK17" s="574">
        <f t="shared" si="19"/>
        <v>1322.8344332413183</v>
      </c>
      <c r="AL17" s="574">
        <f t="shared" si="19"/>
        <v>1667.2648579215984</v>
      </c>
      <c r="AM17" s="566">
        <f t="shared" si="3"/>
        <v>-4643.4415288085474</v>
      </c>
      <c r="AN17" s="10">
        <f t="shared" si="4"/>
        <v>9</v>
      </c>
    </row>
    <row r="18" spans="2:40" ht="16" thickBot="1">
      <c r="B18" s="642" t="s">
        <v>652</v>
      </c>
      <c r="C18" s="583">
        <v>2009</v>
      </c>
      <c r="D18" s="583">
        <v>2010</v>
      </c>
      <c r="E18" s="583">
        <v>2011</v>
      </c>
      <c r="F18" s="583">
        <v>2012</v>
      </c>
      <c r="G18" s="583">
        <v>2013</v>
      </c>
      <c r="H18" s="583">
        <v>2014</v>
      </c>
      <c r="I18" s="583">
        <v>2015</v>
      </c>
      <c r="J18" s="583">
        <v>2016</v>
      </c>
      <c r="K18" s="583">
        <v>2017</v>
      </c>
      <c r="L18" s="583">
        <v>2018</v>
      </c>
      <c r="M18" s="583">
        <v>2019</v>
      </c>
      <c r="N18" s="583">
        <v>2020</v>
      </c>
      <c r="O18" s="583">
        <v>2021</v>
      </c>
      <c r="P18" s="583">
        <v>2022</v>
      </c>
      <c r="Q18" s="583">
        <v>2023</v>
      </c>
      <c r="R18" s="584">
        <v>2024</v>
      </c>
      <c r="U18" s="573"/>
      <c r="V18" s="10">
        <v>13</v>
      </c>
      <c r="W18" s="574">
        <f t="shared" ref="W18:AL18" si="20">C422</f>
        <v>-63.717307692307656</v>
      </c>
      <c r="X18" s="574">
        <f t="shared" si="20"/>
        <v>-399.96793846153844</v>
      </c>
      <c r="Y18" s="574">
        <f t="shared" si="20"/>
        <v>-651.56516551724133</v>
      </c>
      <c r="Z18" s="574">
        <f t="shared" si="20"/>
        <v>-904.63660689655171</v>
      </c>
      <c r="AA18" s="574">
        <f t="shared" si="20"/>
        <v>-766.37665409572412</v>
      </c>
      <c r="AB18" s="574">
        <f t="shared" si="20"/>
        <v>-524.31510915162085</v>
      </c>
      <c r="AC18" s="574">
        <f t="shared" si="20"/>
        <v>-289.35974978228973</v>
      </c>
      <c r="AD18" s="574">
        <f t="shared" si="20"/>
        <v>-60.446464161949734</v>
      </c>
      <c r="AE18" s="574">
        <f t="shared" si="20"/>
        <v>156.94346695067549</v>
      </c>
      <c r="AF18" s="574">
        <f t="shared" si="20"/>
        <v>367.28294797820445</v>
      </c>
      <c r="AG18" s="574">
        <f t="shared" si="20"/>
        <v>570.76942283582821</v>
      </c>
      <c r="AH18" s="574">
        <f t="shared" si="20"/>
        <v>774.55748388233883</v>
      </c>
      <c r="AI18" s="574">
        <f t="shared" si="20"/>
        <v>976.06345413161455</v>
      </c>
      <c r="AJ18" s="574">
        <f t="shared" si="20"/>
        <v>1178.0153805947375</v>
      </c>
      <c r="AK18" s="574">
        <f t="shared" si="20"/>
        <v>1377.8344332413183</v>
      </c>
      <c r="AL18" s="574">
        <f t="shared" si="20"/>
        <v>1607.2648579215984</v>
      </c>
      <c r="AM18" s="566">
        <f t="shared" si="3"/>
        <v>-3660.3849957592233</v>
      </c>
      <c r="AN18" s="10">
        <f t="shared" si="4"/>
        <v>8</v>
      </c>
    </row>
    <row r="19" spans="2:40" ht="16" thickBot="1">
      <c r="B19" s="588" t="s">
        <v>653</v>
      </c>
      <c r="C19" s="589">
        <f t="shared" ref="C19:K19" si="21">V52</f>
        <v>-4.6523076923076925</v>
      </c>
      <c r="D19" s="589">
        <f t="shared" si="21"/>
        <v>-16.728024760770847</v>
      </c>
      <c r="E19" s="589">
        <f t="shared" si="21"/>
        <v>-37.460238859854897</v>
      </c>
      <c r="F19" s="589">
        <f t="shared" si="21"/>
        <v>-29.226507530881719</v>
      </c>
      <c r="G19" s="589">
        <f t="shared" si="21"/>
        <v>-16.874708758086005</v>
      </c>
      <c r="H19" s="589">
        <f t="shared" si="21"/>
        <v>5.2682217815309054</v>
      </c>
      <c r="I19" s="589">
        <f t="shared" si="21"/>
        <v>4.7356575615362786</v>
      </c>
      <c r="J19" s="589">
        <f t="shared" si="21"/>
        <v>3.4740465064408794</v>
      </c>
      <c r="K19" s="589">
        <f t="shared" si="21"/>
        <v>1.1875647128671445</v>
      </c>
      <c r="L19" s="578"/>
      <c r="M19" s="578"/>
      <c r="N19" s="578"/>
      <c r="O19" s="578"/>
      <c r="P19" s="578"/>
      <c r="Q19" s="578"/>
      <c r="R19" s="579"/>
      <c r="U19" s="573"/>
      <c r="V19" s="594">
        <v>14</v>
      </c>
      <c r="W19" s="595">
        <f t="shared" ref="W19:AL19" si="22">C455</f>
        <v>-63.717307692307656</v>
      </c>
      <c r="X19" s="595">
        <f t="shared" si="22"/>
        <v>-399.96793846153844</v>
      </c>
      <c r="Y19" s="595">
        <f t="shared" si="22"/>
        <v>-651.56516551724133</v>
      </c>
      <c r="Z19" s="595">
        <f t="shared" si="22"/>
        <v>-904.63660689655171</v>
      </c>
      <c r="AA19" s="595">
        <f t="shared" si="22"/>
        <v>-1026.376654095724</v>
      </c>
      <c r="AB19" s="595">
        <f t="shared" si="22"/>
        <v>-1044.3151091516206</v>
      </c>
      <c r="AC19" s="595">
        <f t="shared" si="22"/>
        <v>-909.35974978228944</v>
      </c>
      <c r="AD19" s="595">
        <f t="shared" si="22"/>
        <v>-685.44646416194939</v>
      </c>
      <c r="AE19" s="595">
        <f t="shared" si="22"/>
        <v>-473.05653304932412</v>
      </c>
      <c r="AF19" s="595">
        <f t="shared" si="22"/>
        <v>-267.71705202179515</v>
      </c>
      <c r="AG19" s="595">
        <f t="shared" si="22"/>
        <v>-69.23057716417145</v>
      </c>
      <c r="AH19" s="595">
        <f t="shared" si="22"/>
        <v>129.55748388233923</v>
      </c>
      <c r="AI19" s="595">
        <f t="shared" si="22"/>
        <v>326.06345413161489</v>
      </c>
      <c r="AJ19" s="595">
        <f t="shared" si="22"/>
        <v>523.01538059473796</v>
      </c>
      <c r="AK19" s="595">
        <f t="shared" si="22"/>
        <v>717.83443324131861</v>
      </c>
      <c r="AL19" s="595">
        <f t="shared" si="22"/>
        <v>942.2648579215986</v>
      </c>
      <c r="AM19" s="596">
        <f t="shared" si="3"/>
        <v>-6495.3891579945139</v>
      </c>
      <c r="AN19" s="10">
        <f t="shared" si="4"/>
        <v>11</v>
      </c>
    </row>
    <row r="20" spans="2:40" ht="15.5">
      <c r="B20" s="590" t="s">
        <v>654</v>
      </c>
      <c r="C20" s="591">
        <f>V55</f>
        <v>0</v>
      </c>
      <c r="D20" s="591">
        <f t="shared" ref="D20:R20" si="23">W55</f>
        <v>0</v>
      </c>
      <c r="E20" s="591">
        <f t="shared" si="23"/>
        <v>0</v>
      </c>
      <c r="F20" s="591">
        <f t="shared" si="23"/>
        <v>0</v>
      </c>
      <c r="G20" s="591">
        <f t="shared" si="23"/>
        <v>-13.362003102665604</v>
      </c>
      <c r="H20" s="591">
        <f t="shared" si="23"/>
        <v>32.933749052100843</v>
      </c>
      <c r="I20" s="591">
        <f t="shared" si="23"/>
        <v>29.863111119785145</v>
      </c>
      <c r="J20" s="591">
        <f t="shared" si="23"/>
        <v>28.36428474973625</v>
      </c>
      <c r="K20" s="591">
        <f t="shared" si="23"/>
        <v>25.758114597887808</v>
      </c>
      <c r="L20" s="591">
        <f t="shared" si="23"/>
        <v>24.430960190125408</v>
      </c>
      <c r="M20" s="591">
        <f t="shared" si="23"/>
        <v>22.217319270508206</v>
      </c>
      <c r="N20" s="591">
        <f t="shared" si="23"/>
        <v>21.044870543259844</v>
      </c>
      <c r="O20" s="591">
        <f t="shared" si="23"/>
        <v>19.163252102241682</v>
      </c>
      <c r="P20" s="591">
        <f t="shared" si="23"/>
        <v>18.129592631490727</v>
      </c>
      <c r="Q20" s="591">
        <f t="shared" si="23"/>
        <v>16.52905614744407</v>
      </c>
      <c r="R20" s="591">
        <f t="shared" si="23"/>
        <v>21.484978236183892</v>
      </c>
      <c r="U20" s="573"/>
      <c r="V20" s="10">
        <v>15</v>
      </c>
      <c r="W20" s="574">
        <f t="shared" ref="W20:AL20" si="24">C488</f>
        <v>-63.717307692307656</v>
      </c>
      <c r="X20" s="574">
        <f t="shared" si="24"/>
        <v>-399.96793846153844</v>
      </c>
      <c r="Y20" s="574">
        <f t="shared" si="24"/>
        <v>-651.56516551724133</v>
      </c>
      <c r="Z20" s="574">
        <f t="shared" si="24"/>
        <v>-904.63660689655171</v>
      </c>
      <c r="AA20" s="574">
        <f t="shared" si="24"/>
        <v>-931.37665409572412</v>
      </c>
      <c r="AB20" s="574">
        <f t="shared" si="24"/>
        <v>-854.31510915162085</v>
      </c>
      <c r="AC20" s="574">
        <f t="shared" si="24"/>
        <v>-624.35974978228967</v>
      </c>
      <c r="AD20" s="574">
        <f t="shared" si="24"/>
        <v>-400.44646416194962</v>
      </c>
      <c r="AE20" s="574">
        <f t="shared" si="24"/>
        <v>-188.05653304932434</v>
      </c>
      <c r="AF20" s="574">
        <f t="shared" si="24"/>
        <v>17.282947978204589</v>
      </c>
      <c r="AG20" s="574">
        <f t="shared" si="24"/>
        <v>215.76942283582832</v>
      </c>
      <c r="AH20" s="574">
        <f t="shared" si="24"/>
        <v>414.557483882339</v>
      </c>
      <c r="AI20" s="574">
        <f t="shared" si="24"/>
        <v>611.06345413161466</v>
      </c>
      <c r="AJ20" s="574">
        <f t="shared" si="24"/>
        <v>808.01538059473774</v>
      </c>
      <c r="AK20" s="574">
        <f t="shared" si="24"/>
        <v>1002.8344332413184</v>
      </c>
      <c r="AL20" s="574">
        <f t="shared" si="24"/>
        <v>1227.2648579215984</v>
      </c>
      <c r="AM20" s="566">
        <f t="shared" si="3"/>
        <v>-5018.4415288085474</v>
      </c>
      <c r="AN20" s="10">
        <f t="shared" si="4"/>
        <v>9</v>
      </c>
    </row>
    <row r="21" spans="2:40" ht="15.5">
      <c r="B21" s="592" t="s">
        <v>648</v>
      </c>
      <c r="C21" s="593">
        <f t="shared" ref="C21:R21" si="25">V66</f>
        <v>-4.6523076923076925</v>
      </c>
      <c r="D21" s="593">
        <f t="shared" si="25"/>
        <v>-18.60923076923077</v>
      </c>
      <c r="E21" s="593">
        <f t="shared" si="25"/>
        <v>-46.359427055702916</v>
      </c>
      <c r="F21" s="593">
        <f t="shared" si="25"/>
        <v>-40.237241379310341</v>
      </c>
      <c r="G21" s="593">
        <f t="shared" si="25"/>
        <v>-46.309447199172403</v>
      </c>
      <c r="H21" s="593">
        <f t="shared" si="25"/>
        <v>65.088544944103347</v>
      </c>
      <c r="I21" s="593">
        <f t="shared" si="25"/>
        <v>65.578759369331152</v>
      </c>
      <c r="J21" s="593">
        <f t="shared" si="25"/>
        <v>67.133085620339997</v>
      </c>
      <c r="K21" s="593">
        <f t="shared" si="25"/>
        <v>63.206131112625229</v>
      </c>
      <c r="L21" s="593">
        <f t="shared" si="25"/>
        <v>63.752081027528938</v>
      </c>
      <c r="M21" s="593">
        <f t="shared" si="25"/>
        <v>64.495474857623719</v>
      </c>
      <c r="N21" s="593">
        <f t="shared" si="25"/>
        <v>67.962227713177342</v>
      </c>
      <c r="O21" s="593">
        <f t="shared" si="25"/>
        <v>68.845303582609034</v>
      </c>
      <c r="P21" s="593">
        <f t="shared" si="25"/>
        <v>72.456426463123023</v>
      </c>
      <c r="Q21" s="593">
        <f t="shared" si="25"/>
        <v>73.488719313247358</v>
      </c>
      <c r="R21" s="593">
        <f t="shared" si="25"/>
        <v>106.26525801361335</v>
      </c>
      <c r="U21" s="573"/>
      <c r="V21" s="10">
        <v>16</v>
      </c>
      <c r="W21" s="574">
        <f t="shared" ref="W21:AL21" si="26">C521</f>
        <v>-63.717307692307656</v>
      </c>
      <c r="X21" s="574">
        <f t="shared" si="26"/>
        <v>-399.96793846153844</v>
      </c>
      <c r="Y21" s="574">
        <f t="shared" si="26"/>
        <v>-651.56516551724133</v>
      </c>
      <c r="Z21" s="574">
        <f t="shared" si="26"/>
        <v>-904.63660689655171</v>
      </c>
      <c r="AA21" s="574">
        <f t="shared" si="26"/>
        <v>-1026.376654095724</v>
      </c>
      <c r="AB21" s="574">
        <f t="shared" si="26"/>
        <v>-1044.3151091516206</v>
      </c>
      <c r="AC21" s="574">
        <f t="shared" si="26"/>
        <v>-1024.3597497822893</v>
      </c>
      <c r="AD21" s="574">
        <f t="shared" si="26"/>
        <v>-730.44646416194928</v>
      </c>
      <c r="AE21" s="574">
        <f t="shared" si="26"/>
        <v>-448.056533049324</v>
      </c>
      <c r="AF21" s="574">
        <f t="shared" si="26"/>
        <v>-172.71705202179504</v>
      </c>
      <c r="AG21" s="574">
        <f t="shared" si="26"/>
        <v>95.769422835828678</v>
      </c>
      <c r="AH21" s="574">
        <f t="shared" si="26"/>
        <v>364.55748388233934</v>
      </c>
      <c r="AI21" s="574">
        <f t="shared" si="26"/>
        <v>631.063454131615</v>
      </c>
      <c r="AJ21" s="574">
        <f t="shared" si="26"/>
        <v>898.01538059473796</v>
      </c>
      <c r="AK21" s="574">
        <f t="shared" si="26"/>
        <v>1162.8344332413185</v>
      </c>
      <c r="AL21" s="574">
        <f t="shared" si="26"/>
        <v>1457.2648579215986</v>
      </c>
      <c r="AM21" s="566">
        <f t="shared" si="3"/>
        <v>-6466.1585808303416</v>
      </c>
      <c r="AN21" s="10">
        <f t="shared" si="4"/>
        <v>10</v>
      </c>
    </row>
    <row r="22" spans="2:40" ht="16" thickBot="1">
      <c r="B22" s="597" t="s">
        <v>655</v>
      </c>
      <c r="C22" s="598">
        <f>C19+C20</f>
        <v>-4.6523076923076925</v>
      </c>
      <c r="D22" s="598">
        <f>D19+D20</f>
        <v>-16.728024760770847</v>
      </c>
      <c r="E22" s="598">
        <f>E19+E20</f>
        <v>-37.460238859854897</v>
      </c>
      <c r="F22" s="598">
        <f>F19+F20</f>
        <v>-29.226507530881719</v>
      </c>
      <c r="G22" s="598">
        <f>G19+G20</f>
        <v>-30.236711860751608</v>
      </c>
      <c r="H22" s="598">
        <f t="shared" ref="H22:R22" si="27">H19+H20</f>
        <v>38.201970833631748</v>
      </c>
      <c r="I22" s="598">
        <f t="shared" si="27"/>
        <v>34.598768681321424</v>
      </c>
      <c r="J22" s="598">
        <f t="shared" si="27"/>
        <v>31.838331256177128</v>
      </c>
      <c r="K22" s="598">
        <f t="shared" si="27"/>
        <v>26.945679310754951</v>
      </c>
      <c r="L22" s="598">
        <f t="shared" si="27"/>
        <v>24.430960190125408</v>
      </c>
      <c r="M22" s="598">
        <f t="shared" si="27"/>
        <v>22.217319270508206</v>
      </c>
      <c r="N22" s="598">
        <f t="shared" si="27"/>
        <v>21.044870543259844</v>
      </c>
      <c r="O22" s="598">
        <f t="shared" si="27"/>
        <v>19.163252102241682</v>
      </c>
      <c r="P22" s="598">
        <f t="shared" si="27"/>
        <v>18.129592631490727</v>
      </c>
      <c r="Q22" s="598">
        <f t="shared" si="27"/>
        <v>16.52905614744407</v>
      </c>
      <c r="R22" s="599">
        <f t="shared" si="27"/>
        <v>21.484978236183892</v>
      </c>
      <c r="S22" s="600"/>
      <c r="U22" s="573"/>
      <c r="V22" s="601">
        <v>17</v>
      </c>
      <c r="W22" s="602">
        <f t="shared" ref="W22:AL22" si="28">C554</f>
        <v>-63.717307692307656</v>
      </c>
      <c r="X22" s="602">
        <f t="shared" si="28"/>
        <v>-399.96793846153844</v>
      </c>
      <c r="Y22" s="602">
        <f t="shared" si="28"/>
        <v>-651.56516551724133</v>
      </c>
      <c r="Z22" s="602">
        <f t="shared" si="28"/>
        <v>-904.63660689655171</v>
      </c>
      <c r="AA22" s="602">
        <f t="shared" si="28"/>
        <v>-981.37665409572412</v>
      </c>
      <c r="AB22" s="602">
        <f t="shared" si="28"/>
        <v>-954.31510915162085</v>
      </c>
      <c r="AC22" s="602">
        <f t="shared" si="28"/>
        <v>-934.35974978228967</v>
      </c>
      <c r="AD22" s="602">
        <f t="shared" si="28"/>
        <v>-640.44646416194962</v>
      </c>
      <c r="AE22" s="602">
        <f t="shared" si="28"/>
        <v>-358.05653304932434</v>
      </c>
      <c r="AF22" s="602">
        <f t="shared" si="28"/>
        <v>-82.717052021795382</v>
      </c>
      <c r="AG22" s="602">
        <f t="shared" si="28"/>
        <v>185.76942283582832</v>
      </c>
      <c r="AH22" s="602">
        <f t="shared" si="28"/>
        <v>454.557483882339</v>
      </c>
      <c r="AI22" s="602">
        <f t="shared" si="28"/>
        <v>721.06345413161466</v>
      </c>
      <c r="AJ22" s="602">
        <f t="shared" si="28"/>
        <v>988.01538059473774</v>
      </c>
      <c r="AK22" s="602">
        <f t="shared" si="28"/>
        <v>1252.8344332413185</v>
      </c>
      <c r="AL22" s="602">
        <f t="shared" si="28"/>
        <v>1547.2648579215986</v>
      </c>
      <c r="AM22" s="566">
        <f t="shared" si="3"/>
        <v>-5971.1585808303425</v>
      </c>
      <c r="AN22" s="10">
        <f t="shared" si="4"/>
        <v>10</v>
      </c>
    </row>
    <row r="23" spans="2:40" ht="16" thickBot="1">
      <c r="C23" s="603"/>
      <c r="D23" s="603"/>
      <c r="E23" s="603"/>
      <c r="F23" s="603"/>
      <c r="G23" s="603"/>
      <c r="H23" s="603"/>
      <c r="I23" s="603"/>
      <c r="J23" s="603"/>
      <c r="K23" s="603"/>
      <c r="L23" s="603"/>
      <c r="M23" s="603"/>
      <c r="N23" s="603"/>
      <c r="O23" s="603"/>
      <c r="P23" s="603"/>
      <c r="Q23" s="603"/>
      <c r="R23" s="603"/>
      <c r="S23" s="600"/>
      <c r="U23" s="573"/>
      <c r="V23" s="10">
        <v>18</v>
      </c>
      <c r="W23" s="574">
        <f t="shared" ref="W23:AL23" si="29">C587</f>
        <v>-63.717307692307656</v>
      </c>
      <c r="X23" s="574">
        <f t="shared" si="29"/>
        <v>-399.96793846153844</v>
      </c>
      <c r="Y23" s="574">
        <f t="shared" si="29"/>
        <v>-305.01293846153845</v>
      </c>
      <c r="Z23" s="574">
        <f t="shared" si="29"/>
        <v>-210.05793846153847</v>
      </c>
      <c r="AA23" s="574">
        <f t="shared" si="29"/>
        <v>-128.47203367068857</v>
      </c>
      <c r="AB23" s="574">
        <f t="shared" si="29"/>
        <v>-0.56021730122816393</v>
      </c>
      <c r="AC23" s="574">
        <f t="shared" si="29"/>
        <v>124.67250849837059</v>
      </c>
      <c r="AD23" s="574">
        <f t="shared" si="29"/>
        <v>248.01919603921584</v>
      </c>
      <c r="AE23" s="574">
        <f t="shared" si="29"/>
        <v>369.07534481011305</v>
      </c>
      <c r="AF23" s="574">
        <f t="shared" si="29"/>
        <v>488.49089113686699</v>
      </c>
      <c r="AG23" s="574">
        <f t="shared" si="29"/>
        <v>605.94720340450363</v>
      </c>
      <c r="AH23" s="574">
        <f t="shared" si="29"/>
        <v>721.97730736041103</v>
      </c>
      <c r="AI23" s="574">
        <f t="shared" si="29"/>
        <v>836.33082752387827</v>
      </c>
      <c r="AJ23" s="574">
        <f t="shared" si="29"/>
        <v>949.44523090721987</v>
      </c>
      <c r="AK23" s="574">
        <f t="shared" si="29"/>
        <v>1061.1243214812509</v>
      </c>
      <c r="AL23" s="574">
        <f t="shared" si="29"/>
        <v>1178.5251428974002</v>
      </c>
      <c r="AM23" s="566">
        <f t="shared" si="3"/>
        <v>-1107.7883740488398</v>
      </c>
      <c r="AN23" s="10">
        <f t="shared" si="4"/>
        <v>6</v>
      </c>
    </row>
    <row r="24" spans="2:40" ht="15.5">
      <c r="B24" s="607"/>
      <c r="C24" s="608">
        <v>2009</v>
      </c>
      <c r="D24" s="608">
        <v>2010</v>
      </c>
      <c r="E24" s="608">
        <v>2011</v>
      </c>
      <c r="F24" s="608">
        <v>2012</v>
      </c>
      <c r="G24" s="608">
        <v>2013</v>
      </c>
      <c r="H24" s="608">
        <v>2014</v>
      </c>
      <c r="I24" s="608">
        <v>2015</v>
      </c>
      <c r="J24" s="608">
        <v>2016</v>
      </c>
      <c r="K24" s="608">
        <v>2017</v>
      </c>
      <c r="L24" s="608">
        <v>2018</v>
      </c>
      <c r="M24" s="608">
        <v>2019</v>
      </c>
      <c r="N24" s="608">
        <v>2020</v>
      </c>
      <c r="O24" s="608">
        <v>2021</v>
      </c>
      <c r="P24" s="608">
        <v>2022</v>
      </c>
      <c r="Q24" s="608">
        <v>2023</v>
      </c>
      <c r="R24" s="609">
        <v>2024</v>
      </c>
      <c r="U24" s="573"/>
      <c r="V24" s="10">
        <v>19</v>
      </c>
      <c r="W24" s="574">
        <f t="shared" ref="W24:AL24" si="30">C620</f>
        <v>-63.717307692307656</v>
      </c>
      <c r="X24" s="574">
        <f t="shared" si="30"/>
        <v>-399.96793846153844</v>
      </c>
      <c r="Y24" s="574">
        <f t="shared" si="30"/>
        <v>-576.56516551724133</v>
      </c>
      <c r="Z24" s="574">
        <f t="shared" si="30"/>
        <v>-754.63660689655171</v>
      </c>
      <c r="AA24" s="574">
        <f t="shared" si="30"/>
        <v>-781.37665409572412</v>
      </c>
      <c r="AB24" s="574">
        <f t="shared" si="30"/>
        <v>-704.31510915162085</v>
      </c>
      <c r="AC24" s="574">
        <f t="shared" si="30"/>
        <v>-474.35974978228967</v>
      </c>
      <c r="AD24" s="574">
        <f t="shared" si="30"/>
        <v>-250.44646416194968</v>
      </c>
      <c r="AE24" s="574">
        <f t="shared" si="30"/>
        <v>-38.056533049324457</v>
      </c>
      <c r="AF24" s="574">
        <f t="shared" si="30"/>
        <v>167.28294797820448</v>
      </c>
      <c r="AG24" s="574">
        <f t="shared" si="30"/>
        <v>365.76942283582821</v>
      </c>
      <c r="AH24" s="574">
        <f t="shared" si="30"/>
        <v>564.55748388233883</v>
      </c>
      <c r="AI24" s="574">
        <f t="shared" si="30"/>
        <v>761.06345413161455</v>
      </c>
      <c r="AJ24" s="574">
        <f t="shared" si="30"/>
        <v>958.01538059473751</v>
      </c>
      <c r="AK24" s="574">
        <f t="shared" si="30"/>
        <v>1152.8344332413183</v>
      </c>
      <c r="AL24" s="574">
        <f t="shared" si="30"/>
        <v>1377.2648579215984</v>
      </c>
      <c r="AM24" s="566">
        <f t="shared" si="3"/>
        <v>-4043.4415288085479</v>
      </c>
      <c r="AN24" s="10">
        <f t="shared" si="4"/>
        <v>9</v>
      </c>
    </row>
    <row r="25" spans="2:40" ht="16" thickBot="1">
      <c r="B25" s="610" t="s">
        <v>656</v>
      </c>
      <c r="C25" s="611">
        <f>C22+C16+C11</f>
        <v>-314.69730769230767</v>
      </c>
      <c r="D25" s="611">
        <f>D22+D16+D11</f>
        <v>-302.25907492279521</v>
      </c>
      <c r="E25" s="611">
        <f>E22+E16+E11</f>
        <v>-203.30044654476319</v>
      </c>
      <c r="F25" s="611">
        <f t="shared" ref="F25:R25" si="31">F22+F16+F11</f>
        <v>-183.81961918310509</v>
      </c>
      <c r="G25" s="611">
        <f t="shared" si="31"/>
        <v>-1.1361246779560954</v>
      </c>
      <c r="H25" s="611">
        <f t="shared" si="31"/>
        <v>59.902278757934567</v>
      </c>
      <c r="I25" s="611">
        <f t="shared" si="31"/>
        <v>134.51217418132492</v>
      </c>
      <c r="J25" s="611">
        <f t="shared" si="31"/>
        <v>250.84079240164272</v>
      </c>
      <c r="K25" s="611">
        <f t="shared" si="31"/>
        <v>220.57074079621424</v>
      </c>
      <c r="L25" s="611">
        <f t="shared" si="31"/>
        <v>195.57139694073587</v>
      </c>
      <c r="M25" s="611">
        <f t="shared" si="31"/>
        <v>173.44038143743148</v>
      </c>
      <c r="N25" s="611">
        <f t="shared" si="31"/>
        <v>156.00069160046138</v>
      </c>
      <c r="O25" s="611">
        <f t="shared" si="31"/>
        <v>139.59536582091397</v>
      </c>
      <c r="P25" s="611">
        <f t="shared" si="31"/>
        <v>125.59526313376747</v>
      </c>
      <c r="Q25" s="611">
        <f t="shared" si="31"/>
        <v>112.41912040326409</v>
      </c>
      <c r="R25" s="612">
        <f t="shared" si="31"/>
        <v>107.04158032884291</v>
      </c>
      <c r="U25" s="573"/>
      <c r="V25" s="574">
        <v>20</v>
      </c>
      <c r="W25" s="574">
        <f t="shared" ref="W25:AL25" si="32">C653</f>
        <v>-63.717307692307656</v>
      </c>
      <c r="X25" s="574">
        <f t="shared" si="32"/>
        <v>-399.96793846153844</v>
      </c>
      <c r="Y25" s="574">
        <f t="shared" si="32"/>
        <v>-576.56516551724133</v>
      </c>
      <c r="Z25" s="574">
        <f t="shared" si="32"/>
        <v>-754.63660689655171</v>
      </c>
      <c r="AA25" s="574">
        <f t="shared" si="32"/>
        <v>-876.37665409572412</v>
      </c>
      <c r="AB25" s="574">
        <f t="shared" si="32"/>
        <v>-894.31510915162085</v>
      </c>
      <c r="AC25" s="574">
        <f t="shared" si="32"/>
        <v>-874.35974978228967</v>
      </c>
      <c r="AD25" s="574">
        <f t="shared" si="32"/>
        <v>-580.44646416194962</v>
      </c>
      <c r="AE25" s="574">
        <f t="shared" si="32"/>
        <v>-298.05653304932434</v>
      </c>
      <c r="AF25" s="574">
        <f t="shared" si="32"/>
        <v>-22.717052021795411</v>
      </c>
      <c r="AG25" s="574">
        <f t="shared" si="32"/>
        <v>245.76942283582832</v>
      </c>
      <c r="AH25" s="574">
        <f t="shared" si="32"/>
        <v>514.55748388233906</v>
      </c>
      <c r="AI25" s="574">
        <f t="shared" si="32"/>
        <v>781.06345413161478</v>
      </c>
      <c r="AJ25" s="574">
        <f t="shared" si="32"/>
        <v>1048.0153805947377</v>
      </c>
      <c r="AK25" s="574">
        <f t="shared" si="32"/>
        <v>1312.8344332413185</v>
      </c>
      <c r="AL25" s="574">
        <f t="shared" si="32"/>
        <v>1607.2648579215986</v>
      </c>
      <c r="AM25" s="566">
        <f t="shared" si="3"/>
        <v>-5341.1585808303425</v>
      </c>
      <c r="AN25" s="10">
        <f t="shared" si="4"/>
        <v>10</v>
      </c>
    </row>
    <row r="26" spans="2:40" ht="16" thickBot="1">
      <c r="B26" s="613" t="s">
        <v>657</v>
      </c>
      <c r="C26" s="614">
        <f>C30+C31+C21+C15+C10</f>
        <v>-63.722307692307709</v>
      </c>
      <c r="D26" s="615">
        <f>C26+D21+D15+D10</f>
        <v>-399.97293846153849</v>
      </c>
      <c r="E26" s="615">
        <f>+D26+E21+E15+E10</f>
        <v>-651.57016551724132</v>
      </c>
      <c r="F26" s="615">
        <f t="shared" ref="F26:R26" si="33">+E26+F21+F15+F10</f>
        <v>-904.64160689655171</v>
      </c>
      <c r="G26" s="615">
        <f t="shared" si="33"/>
        <v>-906.38165409572412</v>
      </c>
      <c r="H26" s="615">
        <f t="shared" si="33"/>
        <v>-804.32010915162084</v>
      </c>
      <c r="I26" s="615">
        <f t="shared" si="33"/>
        <v>-549.36474978228966</v>
      </c>
      <c r="J26" s="615">
        <f t="shared" si="33"/>
        <v>-20.451464161949673</v>
      </c>
      <c r="K26" s="615">
        <f t="shared" si="33"/>
        <v>496.93846695067555</v>
      </c>
      <c r="L26" s="615">
        <f t="shared" si="33"/>
        <v>1007.2779479782045</v>
      </c>
      <c r="M26" s="615">
        <f t="shared" si="33"/>
        <v>1510.7644228358281</v>
      </c>
      <c r="N26" s="615">
        <f t="shared" si="33"/>
        <v>2014.5524838823387</v>
      </c>
      <c r="O26" s="615">
        <f t="shared" si="33"/>
        <v>2516.0584541316143</v>
      </c>
      <c r="P26" s="615">
        <f t="shared" si="33"/>
        <v>3018.0103805947374</v>
      </c>
      <c r="Q26" s="615">
        <f t="shared" si="33"/>
        <v>3517.8294332413179</v>
      </c>
      <c r="R26" s="616">
        <f t="shared" si="33"/>
        <v>4047.2598579215978</v>
      </c>
      <c r="U26" s="573"/>
      <c r="V26" s="10">
        <v>21</v>
      </c>
      <c r="W26" s="574">
        <f t="shared" ref="W26:AL26" si="34">C686</f>
        <v>-63.717307692307656</v>
      </c>
      <c r="X26" s="574">
        <f t="shared" si="34"/>
        <v>-399.96793846153844</v>
      </c>
      <c r="Y26" s="574">
        <f t="shared" si="34"/>
        <v>-576.56516551724133</v>
      </c>
      <c r="Z26" s="574">
        <f t="shared" si="34"/>
        <v>-754.63660689655171</v>
      </c>
      <c r="AA26" s="574">
        <f t="shared" si="34"/>
        <v>-831.37665409572412</v>
      </c>
      <c r="AB26" s="574">
        <f t="shared" si="34"/>
        <v>-804.31510915162085</v>
      </c>
      <c r="AC26" s="574">
        <f t="shared" si="34"/>
        <v>-784.35974978228967</v>
      </c>
      <c r="AD26" s="574">
        <f t="shared" si="34"/>
        <v>-490.44646416194962</v>
      </c>
      <c r="AE26" s="574">
        <f t="shared" si="34"/>
        <v>-208.05653304932434</v>
      </c>
      <c r="AF26" s="574">
        <f t="shared" si="34"/>
        <v>67.282947978204589</v>
      </c>
      <c r="AG26" s="574">
        <f t="shared" si="34"/>
        <v>335.76942283582832</v>
      </c>
      <c r="AH26" s="574">
        <f t="shared" si="34"/>
        <v>604.55748388233906</v>
      </c>
      <c r="AI26" s="574">
        <f t="shared" si="34"/>
        <v>871.06345413161478</v>
      </c>
      <c r="AJ26" s="574">
        <f t="shared" si="34"/>
        <v>1138.0153805947377</v>
      </c>
      <c r="AK26" s="574">
        <f t="shared" si="34"/>
        <v>1402.8344332413185</v>
      </c>
      <c r="AL26" s="574">
        <f t="shared" si="34"/>
        <v>1697.2648579215986</v>
      </c>
      <c r="AM26" s="566">
        <f t="shared" si="3"/>
        <v>-4913.4415288085474</v>
      </c>
      <c r="AN26" s="10">
        <f t="shared" si="4"/>
        <v>9</v>
      </c>
    </row>
    <row r="27" spans="2:40" ht="16" thickBot="1">
      <c r="U27" s="573"/>
      <c r="V27" s="574">
        <v>22</v>
      </c>
      <c r="W27" s="574">
        <f t="shared" ref="W27:AL27" si="35">C719</f>
        <v>-63.717307692307656</v>
      </c>
      <c r="X27" s="574">
        <f t="shared" si="35"/>
        <v>-399.96793846153844</v>
      </c>
      <c r="Y27" s="574">
        <f t="shared" si="35"/>
        <v>-651.56516551724133</v>
      </c>
      <c r="Z27" s="574">
        <f t="shared" si="35"/>
        <v>-904.63660689655171</v>
      </c>
      <c r="AA27" s="574">
        <f t="shared" si="35"/>
        <v>-857.84900000000005</v>
      </c>
      <c r="AB27" s="574">
        <f t="shared" si="35"/>
        <v>-820.87600000000009</v>
      </c>
      <c r="AC27" s="574">
        <f t="shared" si="35"/>
        <v>-631.49940000000004</v>
      </c>
      <c r="AD27" s="574">
        <f t="shared" si="35"/>
        <v>-354.7192</v>
      </c>
      <c r="AE27" s="574">
        <f t="shared" si="35"/>
        <v>-85.535399999999981</v>
      </c>
      <c r="AF27" s="574">
        <f t="shared" si="35"/>
        <v>176.05200000000002</v>
      </c>
      <c r="AG27" s="574">
        <f t="shared" si="35"/>
        <v>430.04300000000001</v>
      </c>
      <c r="AH27" s="574">
        <f t="shared" si="35"/>
        <v>680.86883333333333</v>
      </c>
      <c r="AI27" s="574">
        <f t="shared" si="35"/>
        <v>928.52949999999998</v>
      </c>
      <c r="AJ27" s="574">
        <f t="shared" si="35"/>
        <v>1173.0250000000001</v>
      </c>
      <c r="AK27" s="574">
        <f t="shared" si="35"/>
        <v>1414.3553333333334</v>
      </c>
      <c r="AL27" s="574">
        <f t="shared" si="35"/>
        <v>1652.5205000000001</v>
      </c>
      <c r="AM27" s="566">
        <f t="shared" si="3"/>
        <v>-4770.366018567639</v>
      </c>
      <c r="AN27" s="10">
        <f t="shared" si="4"/>
        <v>9</v>
      </c>
    </row>
    <row r="28" spans="2:40" ht="15.5">
      <c r="B28" s="1039" t="s">
        <v>658</v>
      </c>
      <c r="C28" s="1040"/>
      <c r="U28" s="573"/>
      <c r="V28" s="10">
        <v>23</v>
      </c>
      <c r="W28" s="574">
        <f t="shared" ref="W28:AL28" si="36">C752</f>
        <v>-63.717307692307656</v>
      </c>
      <c r="X28" s="574">
        <f t="shared" si="36"/>
        <v>-399.96793846153844</v>
      </c>
      <c r="Y28" s="574">
        <f t="shared" si="36"/>
        <v>-651.56516551724133</v>
      </c>
      <c r="Z28" s="574">
        <f t="shared" si="36"/>
        <v>-904.63660689655171</v>
      </c>
      <c r="AA28" s="574">
        <f t="shared" si="36"/>
        <v>-762.84900000000005</v>
      </c>
      <c r="AB28" s="574">
        <f t="shared" si="36"/>
        <v>-630.87600000000009</v>
      </c>
      <c r="AC28" s="574">
        <f t="shared" si="36"/>
        <v>-346.49940000000004</v>
      </c>
      <c r="AD28" s="574">
        <f t="shared" si="36"/>
        <v>-69.719200000000058</v>
      </c>
      <c r="AE28" s="574">
        <f t="shared" si="36"/>
        <v>199.46459999999993</v>
      </c>
      <c r="AF28" s="574">
        <f t="shared" si="36"/>
        <v>461.05199999999991</v>
      </c>
      <c r="AG28" s="574">
        <f t="shared" si="36"/>
        <v>715.04299999999989</v>
      </c>
      <c r="AH28" s="574">
        <f t="shared" si="36"/>
        <v>965.86883333333321</v>
      </c>
      <c r="AI28" s="574">
        <f t="shared" si="36"/>
        <v>1213.5294999999999</v>
      </c>
      <c r="AJ28" s="574">
        <f t="shared" si="36"/>
        <v>1458.0249999999999</v>
      </c>
      <c r="AK28" s="574">
        <f t="shared" si="36"/>
        <v>1699.3553333333332</v>
      </c>
      <c r="AL28" s="574">
        <f t="shared" si="36"/>
        <v>1937.5204999999999</v>
      </c>
      <c r="AM28" s="566">
        <f t="shared" si="3"/>
        <v>-3829.8306185676397</v>
      </c>
      <c r="AN28" s="10">
        <f t="shared" si="4"/>
        <v>8</v>
      </c>
    </row>
    <row r="29" spans="2:40" ht="16" thickBot="1">
      <c r="B29" s="569" t="s">
        <v>360</v>
      </c>
      <c r="C29" s="617">
        <f>SUM(C25:R25)</f>
        <v>670.27721278160629</v>
      </c>
      <c r="U29" s="573"/>
      <c r="V29" s="574">
        <v>24</v>
      </c>
      <c r="W29" s="574">
        <f t="shared" ref="W29:AL29" si="37">C785</f>
        <v>-63.717307692307656</v>
      </c>
      <c r="X29" s="574">
        <f t="shared" si="37"/>
        <v>-399.96793846153844</v>
      </c>
      <c r="Y29" s="574">
        <f t="shared" si="37"/>
        <v>-651.56516551724133</v>
      </c>
      <c r="Z29" s="574">
        <f t="shared" si="37"/>
        <v>-904.63660689655171</v>
      </c>
      <c r="AA29" s="574">
        <f t="shared" si="37"/>
        <v>-857.84900000000005</v>
      </c>
      <c r="AB29" s="574">
        <f t="shared" si="37"/>
        <v>-820.87600000000009</v>
      </c>
      <c r="AC29" s="574">
        <f t="shared" si="37"/>
        <v>-746.49940000000004</v>
      </c>
      <c r="AD29" s="574">
        <f t="shared" si="37"/>
        <v>-399.7192</v>
      </c>
      <c r="AE29" s="574">
        <f t="shared" si="37"/>
        <v>-60.535399999999981</v>
      </c>
      <c r="AF29" s="574">
        <f t="shared" si="37"/>
        <v>271.05200000000002</v>
      </c>
      <c r="AG29" s="574">
        <f t="shared" si="37"/>
        <v>595.04300000000001</v>
      </c>
      <c r="AH29" s="574">
        <f t="shared" si="37"/>
        <v>915.86883333333333</v>
      </c>
      <c r="AI29" s="574">
        <f t="shared" si="37"/>
        <v>1233.5295000000001</v>
      </c>
      <c r="AJ29" s="574">
        <f t="shared" si="37"/>
        <v>1548.0250000000001</v>
      </c>
      <c r="AK29" s="574">
        <f t="shared" si="37"/>
        <v>1859.3553333333334</v>
      </c>
      <c r="AL29" s="574">
        <f t="shared" si="37"/>
        <v>2167.5205000000001</v>
      </c>
      <c r="AM29" s="566">
        <f t="shared" si="3"/>
        <v>-4905.366018567639</v>
      </c>
      <c r="AN29" s="10">
        <f t="shared" si="4"/>
        <v>9</v>
      </c>
    </row>
    <row r="30" spans="2:40" ht="16" thickBot="1">
      <c r="B30" s="569" t="s">
        <v>659</v>
      </c>
      <c r="C30" s="618">
        <f>155206/1000</f>
        <v>155.20599999999999</v>
      </c>
      <c r="U30" s="573"/>
      <c r="V30" s="604">
        <v>25</v>
      </c>
      <c r="W30" s="605">
        <f t="shared" ref="W30:AL30" si="38">C818</f>
        <v>-63.717307692307656</v>
      </c>
      <c r="X30" s="605">
        <f t="shared" si="38"/>
        <v>-399.96793846153844</v>
      </c>
      <c r="Y30" s="605">
        <f t="shared" si="38"/>
        <v>-380.01293846153845</v>
      </c>
      <c r="Z30" s="605">
        <f t="shared" si="38"/>
        <v>-360.05793846153847</v>
      </c>
      <c r="AA30" s="605">
        <f t="shared" si="38"/>
        <v>-145.10293846153849</v>
      </c>
      <c r="AB30" s="605">
        <f t="shared" si="38"/>
        <v>69.852061538461513</v>
      </c>
      <c r="AC30" s="605">
        <f t="shared" si="38"/>
        <v>284.80706153846154</v>
      </c>
      <c r="AD30" s="605">
        <f t="shared" si="38"/>
        <v>499.76206153846152</v>
      </c>
      <c r="AE30" s="605">
        <f t="shared" si="38"/>
        <v>714.71706153846151</v>
      </c>
      <c r="AF30" s="605">
        <f t="shared" si="38"/>
        <v>929.67206153846155</v>
      </c>
      <c r="AG30" s="605">
        <f t="shared" si="38"/>
        <v>1144.6270615384615</v>
      </c>
      <c r="AH30" s="605">
        <f t="shared" si="38"/>
        <v>1359.5820615384614</v>
      </c>
      <c r="AI30" s="605">
        <f t="shared" si="38"/>
        <v>1574.5370615384613</v>
      </c>
      <c r="AJ30" s="605">
        <f t="shared" si="38"/>
        <v>1789.4920615384613</v>
      </c>
      <c r="AK30" s="605">
        <f t="shared" si="38"/>
        <v>2004.4470615384612</v>
      </c>
      <c r="AL30" s="605">
        <f t="shared" si="38"/>
        <v>2219.4020615384611</v>
      </c>
      <c r="AM30" s="606">
        <f t="shared" si="3"/>
        <v>-1348.8590615384614</v>
      </c>
      <c r="AN30" s="10">
        <f t="shared" si="4"/>
        <v>5</v>
      </c>
    </row>
    <row r="31" spans="2:40" ht="15.5">
      <c r="B31" s="569" t="s">
        <v>660</v>
      </c>
      <c r="C31" s="618">
        <f>95769/1000</f>
        <v>95.769000000000005</v>
      </c>
      <c r="U31" s="573"/>
      <c r="V31" s="574">
        <v>26</v>
      </c>
      <c r="W31" s="574">
        <f t="shared" ref="W31:AL31" si="39">C851</f>
        <v>-63.717307692307656</v>
      </c>
      <c r="X31" s="574">
        <f t="shared" si="39"/>
        <v>-399.96793846153844</v>
      </c>
      <c r="Y31" s="574">
        <f t="shared" si="39"/>
        <v>-651.56516551724133</v>
      </c>
      <c r="Z31" s="574">
        <f t="shared" si="39"/>
        <v>-904.63660689655171</v>
      </c>
      <c r="AA31" s="574">
        <f t="shared" si="39"/>
        <v>-977.84900000000005</v>
      </c>
      <c r="AB31" s="574">
        <f t="shared" si="39"/>
        <v>-1060.8760000000002</v>
      </c>
      <c r="AC31" s="574">
        <f t="shared" si="39"/>
        <v>-991.49940000000015</v>
      </c>
      <c r="AD31" s="574">
        <f t="shared" si="39"/>
        <v>-649.71920000000011</v>
      </c>
      <c r="AE31" s="574">
        <f t="shared" si="39"/>
        <v>-315.5354000000001</v>
      </c>
      <c r="AF31" s="574">
        <f t="shared" si="39"/>
        <v>11.051999999999907</v>
      </c>
      <c r="AG31" s="574">
        <f t="shared" si="39"/>
        <v>330.04299999999989</v>
      </c>
      <c r="AH31" s="574">
        <f t="shared" si="39"/>
        <v>645.86883333333321</v>
      </c>
      <c r="AI31" s="574">
        <f t="shared" si="39"/>
        <v>958.52949999999987</v>
      </c>
      <c r="AJ31" s="574">
        <f t="shared" si="39"/>
        <v>1268.0249999999999</v>
      </c>
      <c r="AK31" s="574">
        <f t="shared" si="39"/>
        <v>1574.3553333333332</v>
      </c>
      <c r="AL31" s="574">
        <f t="shared" si="39"/>
        <v>1877.5204999999999</v>
      </c>
      <c r="AM31" s="566">
        <f t="shared" si="3"/>
        <v>-6015.3660185676399</v>
      </c>
      <c r="AN31" s="10">
        <f t="shared" si="4"/>
        <v>9</v>
      </c>
    </row>
    <row r="32" spans="2:40" ht="16" thickBot="1">
      <c r="B32" s="619" t="s">
        <v>661</v>
      </c>
      <c r="C32" s="620">
        <f>SUM(C29:C31)</f>
        <v>921.25221278160632</v>
      </c>
      <c r="U32" s="573"/>
      <c r="V32" s="10">
        <v>27</v>
      </c>
      <c r="W32" s="574">
        <f t="shared" ref="W32:AL32" si="40">C884</f>
        <v>-63.717307692307656</v>
      </c>
      <c r="X32" s="574">
        <f t="shared" si="40"/>
        <v>-399.96793846153844</v>
      </c>
      <c r="Y32" s="574">
        <f t="shared" si="40"/>
        <v>-576.56516551724133</v>
      </c>
      <c r="Z32" s="574">
        <f t="shared" si="40"/>
        <v>-754.63660689655171</v>
      </c>
      <c r="AA32" s="574">
        <f t="shared" si="40"/>
        <v>-827.84900000000005</v>
      </c>
      <c r="AB32" s="574">
        <f t="shared" si="40"/>
        <v>-910.87600000000009</v>
      </c>
      <c r="AC32" s="574">
        <f t="shared" si="40"/>
        <v>-841.49940000000004</v>
      </c>
      <c r="AD32" s="574">
        <f t="shared" si="40"/>
        <v>-499.7192</v>
      </c>
      <c r="AE32" s="574">
        <f t="shared" si="40"/>
        <v>-165.53539999999998</v>
      </c>
      <c r="AF32" s="574">
        <f t="shared" si="40"/>
        <v>161.05200000000002</v>
      </c>
      <c r="AG32" s="574">
        <f t="shared" si="40"/>
        <v>480.04300000000001</v>
      </c>
      <c r="AH32" s="574">
        <f t="shared" si="40"/>
        <v>795.86883333333333</v>
      </c>
      <c r="AI32" s="574">
        <f t="shared" si="40"/>
        <v>1108.5295000000001</v>
      </c>
      <c r="AJ32" s="574">
        <f t="shared" si="40"/>
        <v>1418.0250000000001</v>
      </c>
      <c r="AK32" s="574">
        <f t="shared" si="40"/>
        <v>1724.3553333333334</v>
      </c>
      <c r="AL32" s="574">
        <f t="shared" si="40"/>
        <v>2027.5205000000001</v>
      </c>
      <c r="AM32" s="566">
        <f t="shared" si="3"/>
        <v>-5040.366018567639</v>
      </c>
      <c r="AN32" s="10">
        <f t="shared" si="4"/>
        <v>9</v>
      </c>
    </row>
    <row r="33" spans="2:40" ht="15.5">
      <c r="U33" s="573"/>
      <c r="V33" s="574">
        <v>28</v>
      </c>
      <c r="W33" s="574">
        <f t="shared" ref="W33:AL33" si="41">C917</f>
        <v>-63.717307692307656</v>
      </c>
      <c r="X33" s="574">
        <f t="shared" si="41"/>
        <v>-399.96793846153844</v>
      </c>
      <c r="Y33" s="574">
        <f t="shared" si="41"/>
        <v>-606.75650769230765</v>
      </c>
      <c r="Z33" s="574">
        <f t="shared" si="41"/>
        <v>-819.59070769230766</v>
      </c>
      <c r="AA33" s="574">
        <f t="shared" si="41"/>
        <v>-775.02130769230769</v>
      </c>
      <c r="AB33" s="574">
        <f t="shared" si="41"/>
        <v>-738.04830769230773</v>
      </c>
      <c r="AC33" s="574">
        <f t="shared" si="41"/>
        <v>-548.67170769230768</v>
      </c>
      <c r="AD33" s="574">
        <f t="shared" si="41"/>
        <v>-271.8915076923077</v>
      </c>
      <c r="AE33" s="574">
        <f t="shared" si="41"/>
        <v>-2.7077076923077072</v>
      </c>
      <c r="AF33" s="574">
        <f t="shared" si="41"/>
        <v>258.87969230769227</v>
      </c>
      <c r="AG33" s="574">
        <f t="shared" si="41"/>
        <v>512.87069230769225</v>
      </c>
      <c r="AH33" s="574">
        <f t="shared" si="41"/>
        <v>763.69652564102557</v>
      </c>
      <c r="AI33" s="574">
        <f t="shared" si="41"/>
        <v>1011.3571923076922</v>
      </c>
      <c r="AJ33" s="574">
        <f t="shared" si="41"/>
        <v>1255.8526923076922</v>
      </c>
      <c r="AK33" s="574">
        <f t="shared" si="41"/>
        <v>1497.1830256410256</v>
      </c>
      <c r="AL33" s="574">
        <f t="shared" si="41"/>
        <v>1735.3481923076922</v>
      </c>
      <c r="AM33" s="566">
        <f t="shared" si="3"/>
        <v>-4226.3730000000005</v>
      </c>
      <c r="AN33" s="10">
        <f t="shared" si="4"/>
        <v>9</v>
      </c>
    </row>
    <row r="34" spans="2:40" ht="15.5">
      <c r="B34" s="10" t="s">
        <v>662</v>
      </c>
      <c r="C34" s="621">
        <v>15887450</v>
      </c>
      <c r="U34" s="573"/>
      <c r="V34" s="10">
        <v>29</v>
      </c>
      <c r="W34" s="574">
        <f t="shared" ref="W34:AL34" si="42">C950</f>
        <v>-63.717307692307656</v>
      </c>
      <c r="X34" s="574">
        <f t="shared" si="42"/>
        <v>-399.96793846153844</v>
      </c>
      <c r="Y34" s="574">
        <f t="shared" si="42"/>
        <v>-606.75650769230765</v>
      </c>
      <c r="Z34" s="574">
        <f t="shared" si="42"/>
        <v>-819.59070769230766</v>
      </c>
      <c r="AA34" s="574">
        <f t="shared" si="42"/>
        <v>-680.02130769230769</v>
      </c>
      <c r="AB34" s="574">
        <f t="shared" si="42"/>
        <v>-548.04830769230773</v>
      </c>
      <c r="AC34" s="574">
        <f t="shared" si="42"/>
        <v>-263.67170769230773</v>
      </c>
      <c r="AD34" s="574">
        <f t="shared" si="42"/>
        <v>13.108492307692245</v>
      </c>
      <c r="AE34" s="574">
        <f t="shared" si="42"/>
        <v>282.29229230769226</v>
      </c>
      <c r="AF34" s="574">
        <f t="shared" si="42"/>
        <v>543.87969230769227</v>
      </c>
      <c r="AG34" s="574">
        <f t="shared" si="42"/>
        <v>797.87069230769225</v>
      </c>
      <c r="AH34" s="574">
        <f t="shared" si="42"/>
        <v>1048.6965256410256</v>
      </c>
      <c r="AI34" s="574">
        <f t="shared" si="42"/>
        <v>1296.3571923076922</v>
      </c>
      <c r="AJ34" s="574">
        <f t="shared" si="42"/>
        <v>1540.8526923076922</v>
      </c>
      <c r="AK34" s="574">
        <f t="shared" si="42"/>
        <v>1782.1830256410256</v>
      </c>
      <c r="AL34" s="574">
        <f t="shared" si="42"/>
        <v>2020.3481923076922</v>
      </c>
      <c r="AM34" s="566">
        <f t="shared" si="3"/>
        <v>-3381.7737846153846</v>
      </c>
      <c r="AN34" s="10">
        <f t="shared" si="4"/>
        <v>7</v>
      </c>
    </row>
    <row r="35" spans="2:40" ht="15.5">
      <c r="B35" s="10" t="s">
        <v>663</v>
      </c>
      <c r="C35" s="644">
        <f>(C32/C34)*1000000</f>
        <v>57.986159690926257</v>
      </c>
      <c r="U35" s="573"/>
      <c r="V35" s="574">
        <v>30</v>
      </c>
      <c r="W35" s="574">
        <f t="shared" ref="W35:AL35" si="43">C983</f>
        <v>-63.717307692307656</v>
      </c>
      <c r="X35" s="574">
        <f t="shared" si="43"/>
        <v>-399.96793846153844</v>
      </c>
      <c r="Y35" s="574">
        <f t="shared" si="43"/>
        <v>-606.75650769230765</v>
      </c>
      <c r="Z35" s="574">
        <f t="shared" si="43"/>
        <v>-819.59070769230766</v>
      </c>
      <c r="AA35" s="574">
        <f t="shared" si="43"/>
        <v>-775.02130769230769</v>
      </c>
      <c r="AB35" s="574">
        <f t="shared" si="43"/>
        <v>-738.04830769230773</v>
      </c>
      <c r="AC35" s="574">
        <f t="shared" si="43"/>
        <v>-663.67170769230768</v>
      </c>
      <c r="AD35" s="574">
        <f t="shared" si="43"/>
        <v>-316.89150769230764</v>
      </c>
      <c r="AE35" s="574">
        <f t="shared" si="43"/>
        <v>22.292292307692378</v>
      </c>
      <c r="AF35" s="574">
        <f t="shared" si="43"/>
        <v>353.87969230769238</v>
      </c>
      <c r="AG35" s="574">
        <f t="shared" si="43"/>
        <v>677.87069230769237</v>
      </c>
      <c r="AH35" s="574">
        <f t="shared" si="43"/>
        <v>998.69652564102569</v>
      </c>
      <c r="AI35" s="574">
        <f t="shared" si="43"/>
        <v>1316.3571923076925</v>
      </c>
      <c r="AJ35" s="574">
        <f t="shared" si="43"/>
        <v>1630.8526923076925</v>
      </c>
      <c r="AK35" s="574">
        <f t="shared" si="43"/>
        <v>1942.1830256410258</v>
      </c>
      <c r="AL35" s="574">
        <f t="shared" si="43"/>
        <v>2250.3481923076924</v>
      </c>
      <c r="AM35" s="566">
        <f t="shared" si="3"/>
        <v>-4383.6652923076927</v>
      </c>
      <c r="AN35" s="10">
        <f t="shared" si="4"/>
        <v>8</v>
      </c>
    </row>
    <row r="36" spans="2:40" ht="15.5">
      <c r="U36" s="573"/>
      <c r="V36" s="10">
        <v>31</v>
      </c>
      <c r="W36" s="574">
        <f t="shared" ref="W36:AL36" si="44">C1016</f>
        <v>-63.717307692307656</v>
      </c>
      <c r="X36" s="574">
        <f t="shared" si="44"/>
        <v>-399.96793846153844</v>
      </c>
      <c r="Y36" s="574">
        <f t="shared" si="44"/>
        <v>-606.75650769230765</v>
      </c>
      <c r="Z36" s="574">
        <f t="shared" si="44"/>
        <v>-819.59070769230766</v>
      </c>
      <c r="AA36" s="574">
        <f t="shared" si="44"/>
        <v>-730.02130769230769</v>
      </c>
      <c r="AB36" s="574">
        <f t="shared" si="44"/>
        <v>-648.04830769230773</v>
      </c>
      <c r="AC36" s="574">
        <f t="shared" si="44"/>
        <v>-573.67170769230768</v>
      </c>
      <c r="AD36" s="574">
        <f t="shared" si="44"/>
        <v>-226.89150769230764</v>
      </c>
      <c r="AE36" s="574">
        <f t="shared" si="44"/>
        <v>112.29229230769235</v>
      </c>
      <c r="AF36" s="574">
        <f t="shared" si="44"/>
        <v>443.87969230769238</v>
      </c>
      <c r="AG36" s="574">
        <f t="shared" si="44"/>
        <v>767.87069230769237</v>
      </c>
      <c r="AH36" s="574">
        <f t="shared" si="44"/>
        <v>1088.6965256410258</v>
      </c>
      <c r="AI36" s="574">
        <f t="shared" si="44"/>
        <v>1406.3571923076925</v>
      </c>
      <c r="AJ36" s="574">
        <f t="shared" si="44"/>
        <v>1720.8526923076925</v>
      </c>
      <c r="AK36" s="574">
        <f t="shared" si="44"/>
        <v>2032.1830256410258</v>
      </c>
      <c r="AL36" s="574">
        <f t="shared" si="44"/>
        <v>2340.3481923076924</v>
      </c>
      <c r="AM36" s="566">
        <f t="shared" si="3"/>
        <v>-4068.6652923076922</v>
      </c>
      <c r="AN36" s="10">
        <f t="shared" si="4"/>
        <v>8</v>
      </c>
    </row>
    <row r="37" spans="2:40" ht="15.5">
      <c r="B37" s="10" t="s">
        <v>664</v>
      </c>
      <c r="U37" s="573"/>
      <c r="V37" s="574">
        <v>32</v>
      </c>
      <c r="W37" s="574">
        <f t="shared" ref="W37:AL37" si="45">C1049</f>
        <v>-63.717307692307656</v>
      </c>
      <c r="X37" s="574">
        <f t="shared" si="45"/>
        <v>-399.96793846153844</v>
      </c>
      <c r="Y37" s="574">
        <f t="shared" si="45"/>
        <v>-606.75650769230765</v>
      </c>
      <c r="Z37" s="574">
        <f t="shared" si="45"/>
        <v>-819.59070769230766</v>
      </c>
      <c r="AA37" s="574">
        <f t="shared" si="45"/>
        <v>-895.02130769230769</v>
      </c>
      <c r="AB37" s="574">
        <f t="shared" si="45"/>
        <v>-978.04830769230773</v>
      </c>
      <c r="AC37" s="574">
        <f t="shared" si="45"/>
        <v>-908.67170769230768</v>
      </c>
      <c r="AD37" s="574">
        <f t="shared" si="45"/>
        <v>-566.89150769230764</v>
      </c>
      <c r="AE37" s="574">
        <f t="shared" si="45"/>
        <v>-232.70770769230762</v>
      </c>
      <c r="AF37" s="574">
        <f t="shared" si="45"/>
        <v>93.87969230769238</v>
      </c>
      <c r="AG37" s="574">
        <f t="shared" si="45"/>
        <v>412.87069230769237</v>
      </c>
      <c r="AH37" s="574">
        <f t="shared" si="45"/>
        <v>728.69652564102569</v>
      </c>
      <c r="AI37" s="574">
        <f t="shared" si="45"/>
        <v>1041.3571923076925</v>
      </c>
      <c r="AJ37" s="574">
        <f t="shared" si="45"/>
        <v>1350.8526923076925</v>
      </c>
      <c r="AK37" s="574">
        <f t="shared" si="45"/>
        <v>1657.1830256410258</v>
      </c>
      <c r="AL37" s="574">
        <f t="shared" si="45"/>
        <v>1960.3481923076924</v>
      </c>
      <c r="AM37" s="566">
        <f t="shared" si="3"/>
        <v>-5471.3729999999996</v>
      </c>
      <c r="AN37" s="10">
        <f t="shared" si="4"/>
        <v>9</v>
      </c>
    </row>
    <row r="38" spans="2:40" ht="16" thickBot="1">
      <c r="B38" s="1041" t="s">
        <v>665</v>
      </c>
      <c r="C38" s="1041"/>
      <c r="D38" s="1041"/>
      <c r="E38" s="1041"/>
      <c r="U38" s="573"/>
      <c r="V38" s="10">
        <v>33</v>
      </c>
      <c r="W38" s="574">
        <f t="shared" ref="W38:AL38" si="46">C1082</f>
        <v>-63.717307692307656</v>
      </c>
      <c r="X38" s="574">
        <f t="shared" si="46"/>
        <v>-399.96793846153844</v>
      </c>
      <c r="Y38" s="574">
        <f t="shared" si="46"/>
        <v>-531.75650769230765</v>
      </c>
      <c r="Z38" s="574">
        <f t="shared" si="46"/>
        <v>-669.59070769230766</v>
      </c>
      <c r="AA38" s="574">
        <f t="shared" si="46"/>
        <v>-745.02130769230769</v>
      </c>
      <c r="AB38" s="574">
        <f t="shared" si="46"/>
        <v>-828.04830769230773</v>
      </c>
      <c r="AC38" s="574">
        <f t="shared" si="46"/>
        <v>-758.67170769230768</v>
      </c>
      <c r="AD38" s="574">
        <f t="shared" si="46"/>
        <v>-416.89150769230764</v>
      </c>
      <c r="AE38" s="574">
        <f t="shared" si="46"/>
        <v>-82.707707692307622</v>
      </c>
      <c r="AF38" s="574">
        <f t="shared" si="46"/>
        <v>243.87969230769238</v>
      </c>
      <c r="AG38" s="574">
        <f t="shared" si="46"/>
        <v>562.87069230769237</v>
      </c>
      <c r="AH38" s="574">
        <f t="shared" si="46"/>
        <v>878.69652564102569</v>
      </c>
      <c r="AI38" s="574">
        <f t="shared" si="46"/>
        <v>1191.3571923076925</v>
      </c>
      <c r="AJ38" s="574">
        <f t="shared" si="46"/>
        <v>1500.8526923076925</v>
      </c>
      <c r="AK38" s="574">
        <f t="shared" si="46"/>
        <v>1807.1830256410258</v>
      </c>
      <c r="AL38" s="574">
        <f t="shared" si="46"/>
        <v>2110.3481923076924</v>
      </c>
      <c r="AM38" s="566">
        <f t="shared" si="3"/>
        <v>-4496.3730000000005</v>
      </c>
      <c r="AN38" s="10">
        <f t="shared" si="4"/>
        <v>9</v>
      </c>
    </row>
    <row r="39" spans="2:40" ht="15.5">
      <c r="B39" s="562" t="s">
        <v>638</v>
      </c>
      <c r="C39" s="563">
        <v>2009</v>
      </c>
      <c r="D39" s="563">
        <v>2010</v>
      </c>
      <c r="E39" s="563">
        <v>2011</v>
      </c>
      <c r="F39" s="563">
        <v>2012</v>
      </c>
      <c r="G39" s="563">
        <v>2013</v>
      </c>
      <c r="H39" s="563">
        <v>2014</v>
      </c>
      <c r="I39" s="563">
        <v>2015</v>
      </c>
      <c r="J39" s="563">
        <v>2016</v>
      </c>
      <c r="K39" s="563">
        <v>2017</v>
      </c>
      <c r="L39" s="563">
        <v>2018</v>
      </c>
      <c r="M39" s="563">
        <v>2019</v>
      </c>
      <c r="N39" s="563">
        <v>2020</v>
      </c>
      <c r="O39" s="563">
        <v>2021</v>
      </c>
      <c r="P39" s="563">
        <v>2022</v>
      </c>
      <c r="Q39" s="563">
        <v>2023</v>
      </c>
      <c r="R39" s="564">
        <v>2024</v>
      </c>
      <c r="U39" s="573"/>
      <c r="V39" s="574"/>
      <c r="W39" s="574"/>
      <c r="X39" s="574"/>
      <c r="Y39" s="574"/>
      <c r="Z39" s="574"/>
      <c r="AA39" s="574"/>
      <c r="AB39" s="574"/>
      <c r="AC39" s="574"/>
      <c r="AD39" s="574"/>
      <c r="AE39" s="574"/>
      <c r="AF39" s="574"/>
      <c r="AG39" s="574"/>
    </row>
    <row r="40" spans="2:40" ht="15.5">
      <c r="B40" s="569" t="s">
        <v>640</v>
      </c>
      <c r="C40" s="570">
        <v>-105</v>
      </c>
      <c r="D40" s="570">
        <v>-105</v>
      </c>
      <c r="E40" s="570">
        <v>-105</v>
      </c>
      <c r="F40" s="570">
        <v>-105</v>
      </c>
      <c r="G40" s="570">
        <v>-95</v>
      </c>
      <c r="H40" s="570">
        <v>-95</v>
      </c>
      <c r="I40" s="570">
        <v>-95</v>
      </c>
      <c r="J40" s="571"/>
      <c r="K40" s="571"/>
      <c r="L40" s="571"/>
      <c r="M40" s="571"/>
      <c r="N40" s="571"/>
      <c r="O40" s="571"/>
      <c r="P40" s="571"/>
      <c r="Q40" s="571"/>
      <c r="R40" s="572"/>
      <c r="U40" s="573" t="s">
        <v>666</v>
      </c>
      <c r="V40" s="574"/>
      <c r="W40" s="574">
        <f>W5</f>
        <v>2009</v>
      </c>
      <c r="X40" s="574">
        <f t="shared" ref="X40:AL40" si="47">X5</f>
        <v>2010</v>
      </c>
      <c r="Y40" s="574">
        <f t="shared" si="47"/>
        <v>2011</v>
      </c>
      <c r="Z40" s="574">
        <f t="shared" si="47"/>
        <v>2012</v>
      </c>
      <c r="AA40" s="574">
        <f t="shared" si="47"/>
        <v>2013</v>
      </c>
      <c r="AB40" s="574">
        <f t="shared" si="47"/>
        <v>2014</v>
      </c>
      <c r="AC40" s="574">
        <f t="shared" si="47"/>
        <v>2015</v>
      </c>
      <c r="AD40" s="574">
        <f t="shared" si="47"/>
        <v>2016</v>
      </c>
      <c r="AE40" s="574">
        <f t="shared" si="47"/>
        <v>2017</v>
      </c>
      <c r="AF40" s="574">
        <f t="shared" si="47"/>
        <v>2018</v>
      </c>
      <c r="AG40" s="574">
        <f t="shared" si="47"/>
        <v>2019</v>
      </c>
      <c r="AH40" s="574">
        <f t="shared" si="47"/>
        <v>2020</v>
      </c>
      <c r="AI40" s="574">
        <f t="shared" si="47"/>
        <v>2021</v>
      </c>
      <c r="AJ40" s="574">
        <f t="shared" si="47"/>
        <v>2022</v>
      </c>
      <c r="AK40" s="574">
        <f t="shared" si="47"/>
        <v>2023</v>
      </c>
      <c r="AL40" s="574">
        <f t="shared" si="47"/>
        <v>2024</v>
      </c>
    </row>
    <row r="41" spans="2:40">
      <c r="B41" s="569" t="s">
        <v>642</v>
      </c>
      <c r="C41" s="577" t="s">
        <v>643</v>
      </c>
      <c r="D41" s="577" t="s">
        <v>643</v>
      </c>
      <c r="E41" s="577" t="s">
        <v>643</v>
      </c>
      <c r="F41" s="577" t="s">
        <v>643</v>
      </c>
      <c r="G41" s="577" t="s">
        <v>644</v>
      </c>
      <c r="H41" s="577" t="s">
        <v>644</v>
      </c>
      <c r="I41" s="578">
        <v>115</v>
      </c>
      <c r="J41" s="578">
        <v>115</v>
      </c>
      <c r="K41" s="578">
        <v>115</v>
      </c>
      <c r="L41" s="578">
        <v>115</v>
      </c>
      <c r="M41" s="578">
        <v>115</v>
      </c>
      <c r="N41" s="578">
        <v>115</v>
      </c>
      <c r="O41" s="578">
        <v>115</v>
      </c>
      <c r="P41" s="578">
        <v>115</v>
      </c>
      <c r="Q41" s="578">
        <v>115</v>
      </c>
      <c r="R41" s="579">
        <v>115</v>
      </c>
      <c r="U41" s="574" t="s">
        <v>667</v>
      </c>
      <c r="W41" s="574">
        <f>AVERAGE(W6:W38)</f>
        <v>-63.717610722610722</v>
      </c>
      <c r="X41" s="574">
        <f t="shared" ref="X41:AK41" si="48">AVERAGE(X6:X38)</f>
        <v>-399.9682414918417</v>
      </c>
      <c r="Y41" s="574">
        <f t="shared" si="48"/>
        <v>-609.69380009645533</v>
      </c>
      <c r="Z41" s="574">
        <f t="shared" si="48"/>
        <v>-821.77392109958942</v>
      </c>
      <c r="AA41" s="574">
        <f t="shared" si="48"/>
        <v>-814.71539090004251</v>
      </c>
      <c r="AB41" s="574">
        <f t="shared" si="48"/>
        <v>-753.02982649509397</v>
      </c>
      <c r="AC41" s="574">
        <f t="shared" si="48"/>
        <v>-601.47588726941046</v>
      </c>
      <c r="AD41" s="574">
        <f t="shared" si="48"/>
        <v>-286.26729852071429</v>
      </c>
      <c r="AE41" s="574">
        <f t="shared" si="48"/>
        <v>19.593892654987322</v>
      </c>
      <c r="AF41" s="574">
        <f t="shared" si="48"/>
        <v>318.56714734657129</v>
      </c>
      <c r="AG41" s="574">
        <f t="shared" si="48"/>
        <v>610.7505067315675</v>
      </c>
      <c r="AH41" s="574">
        <f t="shared" si="48"/>
        <v>901.80826540206544</v>
      </c>
      <c r="AI41" s="574">
        <f t="shared" si="48"/>
        <v>1190.3235578662195</v>
      </c>
      <c r="AJ41" s="574">
        <f t="shared" si="48"/>
        <v>1481.2825148274185</v>
      </c>
      <c r="AK41" s="574">
        <f t="shared" si="48"/>
        <v>1769.7877079045638</v>
      </c>
      <c r="AL41" s="574">
        <f>AVERAGE(AL6:AL38)</f>
        <v>2073.3710603993463</v>
      </c>
    </row>
    <row r="42" spans="2:40" ht="15.5">
      <c r="B42" s="569" t="s">
        <v>645</v>
      </c>
      <c r="C42" s="577" t="s">
        <v>646</v>
      </c>
      <c r="D42" s="577" t="s">
        <v>646</v>
      </c>
      <c r="E42" s="577" t="s">
        <v>647</v>
      </c>
      <c r="F42" s="577" t="s">
        <v>647</v>
      </c>
      <c r="G42" s="578">
        <v>120</v>
      </c>
      <c r="H42" s="578">
        <v>120</v>
      </c>
      <c r="I42" s="578">
        <v>120</v>
      </c>
      <c r="J42" s="578">
        <v>120</v>
      </c>
      <c r="K42" s="578">
        <v>120</v>
      </c>
      <c r="L42" s="578">
        <v>120</v>
      </c>
      <c r="M42" s="578">
        <v>120</v>
      </c>
      <c r="N42" s="578">
        <v>120</v>
      </c>
      <c r="O42" s="578">
        <v>120</v>
      </c>
      <c r="P42" s="578">
        <v>120</v>
      </c>
      <c r="Q42" s="578">
        <v>120</v>
      </c>
      <c r="R42" s="579">
        <v>120</v>
      </c>
      <c r="U42" s="573"/>
      <c r="V42" s="574"/>
      <c r="W42" s="574"/>
      <c r="X42" s="574"/>
      <c r="Y42" s="574"/>
      <c r="Z42" s="574"/>
      <c r="AA42" s="574"/>
      <c r="AB42" s="574"/>
      <c r="AC42" s="574"/>
      <c r="AD42" s="574"/>
      <c r="AE42" s="574"/>
      <c r="AF42" s="574"/>
      <c r="AG42" s="574"/>
    </row>
    <row r="43" spans="2:40" ht="15.5">
      <c r="B43" s="569" t="s">
        <v>648</v>
      </c>
      <c r="C43" s="578">
        <f>C40+C41+C42</f>
        <v>-405</v>
      </c>
      <c r="D43" s="578">
        <f t="shared" ref="D43:R43" si="49">D40+D41+D42</f>
        <v>-405</v>
      </c>
      <c r="E43" s="578">
        <f t="shared" si="49"/>
        <v>-285</v>
      </c>
      <c r="F43" s="578">
        <f t="shared" si="49"/>
        <v>-285</v>
      </c>
      <c r="G43" s="578">
        <f t="shared" si="49"/>
        <v>-20</v>
      </c>
      <c r="H43" s="578">
        <f t="shared" si="49"/>
        <v>-20</v>
      </c>
      <c r="I43" s="578">
        <f t="shared" si="49"/>
        <v>140</v>
      </c>
      <c r="J43" s="578">
        <f t="shared" si="49"/>
        <v>235</v>
      </c>
      <c r="K43" s="578">
        <f t="shared" si="49"/>
        <v>235</v>
      </c>
      <c r="L43" s="578">
        <f t="shared" si="49"/>
        <v>235</v>
      </c>
      <c r="M43" s="578">
        <f t="shared" si="49"/>
        <v>235</v>
      </c>
      <c r="N43" s="578">
        <f t="shared" si="49"/>
        <v>235</v>
      </c>
      <c r="O43" s="578">
        <f t="shared" si="49"/>
        <v>235</v>
      </c>
      <c r="P43" s="578">
        <f t="shared" si="49"/>
        <v>235</v>
      </c>
      <c r="Q43" s="578">
        <f t="shared" si="49"/>
        <v>235</v>
      </c>
      <c r="R43" s="579">
        <f t="shared" si="49"/>
        <v>235</v>
      </c>
      <c r="U43" s="573"/>
      <c r="V43" s="574"/>
      <c r="W43" s="574"/>
      <c r="X43" s="574"/>
      <c r="Y43" s="574"/>
      <c r="Z43" s="574"/>
      <c r="AA43" s="574"/>
      <c r="AB43" s="574"/>
      <c r="AC43" s="574"/>
      <c r="AD43" s="574"/>
      <c r="AE43" s="574"/>
      <c r="AF43" s="574"/>
      <c r="AG43" s="574"/>
    </row>
    <row r="44" spans="2:40" ht="16" thickBot="1">
      <c r="B44" s="580" t="s">
        <v>649</v>
      </c>
      <c r="C44" s="581">
        <f>C43/(1+$C$2)^(C39-$C$3)</f>
        <v>-405</v>
      </c>
      <c r="D44" s="581">
        <f>D43/(1+$C$2)^(D39-$C$3)</f>
        <v>-364.05857459266912</v>
      </c>
      <c r="E44" s="581">
        <f t="shared" ref="E44:R44" si="50">E43/(1+$C$2)^(E39-$C$3)</f>
        <v>-230.29119972148825</v>
      </c>
      <c r="F44" s="581">
        <f t="shared" si="50"/>
        <v>-207.01107632553254</v>
      </c>
      <c r="G44" s="581">
        <f t="shared" si="50"/>
        <v>-13.058550118599543</v>
      </c>
      <c r="H44" s="581">
        <f t="shared" si="50"/>
        <v>-11.738462080059948</v>
      </c>
      <c r="I44" s="581">
        <f t="shared" si="50"/>
        <v>73.86275162823965</v>
      </c>
      <c r="J44" s="581">
        <f t="shared" si="50"/>
        <v>111.45037913965218</v>
      </c>
      <c r="K44" s="581">
        <f t="shared" si="50"/>
        <v>100.18386707998599</v>
      </c>
      <c r="L44" s="581">
        <f t="shared" si="50"/>
        <v>90.056286040299071</v>
      </c>
      <c r="M44" s="581">
        <f t="shared" si="50"/>
        <v>80.952501552940646</v>
      </c>
      <c r="N44" s="581">
        <f t="shared" si="50"/>
        <v>72.769018086603467</v>
      </c>
      <c r="O44" s="581">
        <f t="shared" si="50"/>
        <v>65.412802466955597</v>
      </c>
      <c r="P44" s="581">
        <f t="shared" si="50"/>
        <v>58.800226237609088</v>
      </c>
      <c r="Q44" s="581">
        <f t="shared" si="50"/>
        <v>52.856114937754143</v>
      </c>
      <c r="R44" s="582">
        <f t="shared" si="50"/>
        <v>47.512893488259401</v>
      </c>
      <c r="U44" s="573"/>
      <c r="V44" s="574"/>
      <c r="W44" s="574"/>
      <c r="X44" s="574"/>
      <c r="Y44" s="574"/>
      <c r="Z44" s="574"/>
      <c r="AA44" s="574"/>
      <c r="AB44" s="574"/>
      <c r="AC44" s="574"/>
      <c r="AD44" s="574"/>
      <c r="AE44" s="574"/>
      <c r="AF44" s="574"/>
      <c r="AG44" s="574"/>
    </row>
    <row r="45" spans="2:40" ht="16" thickBot="1">
      <c r="U45" s="573"/>
      <c r="V45" s="574"/>
      <c r="W45" s="574"/>
      <c r="X45" s="574"/>
      <c r="Y45" s="574"/>
      <c r="Z45" s="574"/>
      <c r="AA45" s="574"/>
      <c r="AB45" s="574"/>
      <c r="AC45" s="574"/>
      <c r="AD45" s="574"/>
      <c r="AE45" s="574"/>
      <c r="AF45" s="574"/>
      <c r="AG45" s="574"/>
    </row>
    <row r="46" spans="2:40">
      <c r="B46" s="562" t="s">
        <v>650</v>
      </c>
      <c r="C46" s="583">
        <v>2009</v>
      </c>
      <c r="D46" s="583">
        <v>2010</v>
      </c>
      <c r="E46" s="583">
        <v>2011</v>
      </c>
      <c r="F46" s="583">
        <v>2012</v>
      </c>
      <c r="G46" s="583">
        <v>2013</v>
      </c>
      <c r="H46" s="583">
        <v>2014</v>
      </c>
      <c r="I46" s="583">
        <v>2015</v>
      </c>
      <c r="J46" s="583">
        <v>2016</v>
      </c>
      <c r="K46" s="583">
        <v>2017</v>
      </c>
      <c r="L46" s="583">
        <v>2018</v>
      </c>
      <c r="M46" s="583">
        <v>2019</v>
      </c>
      <c r="N46" s="583">
        <v>2020</v>
      </c>
      <c r="O46" s="583">
        <v>2021</v>
      </c>
      <c r="P46" s="583">
        <v>2022</v>
      </c>
      <c r="Q46" s="583">
        <v>2023</v>
      </c>
      <c r="R46" s="584">
        <v>2024</v>
      </c>
      <c r="U46" s="622"/>
    </row>
    <row r="47" spans="2:40">
      <c r="B47" s="569"/>
      <c r="C47" s="578">
        <v>94.954999999999998</v>
      </c>
      <c r="D47" s="578">
        <v>94.954999999999998</v>
      </c>
      <c r="E47" s="578">
        <v>94.954999999999998</v>
      </c>
      <c r="F47" s="578">
        <v>94.954999999999998</v>
      </c>
      <c r="G47" s="578">
        <v>94.954999999999998</v>
      </c>
      <c r="H47" s="578">
        <v>94.954999999999998</v>
      </c>
      <c r="I47" s="578">
        <v>94.954999999999998</v>
      </c>
      <c r="J47" s="578">
        <v>94.954999999999998</v>
      </c>
      <c r="K47" s="578">
        <v>94.954999999999998</v>
      </c>
      <c r="L47" s="578">
        <v>94.954999999999998</v>
      </c>
      <c r="M47" s="578">
        <v>94.954999999999998</v>
      </c>
      <c r="N47" s="578">
        <v>94.954999999999998</v>
      </c>
      <c r="O47" s="578">
        <v>94.954999999999998</v>
      </c>
      <c r="P47" s="578">
        <v>94.954999999999998</v>
      </c>
      <c r="Q47" s="578">
        <v>94.954999999999998</v>
      </c>
      <c r="R47" s="579">
        <v>94.954999999999998</v>
      </c>
    </row>
    <row r="48" spans="2:40">
      <c r="B48" s="569" t="s">
        <v>648</v>
      </c>
      <c r="C48" s="585">
        <f>C15</f>
        <v>94.954999999999998</v>
      </c>
      <c r="D48" s="585">
        <f t="shared" ref="D48:R48" si="51">D15</f>
        <v>87.358599999999996</v>
      </c>
      <c r="E48" s="585">
        <f t="shared" si="51"/>
        <v>79.762199999999993</v>
      </c>
      <c r="F48" s="585">
        <f t="shared" si="51"/>
        <v>72.165800000000004</v>
      </c>
      <c r="G48" s="585">
        <f t="shared" si="51"/>
        <v>64.569399999999987</v>
      </c>
      <c r="H48" s="585">
        <f t="shared" si="51"/>
        <v>56.972999999999999</v>
      </c>
      <c r="I48" s="585">
        <f t="shared" si="51"/>
        <v>49.376600000000003</v>
      </c>
      <c r="J48" s="585">
        <f t="shared" si="51"/>
        <v>41.780199999999994</v>
      </c>
      <c r="K48" s="585">
        <f t="shared" si="51"/>
        <v>34.183799999999998</v>
      </c>
      <c r="L48" s="585">
        <f t="shared" si="51"/>
        <v>26.587400000000002</v>
      </c>
      <c r="M48" s="585">
        <f t="shared" si="51"/>
        <v>18.990999999999996</v>
      </c>
      <c r="N48" s="585">
        <f t="shared" si="51"/>
        <v>15.82583333333333</v>
      </c>
      <c r="O48" s="585">
        <f t="shared" si="51"/>
        <v>12.660666666666664</v>
      </c>
      <c r="P48" s="585">
        <f t="shared" si="51"/>
        <v>9.4954999999999981</v>
      </c>
      <c r="Q48" s="585">
        <f t="shared" si="51"/>
        <v>6.330333333333332</v>
      </c>
      <c r="R48" s="585">
        <f t="shared" si="51"/>
        <v>3.165166666666666</v>
      </c>
      <c r="T48" s="623"/>
      <c r="V48" s="41"/>
      <c r="W48" s="41"/>
      <c r="X48" s="41"/>
      <c r="Y48" s="41"/>
      <c r="Z48" s="41"/>
      <c r="AA48" s="41"/>
      <c r="AB48" s="41"/>
      <c r="AC48" s="41"/>
      <c r="AD48" s="41"/>
      <c r="AE48" s="41"/>
      <c r="AF48" s="41"/>
      <c r="AG48" s="41"/>
      <c r="AH48" s="574"/>
    </row>
    <row r="49" spans="2:37" ht="16" thickBot="1">
      <c r="B49" s="580" t="s">
        <v>651</v>
      </c>
      <c r="C49" s="581">
        <f>C48/(1+$C$2)^(C46-$C$3)</f>
        <v>94.954999999999998</v>
      </c>
      <c r="D49" s="581">
        <f t="shared" ref="D49:R49" si="52">D48/(1+$C$2)^(D46-$C$3)</f>
        <v>78.527524430644789</v>
      </c>
      <c r="E49" s="581">
        <f t="shared" si="52"/>
        <v>64.450992036579962</v>
      </c>
      <c r="F49" s="581">
        <f t="shared" si="52"/>
        <v>52.417964673309186</v>
      </c>
      <c r="G49" s="581">
        <f t="shared" si="52"/>
        <v>42.159137301395056</v>
      </c>
      <c r="H49" s="581">
        <f t="shared" si="52"/>
        <v>33.438770004362773</v>
      </c>
      <c r="I49" s="581">
        <f t="shared" si="52"/>
        <v>26.050653871763842</v>
      </c>
      <c r="J49" s="581">
        <f t="shared" si="52"/>
        <v>19.814549491619132</v>
      </c>
      <c r="K49" s="581">
        <f t="shared" si="52"/>
        <v>14.573043725484361</v>
      </c>
      <c r="L49" s="581">
        <f t="shared" si="52"/>
        <v>10.188776593480203</v>
      </c>
      <c r="M49" s="581">
        <f t="shared" si="52"/>
        <v>6.5419955616676413</v>
      </c>
      <c r="N49" s="581">
        <f t="shared" si="52"/>
        <v>4.900554689654915</v>
      </c>
      <c r="O49" s="581">
        <f t="shared" si="52"/>
        <v>3.5241263309218538</v>
      </c>
      <c r="P49" s="581">
        <f t="shared" si="52"/>
        <v>2.3759044605924129</v>
      </c>
      <c r="Q49" s="581">
        <f t="shared" si="52"/>
        <v>1.4238162819615443</v>
      </c>
      <c r="R49" s="582">
        <f t="shared" si="52"/>
        <v>0.63994139023796737</v>
      </c>
    </row>
    <row r="50" spans="2:37" ht="15" thickBot="1">
      <c r="C50" s="587"/>
      <c r="D50" s="587"/>
      <c r="E50" s="587"/>
      <c r="F50" s="587"/>
      <c r="G50" s="587"/>
      <c r="H50" s="587"/>
      <c r="I50" s="587"/>
      <c r="J50" s="587"/>
      <c r="K50" s="587"/>
      <c r="L50" s="587"/>
      <c r="M50" s="587"/>
      <c r="N50" s="587"/>
      <c r="O50" s="587"/>
      <c r="P50" s="587"/>
      <c r="Q50" s="587"/>
      <c r="R50" s="587"/>
      <c r="T50" s="10" t="s">
        <v>668</v>
      </c>
    </row>
    <row r="51" spans="2:37" ht="15.5">
      <c r="B51" s="562" t="s">
        <v>652</v>
      </c>
      <c r="C51" s="583">
        <v>2009</v>
      </c>
      <c r="D51" s="583">
        <v>2010</v>
      </c>
      <c r="E51" s="583">
        <v>2011</v>
      </c>
      <c r="F51" s="583">
        <v>2012</v>
      </c>
      <c r="G51" s="583">
        <v>2013</v>
      </c>
      <c r="H51" s="583">
        <v>2014</v>
      </c>
      <c r="I51" s="583">
        <v>2015</v>
      </c>
      <c r="J51" s="583">
        <v>2016</v>
      </c>
      <c r="K51" s="583">
        <v>2017</v>
      </c>
      <c r="L51" s="583">
        <v>2018</v>
      </c>
      <c r="M51" s="583">
        <v>2019</v>
      </c>
      <c r="N51" s="583">
        <v>2020</v>
      </c>
      <c r="O51" s="583">
        <v>2021</v>
      </c>
      <c r="P51" s="583">
        <v>2022</v>
      </c>
      <c r="Q51" s="583">
        <v>2023</v>
      </c>
      <c r="R51" s="584">
        <v>2024</v>
      </c>
      <c r="T51" s="1035" t="s">
        <v>666</v>
      </c>
      <c r="U51" s="1036"/>
      <c r="V51" s="624">
        <v>2009</v>
      </c>
      <c r="W51" s="624">
        <v>2010</v>
      </c>
      <c r="X51" s="624">
        <v>2011</v>
      </c>
      <c r="Y51" s="624">
        <v>2012</v>
      </c>
      <c r="Z51" s="624">
        <v>2013</v>
      </c>
      <c r="AA51" s="624">
        <v>2014</v>
      </c>
      <c r="AB51" s="624">
        <v>2015</v>
      </c>
      <c r="AC51" s="624">
        <v>2016</v>
      </c>
      <c r="AD51" s="624">
        <v>2017</v>
      </c>
      <c r="AE51" s="624">
        <v>2018</v>
      </c>
      <c r="AF51" s="624">
        <v>2019</v>
      </c>
      <c r="AG51" s="624">
        <v>2020</v>
      </c>
      <c r="AH51" s="624">
        <v>2021</v>
      </c>
      <c r="AI51" s="624">
        <v>2022</v>
      </c>
      <c r="AJ51" s="624">
        <v>2023</v>
      </c>
      <c r="AK51" s="625">
        <v>2024</v>
      </c>
    </row>
    <row r="52" spans="2:37">
      <c r="B52" s="588" t="s">
        <v>653</v>
      </c>
      <c r="C52" s="589">
        <f>V52</f>
        <v>-4.6523076923076925</v>
      </c>
      <c r="D52" s="589">
        <f t="shared" ref="D52:R52" si="53">W52</f>
        <v>-16.728024760770847</v>
      </c>
      <c r="E52" s="589">
        <f t="shared" si="53"/>
        <v>-37.460238859854897</v>
      </c>
      <c r="F52" s="589">
        <f t="shared" si="53"/>
        <v>-29.226507530881719</v>
      </c>
      <c r="G52" s="589">
        <f t="shared" si="53"/>
        <v>-16.874708758086005</v>
      </c>
      <c r="H52" s="589">
        <f t="shared" si="53"/>
        <v>5.2682217815309054</v>
      </c>
      <c r="I52" s="589">
        <f t="shared" si="53"/>
        <v>4.7356575615362786</v>
      </c>
      <c r="J52" s="589">
        <f t="shared" si="53"/>
        <v>3.4740465064408794</v>
      </c>
      <c r="K52" s="589">
        <f t="shared" si="53"/>
        <v>1.1875647128671445</v>
      </c>
      <c r="L52" s="589">
        <f t="shared" si="53"/>
        <v>0</v>
      </c>
      <c r="M52" s="589">
        <f t="shared" si="53"/>
        <v>0</v>
      </c>
      <c r="N52" s="589">
        <f t="shared" si="53"/>
        <v>0</v>
      </c>
      <c r="O52" s="589">
        <f t="shared" si="53"/>
        <v>0</v>
      </c>
      <c r="P52" s="589">
        <f t="shared" si="53"/>
        <v>0</v>
      </c>
      <c r="Q52" s="589">
        <f t="shared" si="53"/>
        <v>0</v>
      </c>
      <c r="R52" s="589">
        <f t="shared" si="53"/>
        <v>0</v>
      </c>
      <c r="T52" s="569" t="s">
        <v>669</v>
      </c>
      <c r="U52" s="558"/>
      <c r="V52" s="627">
        <f>'Scénario 1'!C25/1000</f>
        <v>-4.6523076923076925</v>
      </c>
      <c r="W52" s="627">
        <f>'Scénario 1'!D25/1000</f>
        <v>-16.728024760770847</v>
      </c>
      <c r="X52" s="627">
        <f>'Scénario 1'!E25/1000</f>
        <v>-37.460238859854897</v>
      </c>
      <c r="Y52" s="627">
        <f>'Scénario 1'!F25/1000</f>
        <v>-29.226507530881719</v>
      </c>
      <c r="Z52" s="627">
        <f>'Scénario 1'!G25/1000</f>
        <v>-16.874708758086005</v>
      </c>
      <c r="AA52" s="627">
        <f>'Scénario 1'!H25/1000</f>
        <v>5.2682217815309054</v>
      </c>
      <c r="AB52" s="627">
        <f>'Scénario 1'!I25/1000</f>
        <v>4.7356575615362786</v>
      </c>
      <c r="AC52" s="627">
        <f>'Scénario 1'!J25/1000</f>
        <v>3.4740465064408794</v>
      </c>
      <c r="AD52" s="627">
        <f>'Scénario 1'!K25/1000</f>
        <v>1.1875647128671445</v>
      </c>
      <c r="AE52" s="627">
        <f>'Scénario 1'!L25/1000</f>
        <v>0</v>
      </c>
      <c r="AF52" s="627">
        <f>'Scénario 1'!M25/1000</f>
        <v>0</v>
      </c>
      <c r="AG52" s="627">
        <f>'Scénario 1'!N25/1000</f>
        <v>0</v>
      </c>
      <c r="AH52" s="627">
        <f>'Scénario 1'!O25/1000</f>
        <v>0</v>
      </c>
      <c r="AI52" s="627">
        <f>'Scénario 1'!P25/1000</f>
        <v>0</v>
      </c>
      <c r="AJ52" s="627">
        <f>'Scénario 1'!Q25/1000</f>
        <v>0</v>
      </c>
      <c r="AK52" s="627">
        <f>'Scénario 1'!R25/1000</f>
        <v>0</v>
      </c>
    </row>
    <row r="53" spans="2:37">
      <c r="B53" s="590" t="s">
        <v>654</v>
      </c>
      <c r="C53" s="589">
        <f>V55</f>
        <v>0</v>
      </c>
      <c r="D53" s="589">
        <f t="shared" ref="D53:R53" si="54">W55</f>
        <v>0</v>
      </c>
      <c r="E53" s="589">
        <f t="shared" si="54"/>
        <v>0</v>
      </c>
      <c r="F53" s="589">
        <f t="shared" si="54"/>
        <v>0</v>
      </c>
      <c r="G53" s="589">
        <f t="shared" si="54"/>
        <v>-13.362003102665604</v>
      </c>
      <c r="H53" s="589">
        <f t="shared" si="54"/>
        <v>32.933749052100843</v>
      </c>
      <c r="I53" s="589">
        <f t="shared" si="54"/>
        <v>29.863111119785145</v>
      </c>
      <c r="J53" s="589">
        <f t="shared" si="54"/>
        <v>28.36428474973625</v>
      </c>
      <c r="K53" s="589">
        <f t="shared" si="54"/>
        <v>25.758114597887808</v>
      </c>
      <c r="L53" s="589">
        <f t="shared" si="54"/>
        <v>24.430960190125408</v>
      </c>
      <c r="M53" s="589">
        <f t="shared" si="54"/>
        <v>22.217319270508206</v>
      </c>
      <c r="N53" s="589">
        <f t="shared" si="54"/>
        <v>21.044870543259844</v>
      </c>
      <c r="O53" s="589">
        <f t="shared" si="54"/>
        <v>19.163252102241682</v>
      </c>
      <c r="P53" s="589">
        <f t="shared" si="54"/>
        <v>18.129592631490727</v>
      </c>
      <c r="Q53" s="589">
        <f t="shared" si="54"/>
        <v>16.52905614744407</v>
      </c>
      <c r="R53" s="589">
        <f t="shared" si="54"/>
        <v>21.484978236183892</v>
      </c>
      <c r="T53" s="569" t="s">
        <v>670</v>
      </c>
      <c r="U53" s="558"/>
      <c r="V53" s="627">
        <f>'Scénario 3'!C23/1000</f>
        <v>-4.6523076923076925</v>
      </c>
      <c r="W53" s="627">
        <f>'Scénario 3'!D23/1000</f>
        <v>-16.728024760770847</v>
      </c>
      <c r="X53" s="627">
        <f>'Scénario 3'!E23/1000</f>
        <v>-1.2530824794561952</v>
      </c>
      <c r="Y53" s="627">
        <f>'Scénario 3'!F23/1000</f>
        <v>0</v>
      </c>
      <c r="Z53" s="627">
        <f>'Scénario 3'!G23/1000</f>
        <v>0</v>
      </c>
      <c r="AA53" s="627">
        <f>'Scénario 3'!H23/1000</f>
        <v>0</v>
      </c>
      <c r="AB53" s="627"/>
      <c r="AC53" s="558"/>
      <c r="AD53" s="558"/>
      <c r="AE53" s="558"/>
      <c r="AF53" s="558"/>
      <c r="AG53" s="558"/>
      <c r="AH53" s="558"/>
      <c r="AI53" s="558"/>
      <c r="AJ53" s="558"/>
      <c r="AK53" s="628"/>
    </row>
    <row r="54" spans="2:37">
      <c r="B54" s="592" t="s">
        <v>648</v>
      </c>
      <c r="C54" s="593">
        <f>C21</f>
        <v>-4.6523076923076925</v>
      </c>
      <c r="D54" s="593">
        <f t="shared" ref="D54:R54" si="55">D21</f>
        <v>-18.60923076923077</v>
      </c>
      <c r="E54" s="593">
        <f t="shared" si="55"/>
        <v>-46.359427055702916</v>
      </c>
      <c r="F54" s="593">
        <f t="shared" si="55"/>
        <v>-40.237241379310341</v>
      </c>
      <c r="G54" s="593">
        <f t="shared" si="55"/>
        <v>-46.309447199172403</v>
      </c>
      <c r="H54" s="593">
        <f t="shared" si="55"/>
        <v>65.088544944103347</v>
      </c>
      <c r="I54" s="593">
        <f t="shared" si="55"/>
        <v>65.578759369331152</v>
      </c>
      <c r="J54" s="593">
        <f t="shared" si="55"/>
        <v>67.133085620339997</v>
      </c>
      <c r="K54" s="593">
        <f t="shared" si="55"/>
        <v>63.206131112625229</v>
      </c>
      <c r="L54" s="593">
        <f t="shared" si="55"/>
        <v>63.752081027528938</v>
      </c>
      <c r="M54" s="593">
        <f t="shared" si="55"/>
        <v>64.495474857623719</v>
      </c>
      <c r="N54" s="593">
        <f t="shared" si="55"/>
        <v>67.962227713177342</v>
      </c>
      <c r="O54" s="593">
        <f t="shared" si="55"/>
        <v>68.845303582609034</v>
      </c>
      <c r="P54" s="593">
        <f t="shared" si="55"/>
        <v>72.456426463123023</v>
      </c>
      <c r="Q54" s="593">
        <f t="shared" si="55"/>
        <v>73.488719313247358</v>
      </c>
      <c r="R54" s="593">
        <f t="shared" si="55"/>
        <v>106.26525801361335</v>
      </c>
      <c r="T54" s="569" t="s">
        <v>671</v>
      </c>
      <c r="U54" s="558"/>
      <c r="V54" s="627">
        <f>'Scénario 2'!C26/1000</f>
        <v>-4.6523076923076925</v>
      </c>
      <c r="W54" s="627">
        <f>'Scénario 2'!D26/1000</f>
        <v>-16.728024760770847</v>
      </c>
      <c r="X54" s="627">
        <f>'Scénario 2'!E26/1000</f>
        <v>-37.460238859854911</v>
      </c>
      <c r="Y54" s="627">
        <f>'Scénario 2'!F26/1000</f>
        <v>-29.226507530881726</v>
      </c>
      <c r="Z54" s="627">
        <f>'Scénario 2'!G26/1000</f>
        <v>1.4483282966021924</v>
      </c>
      <c r="AA54" s="627">
        <f>'Scénario 2'!H26/1000</f>
        <v>0</v>
      </c>
      <c r="AB54" s="627">
        <f>'Scénario 2'!I26/1000</f>
        <v>0</v>
      </c>
      <c r="AC54" s="627">
        <f>'[4]Scénario 2 '!J23</f>
        <v>0</v>
      </c>
      <c r="AD54" s="627">
        <f>'[4]Scénario 2 '!K23</f>
        <v>0</v>
      </c>
      <c r="AE54" s="558"/>
      <c r="AF54" s="558"/>
      <c r="AG54" s="558"/>
      <c r="AH54" s="558"/>
      <c r="AI54" s="558"/>
      <c r="AJ54" s="558"/>
      <c r="AK54" s="628"/>
    </row>
    <row r="55" spans="2:37" ht="16" thickBot="1">
      <c r="B55" s="597" t="str">
        <f>B22</f>
        <v>CF actualisés</v>
      </c>
      <c r="C55" s="598">
        <f>C52+C53</f>
        <v>-4.6523076923076925</v>
      </c>
      <c r="D55" s="598">
        <f t="shared" ref="D55:R55" si="56">D52+D53</f>
        <v>-16.728024760770847</v>
      </c>
      <c r="E55" s="598">
        <f t="shared" si="56"/>
        <v>-37.460238859854897</v>
      </c>
      <c r="F55" s="598">
        <f t="shared" si="56"/>
        <v>-29.226507530881719</v>
      </c>
      <c r="G55" s="598">
        <f t="shared" si="56"/>
        <v>-30.236711860751608</v>
      </c>
      <c r="H55" s="598">
        <f t="shared" si="56"/>
        <v>38.201970833631748</v>
      </c>
      <c r="I55" s="598">
        <f t="shared" si="56"/>
        <v>34.598768681321424</v>
      </c>
      <c r="J55" s="598">
        <f t="shared" si="56"/>
        <v>31.838331256177128</v>
      </c>
      <c r="K55" s="598">
        <f t="shared" si="56"/>
        <v>26.945679310754951</v>
      </c>
      <c r="L55" s="598">
        <f t="shared" si="56"/>
        <v>24.430960190125408</v>
      </c>
      <c r="M55" s="598">
        <f t="shared" si="56"/>
        <v>22.217319270508206</v>
      </c>
      <c r="N55" s="598">
        <f t="shared" si="56"/>
        <v>21.044870543259844</v>
      </c>
      <c r="O55" s="598">
        <f t="shared" si="56"/>
        <v>19.163252102241682</v>
      </c>
      <c r="P55" s="598">
        <f t="shared" si="56"/>
        <v>18.129592631490727</v>
      </c>
      <c r="Q55" s="598">
        <f t="shared" si="56"/>
        <v>16.52905614744407</v>
      </c>
      <c r="R55" s="599">
        <f t="shared" si="56"/>
        <v>21.484978236183892</v>
      </c>
      <c r="T55" s="569" t="s">
        <v>672</v>
      </c>
      <c r="U55" s="558"/>
      <c r="V55" s="558"/>
      <c r="W55" s="558"/>
      <c r="X55" s="558"/>
      <c r="Y55" s="558"/>
      <c r="Z55" s="629">
        <f>'Scénarios d''exploitation'!AQ43/1000</f>
        <v>-13.362003102665604</v>
      </c>
      <c r="AA55" s="629">
        <f>'Scénarios d''exploitation'!AR43/1000</f>
        <v>32.933749052100843</v>
      </c>
      <c r="AB55" s="629">
        <f>'Scénarios d''exploitation'!AS43/1000</f>
        <v>29.863111119785145</v>
      </c>
      <c r="AC55" s="629">
        <f>'Scénarios d''exploitation'!AT43/1000</f>
        <v>28.36428474973625</v>
      </c>
      <c r="AD55" s="629">
        <f>'Scénarios d''exploitation'!AU43/1000</f>
        <v>25.758114597887808</v>
      </c>
      <c r="AE55" s="629">
        <f>'Scénarios d''exploitation'!AV43/1000</f>
        <v>24.430960190125408</v>
      </c>
      <c r="AF55" s="629">
        <f>'Scénarios d''exploitation'!AW43/1000</f>
        <v>22.217319270508206</v>
      </c>
      <c r="AG55" s="629">
        <f>'Scénarios d''exploitation'!AX43/1000</f>
        <v>21.044870543259844</v>
      </c>
      <c r="AH55" s="629">
        <f>'Scénarios d''exploitation'!AY43/1000</f>
        <v>19.163252102241682</v>
      </c>
      <c r="AI55" s="629">
        <f>'Scénarios d''exploitation'!AZ43/1000</f>
        <v>18.129592631490727</v>
      </c>
      <c r="AJ55" s="629">
        <f>'Scénarios d''exploitation'!BA43/1000</f>
        <v>16.52905614744407</v>
      </c>
      <c r="AK55" s="629">
        <f>'Scénarios d''exploitation'!BB43/1000</f>
        <v>21.484978236183892</v>
      </c>
    </row>
    <row r="56" spans="2:37" ht="16" thickBot="1">
      <c r="C56" s="603"/>
      <c r="D56" s="603"/>
      <c r="E56" s="603"/>
      <c r="F56" s="603"/>
      <c r="G56" s="603"/>
      <c r="H56" s="603"/>
      <c r="I56" s="603"/>
      <c r="J56" s="603"/>
      <c r="K56" s="603"/>
      <c r="L56" s="603"/>
      <c r="M56" s="603"/>
      <c r="N56" s="603"/>
      <c r="O56" s="603"/>
      <c r="P56" s="603"/>
      <c r="Q56" s="603"/>
      <c r="R56" s="603"/>
      <c r="T56" s="1037" t="s">
        <v>673</v>
      </c>
      <c r="U56" s="1038"/>
      <c r="V56" s="630">
        <f>V52+V55</f>
        <v>-4.6523076923076925</v>
      </c>
      <c r="W56" s="630">
        <f t="shared" ref="W56:AK56" si="57">W52+W55</f>
        <v>-16.728024760770847</v>
      </c>
      <c r="X56" s="630">
        <f t="shared" si="57"/>
        <v>-37.460238859854897</v>
      </c>
      <c r="Y56" s="630">
        <f t="shared" si="57"/>
        <v>-29.226507530881719</v>
      </c>
      <c r="Z56" s="630">
        <f t="shared" si="57"/>
        <v>-30.236711860751608</v>
      </c>
      <c r="AA56" s="630">
        <f>AA52+AA55</f>
        <v>38.201970833631748</v>
      </c>
      <c r="AB56" s="630">
        <f t="shared" si="57"/>
        <v>34.598768681321424</v>
      </c>
      <c r="AC56" s="630">
        <f t="shared" si="57"/>
        <v>31.838331256177128</v>
      </c>
      <c r="AD56" s="630">
        <f t="shared" si="57"/>
        <v>26.945679310754951</v>
      </c>
      <c r="AE56" s="630">
        <f t="shared" si="57"/>
        <v>24.430960190125408</v>
      </c>
      <c r="AF56" s="630">
        <f t="shared" si="57"/>
        <v>22.217319270508206</v>
      </c>
      <c r="AG56" s="630">
        <f t="shared" si="57"/>
        <v>21.044870543259844</v>
      </c>
      <c r="AH56" s="630">
        <f t="shared" si="57"/>
        <v>19.163252102241682</v>
      </c>
      <c r="AI56" s="630">
        <f t="shared" si="57"/>
        <v>18.129592631490727</v>
      </c>
      <c r="AJ56" s="630">
        <f t="shared" si="57"/>
        <v>16.52905614744407</v>
      </c>
      <c r="AK56" s="630">
        <f t="shared" si="57"/>
        <v>21.484978236183892</v>
      </c>
    </row>
    <row r="57" spans="2:37" ht="15.5">
      <c r="B57" s="607"/>
      <c r="C57" s="608">
        <v>2009</v>
      </c>
      <c r="D57" s="608">
        <v>2010</v>
      </c>
      <c r="E57" s="608">
        <v>2011</v>
      </c>
      <c r="F57" s="608">
        <v>2012</v>
      </c>
      <c r="G57" s="608">
        <v>2013</v>
      </c>
      <c r="H57" s="608">
        <v>2014</v>
      </c>
      <c r="I57" s="608">
        <v>2015</v>
      </c>
      <c r="J57" s="608">
        <v>2016</v>
      </c>
      <c r="K57" s="608">
        <v>2017</v>
      </c>
      <c r="L57" s="608">
        <v>2018</v>
      </c>
      <c r="M57" s="608">
        <v>2019</v>
      </c>
      <c r="N57" s="608">
        <v>2020</v>
      </c>
      <c r="O57" s="608">
        <v>2021</v>
      </c>
      <c r="P57" s="608">
        <v>2022</v>
      </c>
      <c r="Q57" s="608">
        <v>2023</v>
      </c>
      <c r="R57" s="609">
        <v>2024</v>
      </c>
    </row>
    <row r="58" spans="2:37" ht="15" thickBot="1">
      <c r="B58" s="610" t="s">
        <v>656</v>
      </c>
      <c r="C58" s="611">
        <f>C55+C49+C44</f>
        <v>-314.69730769230767</v>
      </c>
      <c r="D58" s="611">
        <f t="shared" ref="D58:R58" si="58">D55+D49+D44</f>
        <v>-302.25907492279521</v>
      </c>
      <c r="E58" s="611">
        <f t="shared" si="58"/>
        <v>-203.30044654476319</v>
      </c>
      <c r="F58" s="611">
        <f t="shared" si="58"/>
        <v>-183.81961918310509</v>
      </c>
      <c r="G58" s="611">
        <f t="shared" si="58"/>
        <v>-1.1361246779560954</v>
      </c>
      <c r="H58" s="611">
        <f t="shared" si="58"/>
        <v>59.902278757934567</v>
      </c>
      <c r="I58" s="611">
        <f t="shared" si="58"/>
        <v>134.51217418132492</v>
      </c>
      <c r="J58" s="611">
        <f t="shared" si="58"/>
        <v>163.10325988744844</v>
      </c>
      <c r="K58" s="611">
        <f t="shared" si="58"/>
        <v>141.70259011622528</v>
      </c>
      <c r="L58" s="611">
        <f t="shared" si="58"/>
        <v>124.67602282390467</v>
      </c>
      <c r="M58" s="611">
        <f t="shared" si="58"/>
        <v>109.71181638511649</v>
      </c>
      <c r="N58" s="611">
        <f t="shared" si="58"/>
        <v>98.714443319518224</v>
      </c>
      <c r="O58" s="611">
        <f t="shared" si="58"/>
        <v>88.100180900119128</v>
      </c>
      <c r="P58" s="611">
        <f t="shared" si="58"/>
        <v>79.305723329692228</v>
      </c>
      <c r="Q58" s="611">
        <f t="shared" si="58"/>
        <v>70.808987367159759</v>
      </c>
      <c r="R58" s="612">
        <f t="shared" si="58"/>
        <v>69.637813114681265</v>
      </c>
    </row>
    <row r="59" spans="2:37" ht="15" thickBot="1">
      <c r="B59" s="613" t="str">
        <f>B26</f>
        <v>Trésorerie</v>
      </c>
      <c r="C59" s="614">
        <f>C63+C64+C54+C48+C43</f>
        <v>-63.722307692307709</v>
      </c>
      <c r="D59" s="614">
        <f>C59+D43+D48+D54</f>
        <v>-399.97293846153843</v>
      </c>
      <c r="E59" s="614">
        <f t="shared" ref="E59:R59" si="59">D59+E43+E48+E54</f>
        <v>-651.57016551724132</v>
      </c>
      <c r="F59" s="614">
        <f t="shared" si="59"/>
        <v>-904.64160689655171</v>
      </c>
      <c r="G59" s="614">
        <f t="shared" si="59"/>
        <v>-906.38165409572412</v>
      </c>
      <c r="H59" s="614">
        <f t="shared" si="59"/>
        <v>-804.32010915162084</v>
      </c>
      <c r="I59" s="614">
        <f t="shared" si="59"/>
        <v>-549.36474978228966</v>
      </c>
      <c r="J59" s="614">
        <f t="shared" si="59"/>
        <v>-205.45146416194967</v>
      </c>
      <c r="K59" s="614">
        <f t="shared" si="59"/>
        <v>126.93846695067555</v>
      </c>
      <c r="L59" s="614">
        <f t="shared" si="59"/>
        <v>452.27794797820451</v>
      </c>
      <c r="M59" s="614">
        <f t="shared" si="59"/>
        <v>770.76442283582833</v>
      </c>
      <c r="N59" s="614">
        <f t="shared" si="59"/>
        <v>1089.5524838823389</v>
      </c>
      <c r="O59" s="614">
        <f t="shared" si="59"/>
        <v>1406.0584541316146</v>
      </c>
      <c r="P59" s="614">
        <f t="shared" si="59"/>
        <v>1723.0103805947376</v>
      </c>
      <c r="Q59" s="614">
        <f t="shared" si="59"/>
        <v>2037.8294332413184</v>
      </c>
      <c r="R59" s="614">
        <f t="shared" si="59"/>
        <v>2382.2598579215983</v>
      </c>
    </row>
    <row r="60" spans="2:37" ht="15" thickBot="1">
      <c r="T60" s="10" t="s">
        <v>674</v>
      </c>
    </row>
    <row r="61" spans="2:37" ht="15.5">
      <c r="B61" s="1039" t="s">
        <v>658</v>
      </c>
      <c r="C61" s="1040"/>
      <c r="T61" s="1035" t="s">
        <v>666</v>
      </c>
      <c r="U61" s="1036"/>
      <c r="V61" s="624">
        <v>2009</v>
      </c>
      <c r="W61" s="624">
        <v>2010</v>
      </c>
      <c r="X61" s="624">
        <v>2011</v>
      </c>
      <c r="Y61" s="624">
        <v>2012</v>
      </c>
      <c r="Z61" s="624">
        <v>2013</v>
      </c>
      <c r="AA61" s="624">
        <v>2014</v>
      </c>
      <c r="AB61" s="624">
        <v>2015</v>
      </c>
      <c r="AC61" s="624">
        <v>2016</v>
      </c>
      <c r="AD61" s="624">
        <v>2017</v>
      </c>
      <c r="AE61" s="624">
        <v>2018</v>
      </c>
      <c r="AF61" s="624">
        <v>2019</v>
      </c>
      <c r="AG61" s="624">
        <v>2020</v>
      </c>
      <c r="AH61" s="624">
        <v>2021</v>
      </c>
      <c r="AI61" s="624">
        <v>2022</v>
      </c>
      <c r="AJ61" s="624">
        <v>2023</v>
      </c>
      <c r="AK61" s="625">
        <v>2024</v>
      </c>
    </row>
    <row r="62" spans="2:37" ht="15.5">
      <c r="B62" s="569" t="s">
        <v>360</v>
      </c>
      <c r="C62" s="617">
        <f>SUM(C58:R58)</f>
        <v>134.96271716219775</v>
      </c>
      <c r="T62" s="569" t="s">
        <v>669</v>
      </c>
      <c r="U62" s="558"/>
      <c r="V62" s="627">
        <f>'Scénario 1'!C23/1000</f>
        <v>-4.6523076923076925</v>
      </c>
      <c r="W62" s="627">
        <f>'Scénario 1'!D23/1000</f>
        <v>-18.60923076923077</v>
      </c>
      <c r="X62" s="627">
        <f>'Scénario 1'!E23/1000</f>
        <v>-46.359427055702916</v>
      </c>
      <c r="Y62" s="627">
        <f>'Scénario 1'!F23/1000</f>
        <v>-40.237241379310341</v>
      </c>
      <c r="Z62" s="627">
        <f>'Scénario 1'!G23/1000</f>
        <v>-25.844689655172413</v>
      </c>
      <c r="AA62" s="627">
        <f>'Scénario 1'!H23/1000</f>
        <v>8.9760000000000009</v>
      </c>
      <c r="AB62" s="627">
        <f>'Scénario 1'!I23/1000</f>
        <v>8.9760000000000009</v>
      </c>
      <c r="AC62" s="627">
        <f>'Scénario 1'!J23/1000</f>
        <v>7.325241379310345</v>
      </c>
      <c r="AD62" s="627">
        <f>'Scénario 1'!K23/1000</f>
        <v>2.7856551724137937</v>
      </c>
      <c r="AE62" s="627">
        <f>'Scénario 1'!L23/1000</f>
        <v>0</v>
      </c>
      <c r="AF62" s="627">
        <f>'Scénario 1'!M23/1000</f>
        <v>0</v>
      </c>
      <c r="AG62" s="627">
        <f>'Scénario 1'!N23/1000</f>
        <v>0</v>
      </c>
      <c r="AH62" s="627">
        <f>'Scénario 1'!O23/1000</f>
        <v>0</v>
      </c>
      <c r="AI62" s="558"/>
      <c r="AJ62" s="558"/>
      <c r="AK62" s="628"/>
    </row>
    <row r="63" spans="2:37" ht="15.5">
      <c r="B63" s="569" t="s">
        <v>659</v>
      </c>
      <c r="C63" s="618">
        <f>C30</f>
        <v>155.20599999999999</v>
      </c>
      <c r="T63" s="569" t="s">
        <v>670</v>
      </c>
      <c r="U63" s="558"/>
      <c r="V63" s="627">
        <f>'Scénario 3'!C21/1000</f>
        <v>-4.6523076923076925</v>
      </c>
      <c r="W63" s="627">
        <f>'Scénario 3'!D21/1000</f>
        <v>-18.60923076923077</v>
      </c>
      <c r="X63" s="627">
        <f>'Scénario 3'!E21/1000</f>
        <v>-1.5507692307692307</v>
      </c>
      <c r="Y63" s="627">
        <f>'Scénario 3'!F21/1000</f>
        <v>0</v>
      </c>
      <c r="Z63" s="627">
        <f>'Scénario 3'!G21/1000</f>
        <v>0</v>
      </c>
      <c r="AA63" s="627">
        <f>'Scénario 3'!H21/1000</f>
        <v>0</v>
      </c>
      <c r="AB63" s="558"/>
      <c r="AC63" s="558"/>
      <c r="AD63" s="558"/>
      <c r="AE63" s="558"/>
      <c r="AF63" s="558"/>
      <c r="AG63" s="558"/>
      <c r="AH63" s="558"/>
      <c r="AI63" s="558"/>
      <c r="AJ63" s="558"/>
      <c r="AK63" s="628"/>
    </row>
    <row r="64" spans="2:37" ht="15.5">
      <c r="B64" s="569" t="s">
        <v>660</v>
      </c>
      <c r="C64" s="618">
        <f>C31</f>
        <v>95.769000000000005</v>
      </c>
      <c r="T64" s="569" t="s">
        <v>671</v>
      </c>
      <c r="U64" s="558"/>
      <c r="V64" s="627">
        <f>'Scénario 2'!C24/1000</f>
        <v>-4.6523076923076925</v>
      </c>
      <c r="W64" s="627">
        <f>'Scénario 2'!D24/1000</f>
        <v>-18.60923076923077</v>
      </c>
      <c r="X64" s="627">
        <f>'Scénario 2'!E24/1000</f>
        <v>-46.359427055702923</v>
      </c>
      <c r="Y64" s="627">
        <f>'Scénario 2'!F24/1000</f>
        <v>-40.237241379310348</v>
      </c>
      <c r="Z64" s="627">
        <f>'Scénario 2'!G24/1000</f>
        <v>2.2182068965517248</v>
      </c>
      <c r="AA64" s="627">
        <f>'Scénario 2'!H24/1000</f>
        <v>0</v>
      </c>
      <c r="AB64" s="627">
        <f>'[4]Scénario 2 '!I22</f>
        <v>0</v>
      </c>
      <c r="AC64" s="627">
        <f>'[4]Scénario 2 '!J22</f>
        <v>0</v>
      </c>
      <c r="AD64" s="627">
        <f>'[4]Scénario 2 '!K22</f>
        <v>0</v>
      </c>
      <c r="AE64" s="558"/>
      <c r="AF64" s="558"/>
      <c r="AG64" s="558"/>
      <c r="AH64" s="558"/>
      <c r="AI64" s="558"/>
      <c r="AJ64" s="558"/>
      <c r="AK64" s="628"/>
    </row>
    <row r="65" spans="2:37" ht="16" thickBot="1">
      <c r="B65" s="619" t="s">
        <v>661</v>
      </c>
      <c r="C65" s="620">
        <f>SUM(C62:C64)</f>
        <v>385.93771716219771</v>
      </c>
      <c r="T65" s="569" t="s">
        <v>672</v>
      </c>
      <c r="U65" s="558"/>
      <c r="V65" s="558"/>
      <c r="W65" s="558"/>
      <c r="X65" s="558"/>
      <c r="Y65" s="558"/>
      <c r="Z65" s="629">
        <f>'Scénarios d''exploitation'!AQ82/1000</f>
        <v>-20.46475754399999</v>
      </c>
      <c r="AA65" s="629">
        <f>'Scénarios d''exploitation'!AR82/1000</f>
        <v>56.112544944103348</v>
      </c>
      <c r="AB65" s="629">
        <f>'Scénarios d''exploitation'!AS82/1000</f>
        <v>56.602759369331153</v>
      </c>
      <c r="AC65" s="629">
        <f>'Scénarios d''exploitation'!AT82/1000</f>
        <v>59.807844241029656</v>
      </c>
      <c r="AD65" s="629">
        <f>'Scénarios d''exploitation'!AU82/1000</f>
        <v>60.420475940211439</v>
      </c>
      <c r="AE65" s="629">
        <f>'Scénarios d''exploitation'!AV82/1000</f>
        <v>63.752081027528938</v>
      </c>
      <c r="AF65" s="629">
        <f>'Scénarios d''exploitation'!AW82/1000</f>
        <v>64.495474857623719</v>
      </c>
      <c r="AG65" s="629">
        <f>'Scénarios d''exploitation'!AX82/1000</f>
        <v>67.962227713177342</v>
      </c>
      <c r="AH65" s="629">
        <f>'Scénarios d''exploitation'!AY82/1000</f>
        <v>68.845303582609034</v>
      </c>
      <c r="AI65" s="629">
        <f>'Scénarios d''exploitation'!AZ82/1000</f>
        <v>72.456426463123023</v>
      </c>
      <c r="AJ65" s="629">
        <f>'Scénarios d''exploitation'!BA82/1000</f>
        <v>73.488719313247358</v>
      </c>
      <c r="AK65" s="629">
        <f>'Scénarios d''exploitation'!BB82/1000</f>
        <v>106.26525801361335</v>
      </c>
    </row>
    <row r="66" spans="2:37" ht="16" thickBot="1">
      <c r="T66" s="1037" t="s">
        <v>675</v>
      </c>
      <c r="U66" s="1038"/>
      <c r="V66" s="630">
        <f>V62+V65</f>
        <v>-4.6523076923076925</v>
      </c>
      <c r="W66" s="630">
        <f>W62+W65</f>
        <v>-18.60923076923077</v>
      </c>
      <c r="X66" s="630">
        <f>X62+X65</f>
        <v>-46.359427055702916</v>
      </c>
      <c r="Y66" s="630">
        <f>Y62+Y65</f>
        <v>-40.237241379310341</v>
      </c>
      <c r="Z66" s="630">
        <f>Z62+Z65</f>
        <v>-46.309447199172403</v>
      </c>
      <c r="AA66" s="630">
        <f t="shared" ref="AA66:AK66" si="60">AA62+AA65</f>
        <v>65.088544944103347</v>
      </c>
      <c r="AB66" s="630">
        <f t="shared" si="60"/>
        <v>65.578759369331152</v>
      </c>
      <c r="AC66" s="630">
        <f t="shared" si="60"/>
        <v>67.133085620339997</v>
      </c>
      <c r="AD66" s="630">
        <f t="shared" si="60"/>
        <v>63.206131112625229</v>
      </c>
      <c r="AE66" s="630">
        <f t="shared" si="60"/>
        <v>63.752081027528938</v>
      </c>
      <c r="AF66" s="630">
        <f t="shared" si="60"/>
        <v>64.495474857623719</v>
      </c>
      <c r="AG66" s="630">
        <f t="shared" si="60"/>
        <v>67.962227713177342</v>
      </c>
      <c r="AH66" s="630">
        <f t="shared" si="60"/>
        <v>68.845303582609034</v>
      </c>
      <c r="AI66" s="630">
        <f t="shared" si="60"/>
        <v>72.456426463123023</v>
      </c>
      <c r="AJ66" s="630">
        <f t="shared" si="60"/>
        <v>73.488719313247358</v>
      </c>
      <c r="AK66" s="630">
        <f t="shared" si="60"/>
        <v>106.26525801361335</v>
      </c>
    </row>
    <row r="67" spans="2:37" ht="15.5">
      <c r="B67" s="10" t="s">
        <v>662</v>
      </c>
      <c r="C67" s="621">
        <v>15887450</v>
      </c>
    </row>
    <row r="68" spans="2:37">
      <c r="B68" s="10" t="s">
        <v>663</v>
      </c>
      <c r="C68" s="645">
        <f>(C65/C67)*1000000</f>
        <v>24.291986263509735</v>
      </c>
    </row>
    <row r="71" spans="2:37" ht="15" thickBot="1">
      <c r="B71" s="1041" t="s">
        <v>676</v>
      </c>
      <c r="C71" s="1041"/>
      <c r="D71" s="1041"/>
      <c r="E71" s="1041"/>
    </row>
    <row r="72" spans="2:37">
      <c r="B72" s="562" t="s">
        <v>638</v>
      </c>
      <c r="C72" s="563">
        <v>2009</v>
      </c>
      <c r="D72" s="563">
        <v>2010</v>
      </c>
      <c r="E72" s="563">
        <v>2011</v>
      </c>
      <c r="F72" s="563">
        <v>2012</v>
      </c>
      <c r="G72" s="563">
        <v>2013</v>
      </c>
      <c r="H72" s="563">
        <v>2014</v>
      </c>
      <c r="I72" s="563">
        <v>2015</v>
      </c>
      <c r="J72" s="563">
        <v>2016</v>
      </c>
      <c r="K72" s="563">
        <v>2017</v>
      </c>
      <c r="L72" s="563">
        <v>2018</v>
      </c>
      <c r="M72" s="563">
        <v>2019</v>
      </c>
      <c r="N72" s="563">
        <v>2020</v>
      </c>
      <c r="O72" s="563">
        <v>2021</v>
      </c>
      <c r="P72" s="563">
        <v>2022</v>
      </c>
      <c r="Q72" s="563">
        <v>2023</v>
      </c>
      <c r="R72" s="564">
        <v>2024</v>
      </c>
    </row>
    <row r="73" spans="2:37">
      <c r="B73" s="569" t="s">
        <v>640</v>
      </c>
      <c r="C73" s="570">
        <v>-105</v>
      </c>
      <c r="D73" s="570">
        <v>-105</v>
      </c>
      <c r="E73" s="570">
        <v>-105</v>
      </c>
      <c r="F73" s="570">
        <v>-105</v>
      </c>
      <c r="G73" s="570"/>
      <c r="H73" s="570"/>
      <c r="I73" s="570"/>
      <c r="J73" s="571"/>
      <c r="K73" s="571"/>
      <c r="L73" s="571"/>
      <c r="M73" s="571"/>
      <c r="N73" s="571"/>
      <c r="O73" s="571"/>
      <c r="P73" s="571"/>
      <c r="Q73" s="571"/>
      <c r="R73" s="572"/>
    </row>
    <row r="74" spans="2:37">
      <c r="B74" s="569" t="s">
        <v>642</v>
      </c>
      <c r="C74" s="577" t="s">
        <v>643</v>
      </c>
      <c r="D74" s="577" t="s">
        <v>643</v>
      </c>
      <c r="E74" s="577" t="s">
        <v>643</v>
      </c>
      <c r="F74" s="577" t="s">
        <v>643</v>
      </c>
      <c r="G74" s="577" t="s">
        <v>644</v>
      </c>
      <c r="H74" s="577" t="s">
        <v>644</v>
      </c>
      <c r="I74" s="578">
        <v>115</v>
      </c>
      <c r="J74" s="578">
        <v>115</v>
      </c>
      <c r="K74" s="578">
        <v>115</v>
      </c>
      <c r="L74" s="578">
        <v>115</v>
      </c>
      <c r="M74" s="578">
        <v>115</v>
      </c>
      <c r="N74" s="578">
        <v>115</v>
      </c>
      <c r="O74" s="578">
        <v>115</v>
      </c>
      <c r="P74" s="578">
        <v>115</v>
      </c>
      <c r="Q74" s="578">
        <v>115</v>
      </c>
      <c r="R74" s="579">
        <v>115</v>
      </c>
    </row>
    <row r="75" spans="2:37">
      <c r="B75" s="569" t="s">
        <v>645</v>
      </c>
      <c r="C75" s="577" t="s">
        <v>646</v>
      </c>
      <c r="D75" s="577" t="s">
        <v>646</v>
      </c>
      <c r="E75" s="577" t="s">
        <v>647</v>
      </c>
      <c r="F75" s="577" t="s">
        <v>647</v>
      </c>
      <c r="G75" s="578">
        <v>120</v>
      </c>
      <c r="H75" s="578">
        <v>120</v>
      </c>
      <c r="I75" s="578">
        <v>120</v>
      </c>
      <c r="J75" s="578">
        <v>120</v>
      </c>
      <c r="K75" s="578">
        <v>120</v>
      </c>
      <c r="L75" s="578">
        <v>120</v>
      </c>
      <c r="M75" s="578">
        <v>120</v>
      </c>
      <c r="N75" s="578">
        <v>120</v>
      </c>
      <c r="O75" s="578">
        <v>120</v>
      </c>
      <c r="P75" s="578">
        <v>120</v>
      </c>
      <c r="Q75" s="578">
        <v>120</v>
      </c>
      <c r="R75" s="579">
        <v>120</v>
      </c>
    </row>
    <row r="76" spans="2:37">
      <c r="B76" s="569" t="s">
        <v>648</v>
      </c>
      <c r="C76" s="578">
        <f>C73+C74+C75</f>
        <v>-405</v>
      </c>
      <c r="D76" s="578">
        <f t="shared" ref="D76:R76" si="61">D73+D74+D75</f>
        <v>-405</v>
      </c>
      <c r="E76" s="578">
        <f t="shared" si="61"/>
        <v>-285</v>
      </c>
      <c r="F76" s="578">
        <f t="shared" si="61"/>
        <v>-285</v>
      </c>
      <c r="G76" s="578">
        <f t="shared" si="61"/>
        <v>75</v>
      </c>
      <c r="H76" s="578">
        <f t="shared" si="61"/>
        <v>75</v>
      </c>
      <c r="I76" s="578">
        <f t="shared" si="61"/>
        <v>235</v>
      </c>
      <c r="J76" s="578">
        <f t="shared" si="61"/>
        <v>235</v>
      </c>
      <c r="K76" s="578">
        <f t="shared" si="61"/>
        <v>235</v>
      </c>
      <c r="L76" s="578">
        <f t="shared" si="61"/>
        <v>235</v>
      </c>
      <c r="M76" s="578">
        <f t="shared" si="61"/>
        <v>235</v>
      </c>
      <c r="N76" s="578">
        <f t="shared" si="61"/>
        <v>235</v>
      </c>
      <c r="O76" s="578">
        <f t="shared" si="61"/>
        <v>235</v>
      </c>
      <c r="P76" s="578">
        <f t="shared" si="61"/>
        <v>235</v>
      </c>
      <c r="Q76" s="578">
        <f t="shared" si="61"/>
        <v>235</v>
      </c>
      <c r="R76" s="579">
        <f t="shared" si="61"/>
        <v>235</v>
      </c>
    </row>
    <row r="77" spans="2:37" ht="16" thickBot="1">
      <c r="B77" s="580" t="s">
        <v>649</v>
      </c>
      <c r="C77" s="581">
        <f>C76/(1+$C$2)^(C72-$C$3)</f>
        <v>-405</v>
      </c>
      <c r="D77" s="581">
        <f>D76/(1+$C$2)^(D72-$C$3)</f>
        <v>-364.05857459266912</v>
      </c>
      <c r="E77" s="581">
        <f t="shared" ref="E77:R77" si="62">E76/(1+$C$2)^(E72-$C$3)</f>
        <v>-230.29119972148825</v>
      </c>
      <c r="F77" s="581">
        <f t="shared" si="62"/>
        <v>-207.01107632553254</v>
      </c>
      <c r="G77" s="581">
        <f t="shared" si="62"/>
        <v>48.969562944748283</v>
      </c>
      <c r="H77" s="581">
        <f t="shared" si="62"/>
        <v>44.019232800224806</v>
      </c>
      <c r="I77" s="581">
        <f t="shared" si="62"/>
        <v>123.98390451883084</v>
      </c>
      <c r="J77" s="581">
        <f t="shared" si="62"/>
        <v>111.45037913965218</v>
      </c>
      <c r="K77" s="581">
        <f t="shared" si="62"/>
        <v>100.18386707998599</v>
      </c>
      <c r="L77" s="581">
        <f t="shared" si="62"/>
        <v>90.056286040299071</v>
      </c>
      <c r="M77" s="581">
        <f t="shared" si="62"/>
        <v>80.952501552940646</v>
      </c>
      <c r="N77" s="581">
        <f t="shared" si="62"/>
        <v>72.769018086603467</v>
      </c>
      <c r="O77" s="581">
        <f t="shared" si="62"/>
        <v>65.412802466955597</v>
      </c>
      <c r="P77" s="581">
        <f t="shared" si="62"/>
        <v>58.800226237609088</v>
      </c>
      <c r="Q77" s="581">
        <f t="shared" si="62"/>
        <v>52.856114937754143</v>
      </c>
      <c r="R77" s="582">
        <f t="shared" si="62"/>
        <v>47.512893488259401</v>
      </c>
    </row>
    <row r="78" spans="2:37" ht="15" thickBot="1"/>
    <row r="79" spans="2:37">
      <c r="B79" s="562" t="s">
        <v>650</v>
      </c>
      <c r="C79" s="583">
        <v>2009</v>
      </c>
      <c r="D79" s="583">
        <v>2010</v>
      </c>
      <c r="E79" s="583">
        <v>2011</v>
      </c>
      <c r="F79" s="583">
        <v>2012</v>
      </c>
      <c r="G79" s="583">
        <v>2013</v>
      </c>
      <c r="H79" s="583">
        <v>2014</v>
      </c>
      <c r="I79" s="583">
        <v>2015</v>
      </c>
      <c r="J79" s="583">
        <v>2016</v>
      </c>
      <c r="K79" s="583">
        <v>2017</v>
      </c>
      <c r="L79" s="583">
        <v>2018</v>
      </c>
      <c r="M79" s="583">
        <v>2019</v>
      </c>
      <c r="N79" s="583">
        <v>2020</v>
      </c>
      <c r="O79" s="583">
        <v>2021</v>
      </c>
      <c r="P79" s="583">
        <v>2022</v>
      </c>
      <c r="Q79" s="583">
        <v>2023</v>
      </c>
      <c r="R79" s="584">
        <v>2024</v>
      </c>
    </row>
    <row r="80" spans="2:37">
      <c r="B80" s="569"/>
      <c r="C80" s="578">
        <v>94.954999999999998</v>
      </c>
      <c r="D80" s="578">
        <v>94.954999999999998</v>
      </c>
      <c r="E80" s="578">
        <v>94.954999999999998</v>
      </c>
      <c r="F80" s="578">
        <v>94.954999999999998</v>
      </c>
      <c r="G80" s="578">
        <v>94.954999999999998</v>
      </c>
      <c r="H80" s="578">
        <v>94.954999999999998</v>
      </c>
      <c r="I80" s="578">
        <v>94.954999999999998</v>
      </c>
      <c r="J80" s="578">
        <v>94.954999999999998</v>
      </c>
      <c r="K80" s="578">
        <v>94.954999999999998</v>
      </c>
      <c r="L80" s="578">
        <v>94.954999999999998</v>
      </c>
      <c r="M80" s="578">
        <v>94.954999999999998</v>
      </c>
      <c r="N80" s="578">
        <v>94.954999999999998</v>
      </c>
      <c r="O80" s="578">
        <v>94.954999999999998</v>
      </c>
      <c r="P80" s="578">
        <v>94.954999999999998</v>
      </c>
      <c r="Q80" s="578">
        <v>94.954999999999998</v>
      </c>
      <c r="R80" s="579">
        <v>94.954999999999998</v>
      </c>
    </row>
    <row r="81" spans="2:18">
      <c r="B81" s="569" t="s">
        <v>648</v>
      </c>
      <c r="C81" s="585">
        <f>C48</f>
        <v>94.954999999999998</v>
      </c>
      <c r="D81" s="585">
        <f t="shared" ref="D81:R81" si="63">D48</f>
        <v>87.358599999999996</v>
      </c>
      <c r="E81" s="585">
        <f t="shared" si="63"/>
        <v>79.762199999999993</v>
      </c>
      <c r="F81" s="585">
        <f t="shared" si="63"/>
        <v>72.165800000000004</v>
      </c>
      <c r="G81" s="585">
        <f t="shared" si="63"/>
        <v>64.569399999999987</v>
      </c>
      <c r="H81" s="585">
        <f t="shared" si="63"/>
        <v>56.972999999999999</v>
      </c>
      <c r="I81" s="585">
        <f t="shared" si="63"/>
        <v>49.376600000000003</v>
      </c>
      <c r="J81" s="585">
        <f t="shared" si="63"/>
        <v>41.780199999999994</v>
      </c>
      <c r="K81" s="585">
        <f t="shared" si="63"/>
        <v>34.183799999999998</v>
      </c>
      <c r="L81" s="585">
        <f t="shared" si="63"/>
        <v>26.587400000000002</v>
      </c>
      <c r="M81" s="585">
        <f t="shared" si="63"/>
        <v>18.990999999999996</v>
      </c>
      <c r="N81" s="585">
        <f t="shared" si="63"/>
        <v>15.82583333333333</v>
      </c>
      <c r="O81" s="585">
        <f t="shared" si="63"/>
        <v>12.660666666666664</v>
      </c>
      <c r="P81" s="585">
        <f t="shared" si="63"/>
        <v>9.4954999999999981</v>
      </c>
      <c r="Q81" s="585">
        <f t="shared" si="63"/>
        <v>6.330333333333332</v>
      </c>
      <c r="R81" s="585">
        <f t="shared" si="63"/>
        <v>3.165166666666666</v>
      </c>
    </row>
    <row r="82" spans="2:18" ht="16" thickBot="1">
      <c r="B82" s="580" t="s">
        <v>651</v>
      </c>
      <c r="C82" s="581">
        <f>C81/(1+$C$2)^(C79-$C$3)</f>
        <v>94.954999999999998</v>
      </c>
      <c r="D82" s="581">
        <f t="shared" ref="D82:R82" si="64">D81/(1+$C$2)^(D79-$C$3)</f>
        <v>78.527524430644789</v>
      </c>
      <c r="E82" s="581">
        <f t="shared" si="64"/>
        <v>64.450992036579962</v>
      </c>
      <c r="F82" s="581">
        <f t="shared" si="64"/>
        <v>52.417964673309186</v>
      </c>
      <c r="G82" s="581">
        <f t="shared" si="64"/>
        <v>42.159137301395056</v>
      </c>
      <c r="H82" s="581">
        <f t="shared" si="64"/>
        <v>33.438770004362773</v>
      </c>
      <c r="I82" s="581">
        <f t="shared" si="64"/>
        <v>26.050653871763842</v>
      </c>
      <c r="J82" s="581">
        <f t="shared" si="64"/>
        <v>19.814549491619132</v>
      </c>
      <c r="K82" s="581">
        <f t="shared" si="64"/>
        <v>14.573043725484361</v>
      </c>
      <c r="L82" s="581">
        <f t="shared" si="64"/>
        <v>10.188776593480203</v>
      </c>
      <c r="M82" s="581">
        <f t="shared" si="64"/>
        <v>6.5419955616676413</v>
      </c>
      <c r="N82" s="581">
        <f t="shared" si="64"/>
        <v>4.900554689654915</v>
      </c>
      <c r="O82" s="581">
        <f t="shared" si="64"/>
        <v>3.5241263309218538</v>
      </c>
      <c r="P82" s="581">
        <f t="shared" si="64"/>
        <v>2.3759044605924129</v>
      </c>
      <c r="Q82" s="581">
        <f t="shared" si="64"/>
        <v>1.4238162819615443</v>
      </c>
      <c r="R82" s="582">
        <f t="shared" si="64"/>
        <v>0.63994139023796737</v>
      </c>
    </row>
    <row r="83" spans="2:18" ht="15" thickBot="1">
      <c r="C83" s="587"/>
      <c r="D83" s="587"/>
      <c r="E83" s="587"/>
      <c r="F83" s="587"/>
      <c r="G83" s="587"/>
      <c r="H83" s="587"/>
      <c r="I83" s="587"/>
      <c r="J83" s="587"/>
      <c r="K83" s="587"/>
      <c r="L83" s="587"/>
      <c r="M83" s="587"/>
      <c r="N83" s="587"/>
      <c r="O83" s="587"/>
      <c r="P83" s="587"/>
      <c r="Q83" s="587"/>
      <c r="R83" s="587"/>
    </row>
    <row r="84" spans="2:18">
      <c r="B84" s="562" t="s">
        <v>652</v>
      </c>
      <c r="C84" s="583">
        <v>2009</v>
      </c>
      <c r="D84" s="583">
        <v>2010</v>
      </c>
      <c r="E84" s="583">
        <v>2011</v>
      </c>
      <c r="F84" s="583">
        <v>2012</v>
      </c>
      <c r="G84" s="583">
        <v>2013</v>
      </c>
      <c r="H84" s="583">
        <v>2014</v>
      </c>
      <c r="I84" s="583">
        <v>2015</v>
      </c>
      <c r="J84" s="583">
        <v>2016</v>
      </c>
      <c r="K84" s="583">
        <v>2017</v>
      </c>
      <c r="L84" s="583">
        <v>2018</v>
      </c>
      <c r="M84" s="583">
        <v>2019</v>
      </c>
      <c r="N84" s="583">
        <v>2020</v>
      </c>
      <c r="O84" s="583">
        <v>2021</v>
      </c>
      <c r="P84" s="583">
        <v>2022</v>
      </c>
      <c r="Q84" s="583">
        <v>2023</v>
      </c>
      <c r="R84" s="584">
        <v>2024</v>
      </c>
    </row>
    <row r="85" spans="2:18">
      <c r="B85" s="588" t="s">
        <v>653</v>
      </c>
      <c r="C85" s="589">
        <f>'[4]Scénario dossier 5'!C24</f>
        <v>-4.6523076923076925</v>
      </c>
      <c r="D85" s="589">
        <f>'[4]Scénario dossier 5'!D24</f>
        <v>-16.730245121871008</v>
      </c>
      <c r="E85" s="589">
        <f>'[4]Scénario dossier 5'!E24</f>
        <v>-37.470183940449651</v>
      </c>
      <c r="F85" s="589">
        <f>'[4]Scénario dossier 5'!F24</f>
        <v>-29.238147042758506</v>
      </c>
      <c r="G85" s="589">
        <f>'[4]Scénario dossier 5'!G24</f>
        <v>-16.883669865676229</v>
      </c>
      <c r="H85" s="589">
        <f>'[4]Scénario dossier 5'!H24</f>
        <v>5.2717190445193616</v>
      </c>
      <c r="I85" s="589">
        <f>'[4]Scénario dossier 5'!I24</f>
        <v>4.7394302817864542</v>
      </c>
      <c r="J85" s="589">
        <f>'[4]Scénario dossier 5'!J24</f>
        <v>3.4772756366300466</v>
      </c>
      <c r="K85" s="589">
        <f>'[4]Scénario dossier 5'!K24</f>
        <v>1.1888263311787912</v>
      </c>
      <c r="L85" s="589">
        <f>'[4]Scénario dossier 5'!L24</f>
        <v>0</v>
      </c>
      <c r="M85" s="589">
        <f>'[4]Scénario dossier 5'!M24</f>
        <v>0</v>
      </c>
      <c r="N85" s="589">
        <f>'[4]Scénario dossier 5'!N24</f>
        <v>0</v>
      </c>
      <c r="O85" s="589">
        <f>'[4]Scénario dossier 5'!O24</f>
        <v>0</v>
      </c>
      <c r="P85" s="589">
        <f>'[4]Scénario dossier 5'!P24</f>
        <v>0</v>
      </c>
      <c r="Q85" s="589">
        <f>'[4]Scénario dossier 5'!Q24</f>
        <v>0</v>
      </c>
      <c r="R85" s="626">
        <f>'[4]Scénario dossier 5'!R24</f>
        <v>0</v>
      </c>
    </row>
    <row r="86" spans="2:18">
      <c r="B86" s="590" t="s">
        <v>654</v>
      </c>
      <c r="C86" s="589">
        <f>'[4]Scénario dossier 5'!C25</f>
        <v>0</v>
      </c>
      <c r="D86" s="589">
        <f>'[4]Scénario dossier 5'!D25</f>
        <v>0</v>
      </c>
      <c r="E86" s="589">
        <f>'[4]Scénario dossier 5'!E25</f>
        <v>0</v>
      </c>
      <c r="F86" s="589">
        <f>'[4]Scénario dossier 5'!F25</f>
        <v>0</v>
      </c>
      <c r="G86" s="585">
        <f>'[4]Scénario dossier 5'!G25</f>
        <v>-13.369095209150121</v>
      </c>
      <c r="H86" s="585">
        <f>'[4]Scénario dossier 5'!H25</f>
        <v>32.956816369460412</v>
      </c>
      <c r="I86" s="585">
        <f>'[4]Scénario dossier 5'!I25</f>
        <v>30.277725799598755</v>
      </c>
      <c r="J86" s="585">
        <f>'[4]Scénario dossier 5'!J25</f>
        <v>28.391687540845247</v>
      </c>
      <c r="K86" s="585">
        <f>'[4]Scénario dossier 5'!K25</f>
        <v>26.101148770897222</v>
      </c>
      <c r="L86" s="585">
        <f>'[4]Scénario dossier 5'!L25</f>
        <v>24.460546326753949</v>
      </c>
      <c r="M86" s="585">
        <f>'[4]Scénario dossier 5'!M25</f>
        <v>22.501312267636575</v>
      </c>
      <c r="N86" s="585">
        <f>'[4]Scénario dossier 5'!N25</f>
        <v>21.075103955907377</v>
      </c>
      <c r="O86" s="585">
        <f>'[4]Scénario dossier 5'!O25</f>
        <v>19.39852016346715</v>
      </c>
      <c r="P86" s="585">
        <f>'[4]Scénario dossier 5'!P25</f>
        <v>18.159403383341502</v>
      </c>
      <c r="Q86" s="585">
        <f>'[4]Scénario dossier 5'!Q25</f>
        <v>16.724090574031035</v>
      </c>
      <c r="R86" s="585">
        <f>'[4]Scénario dossier 5'!R25</f>
        <v>22.445821416149265</v>
      </c>
    </row>
    <row r="87" spans="2:18">
      <c r="B87" s="592" t="s">
        <v>648</v>
      </c>
      <c r="C87" s="593">
        <f>C21</f>
        <v>-4.6523076923076925</v>
      </c>
      <c r="D87" s="593">
        <f t="shared" ref="D87:R87" si="65">D21</f>
        <v>-18.60923076923077</v>
      </c>
      <c r="E87" s="593">
        <f t="shared" si="65"/>
        <v>-46.359427055702916</v>
      </c>
      <c r="F87" s="593">
        <f t="shared" si="65"/>
        <v>-40.237241379310341</v>
      </c>
      <c r="G87" s="593">
        <f t="shared" si="65"/>
        <v>-46.309447199172403</v>
      </c>
      <c r="H87" s="593">
        <f t="shared" si="65"/>
        <v>65.088544944103347</v>
      </c>
      <c r="I87" s="593">
        <f t="shared" si="65"/>
        <v>65.578759369331152</v>
      </c>
      <c r="J87" s="593">
        <f t="shared" si="65"/>
        <v>67.133085620339997</v>
      </c>
      <c r="K87" s="593">
        <f t="shared" si="65"/>
        <v>63.206131112625229</v>
      </c>
      <c r="L87" s="593">
        <f t="shared" si="65"/>
        <v>63.752081027528938</v>
      </c>
      <c r="M87" s="593">
        <f t="shared" si="65"/>
        <v>64.495474857623719</v>
      </c>
      <c r="N87" s="593">
        <f t="shared" si="65"/>
        <v>67.962227713177342</v>
      </c>
      <c r="O87" s="593">
        <f t="shared" si="65"/>
        <v>68.845303582609034</v>
      </c>
      <c r="P87" s="593">
        <f t="shared" si="65"/>
        <v>72.456426463123023</v>
      </c>
      <c r="Q87" s="593">
        <f t="shared" si="65"/>
        <v>73.488719313247358</v>
      </c>
      <c r="R87" s="593">
        <f t="shared" si="65"/>
        <v>106.26525801361335</v>
      </c>
    </row>
    <row r="88" spans="2:18" ht="16" thickBot="1">
      <c r="B88" s="597" t="str">
        <f>B55</f>
        <v>CF actualisés</v>
      </c>
      <c r="C88" s="598">
        <f t="shared" ref="C88:R88" si="66">C85+C86</f>
        <v>-4.6523076923076925</v>
      </c>
      <c r="D88" s="598">
        <f t="shared" si="66"/>
        <v>-16.730245121871008</v>
      </c>
      <c r="E88" s="598">
        <f t="shared" si="66"/>
        <v>-37.470183940449651</v>
      </c>
      <c r="F88" s="598">
        <f t="shared" si="66"/>
        <v>-29.238147042758506</v>
      </c>
      <c r="G88" s="598">
        <f t="shared" si="66"/>
        <v>-30.25276507482635</v>
      </c>
      <c r="H88" s="598">
        <f t="shared" si="66"/>
        <v>38.22853541397977</v>
      </c>
      <c r="I88" s="598">
        <f t="shared" si="66"/>
        <v>35.01715608138521</v>
      </c>
      <c r="J88" s="598">
        <f t="shared" si="66"/>
        <v>31.868963177475294</v>
      </c>
      <c r="K88" s="598">
        <f t="shared" si="66"/>
        <v>27.289975102076014</v>
      </c>
      <c r="L88" s="598">
        <f t="shared" si="66"/>
        <v>24.460546326753949</v>
      </c>
      <c r="M88" s="598">
        <f t="shared" si="66"/>
        <v>22.501312267636575</v>
      </c>
      <c r="N88" s="598">
        <f t="shared" si="66"/>
        <v>21.075103955907377</v>
      </c>
      <c r="O88" s="598">
        <f t="shared" si="66"/>
        <v>19.39852016346715</v>
      </c>
      <c r="P88" s="598">
        <f t="shared" si="66"/>
        <v>18.159403383341502</v>
      </c>
      <c r="Q88" s="598">
        <f t="shared" si="66"/>
        <v>16.724090574031035</v>
      </c>
      <c r="R88" s="599">
        <f t="shared" si="66"/>
        <v>22.445821416149265</v>
      </c>
    </row>
    <row r="89" spans="2:18" ht="16" thickBot="1">
      <c r="C89" s="603"/>
      <c r="D89" s="603"/>
      <c r="E89" s="603"/>
      <c r="F89" s="603"/>
      <c r="G89" s="603"/>
      <c r="H89" s="603"/>
      <c r="I89" s="603"/>
      <c r="J89" s="603"/>
      <c r="K89" s="603"/>
      <c r="L89" s="603"/>
      <c r="M89" s="603"/>
      <c r="N89" s="603"/>
      <c r="O89" s="603"/>
      <c r="P89" s="603"/>
      <c r="Q89" s="603"/>
      <c r="R89" s="603"/>
    </row>
    <row r="90" spans="2:18" ht="15.5">
      <c r="B90" s="607"/>
      <c r="C90" s="608">
        <v>2009</v>
      </c>
      <c r="D90" s="608">
        <v>2010</v>
      </c>
      <c r="E90" s="608">
        <v>2011</v>
      </c>
      <c r="F90" s="608">
        <v>2012</v>
      </c>
      <c r="G90" s="608">
        <v>2013</v>
      </c>
      <c r="H90" s="608">
        <v>2014</v>
      </c>
      <c r="I90" s="608">
        <v>2015</v>
      </c>
      <c r="J90" s="608">
        <v>2016</v>
      </c>
      <c r="K90" s="608">
        <v>2017</v>
      </c>
      <c r="L90" s="608">
        <v>2018</v>
      </c>
      <c r="M90" s="608">
        <v>2019</v>
      </c>
      <c r="N90" s="608">
        <v>2020</v>
      </c>
      <c r="O90" s="608">
        <v>2021</v>
      </c>
      <c r="P90" s="608">
        <v>2022</v>
      </c>
      <c r="Q90" s="608">
        <v>2023</v>
      </c>
      <c r="R90" s="609">
        <v>2024</v>
      </c>
    </row>
    <row r="91" spans="2:18" ht="15" thickBot="1">
      <c r="B91" s="610" t="s">
        <v>656</v>
      </c>
      <c r="C91" s="611">
        <f t="shared" ref="C91:R91" si="67">C88+C82+C77</f>
        <v>-314.69730769230767</v>
      </c>
      <c r="D91" s="611">
        <f t="shared" si="67"/>
        <v>-302.26129528389532</v>
      </c>
      <c r="E91" s="611">
        <f t="shared" si="67"/>
        <v>-203.31039162535794</v>
      </c>
      <c r="F91" s="611">
        <f t="shared" si="67"/>
        <v>-183.83125869498187</v>
      </c>
      <c r="G91" s="611">
        <f t="shared" si="67"/>
        <v>60.875935171316989</v>
      </c>
      <c r="H91" s="611">
        <f t="shared" si="67"/>
        <v>115.68653821856736</v>
      </c>
      <c r="I91" s="611">
        <f t="shared" si="67"/>
        <v>185.05171447197989</v>
      </c>
      <c r="J91" s="611">
        <f t="shared" si="67"/>
        <v>163.13389180874663</v>
      </c>
      <c r="K91" s="611">
        <f t="shared" si="67"/>
        <v>142.04688590754637</v>
      </c>
      <c r="L91" s="611">
        <f t="shared" si="67"/>
        <v>124.70560896053323</v>
      </c>
      <c r="M91" s="611">
        <f t="shared" si="67"/>
        <v>109.99580938224486</v>
      </c>
      <c r="N91" s="611">
        <f t="shared" si="67"/>
        <v>98.744676732165757</v>
      </c>
      <c r="O91" s="611">
        <f t="shared" si="67"/>
        <v>88.335448961344596</v>
      </c>
      <c r="P91" s="611">
        <f t="shared" si="67"/>
        <v>79.335534081543003</v>
      </c>
      <c r="Q91" s="611">
        <f t="shared" si="67"/>
        <v>71.004021793746716</v>
      </c>
      <c r="R91" s="612">
        <f t="shared" si="67"/>
        <v>70.598656294646631</v>
      </c>
    </row>
    <row r="92" spans="2:18" ht="15" thickBot="1">
      <c r="B92" s="613" t="str">
        <f>B59</f>
        <v>Trésorerie</v>
      </c>
      <c r="C92" s="614">
        <f>C96+C97+C87+C81+C76</f>
        <v>-63.717307692307656</v>
      </c>
      <c r="D92" s="614">
        <f>C92+D76+D81+D87</f>
        <v>-399.96793846153844</v>
      </c>
      <c r="E92" s="614">
        <f t="shared" ref="E92:R92" si="68">D92+E76+E81+E87</f>
        <v>-651.56516551724133</v>
      </c>
      <c r="F92" s="614">
        <f t="shared" si="68"/>
        <v>-904.63660689655171</v>
      </c>
      <c r="G92" s="614">
        <f t="shared" si="68"/>
        <v>-811.37665409572412</v>
      </c>
      <c r="H92" s="614">
        <f t="shared" si="68"/>
        <v>-614.31510915162085</v>
      </c>
      <c r="I92" s="614">
        <f t="shared" si="68"/>
        <v>-264.35974978228967</v>
      </c>
      <c r="J92" s="614">
        <f t="shared" si="68"/>
        <v>79.553535838050323</v>
      </c>
      <c r="K92" s="614">
        <f t="shared" si="68"/>
        <v>411.94346695067554</v>
      </c>
      <c r="L92" s="614">
        <f t="shared" si="68"/>
        <v>737.28294797820445</v>
      </c>
      <c r="M92" s="614">
        <f t="shared" si="68"/>
        <v>1055.7694228358282</v>
      </c>
      <c r="N92" s="614">
        <f t="shared" si="68"/>
        <v>1374.5574838823388</v>
      </c>
      <c r="O92" s="614">
        <f t="shared" si="68"/>
        <v>1691.0634541316144</v>
      </c>
      <c r="P92" s="614">
        <f t="shared" si="68"/>
        <v>2008.0153805947375</v>
      </c>
      <c r="Q92" s="614">
        <f t="shared" si="68"/>
        <v>2322.834433241318</v>
      </c>
      <c r="R92" s="614">
        <f t="shared" si="68"/>
        <v>2667.2648579215979</v>
      </c>
    </row>
    <row r="93" spans="2:18" ht="15" thickBot="1"/>
    <row r="94" spans="2:18">
      <c r="B94" s="1039" t="s">
        <v>658</v>
      </c>
      <c r="C94" s="1040"/>
    </row>
    <row r="95" spans="2:18" ht="15.5">
      <c r="B95" s="569" t="s">
        <v>360</v>
      </c>
      <c r="C95" s="617">
        <f>SUM(C91:R91)</f>
        <v>305.41446848783932</v>
      </c>
    </row>
    <row r="96" spans="2:18" ht="15.5">
      <c r="B96" s="569" t="s">
        <v>659</v>
      </c>
      <c r="C96" s="618">
        <f>155.21</f>
        <v>155.21</v>
      </c>
    </row>
    <row r="97" spans="2:18" ht="15.5">
      <c r="B97" s="569" t="s">
        <v>660</v>
      </c>
      <c r="C97" s="618">
        <f>95.77</f>
        <v>95.77</v>
      </c>
    </row>
    <row r="98" spans="2:18" ht="16" thickBot="1">
      <c r="B98" s="619" t="s">
        <v>661</v>
      </c>
      <c r="C98" s="620">
        <f>SUM(C95:C97)</f>
        <v>556.39446848783928</v>
      </c>
    </row>
    <row r="100" spans="2:18" ht="15.5">
      <c r="B100" s="10" t="s">
        <v>662</v>
      </c>
      <c r="C100" s="621">
        <v>15887450</v>
      </c>
    </row>
    <row r="101" spans="2:18">
      <c r="B101" s="10" t="s">
        <v>663</v>
      </c>
      <c r="C101" s="645">
        <f>(C98/C100)*1000000</f>
        <v>35.021005163688272</v>
      </c>
    </row>
    <row r="104" spans="2:18" ht="15" thickBot="1">
      <c r="B104" s="1041" t="s">
        <v>677</v>
      </c>
      <c r="C104" s="1041"/>
      <c r="D104" s="1041"/>
      <c r="E104" s="1041"/>
    </row>
    <row r="105" spans="2:18">
      <c r="B105" s="562" t="s">
        <v>638</v>
      </c>
      <c r="C105" s="563">
        <v>2009</v>
      </c>
      <c r="D105" s="563">
        <v>2010</v>
      </c>
      <c r="E105" s="563">
        <v>2011</v>
      </c>
      <c r="F105" s="563">
        <v>2012</v>
      </c>
      <c r="G105" s="563">
        <v>2013</v>
      </c>
      <c r="H105" s="563">
        <v>2014</v>
      </c>
      <c r="I105" s="563">
        <v>2015</v>
      </c>
      <c r="J105" s="563">
        <v>2016</v>
      </c>
      <c r="K105" s="563">
        <v>2017</v>
      </c>
      <c r="L105" s="563">
        <v>2018</v>
      </c>
      <c r="M105" s="563">
        <v>2019</v>
      </c>
      <c r="N105" s="563">
        <v>2020</v>
      </c>
      <c r="O105" s="563">
        <v>2021</v>
      </c>
      <c r="P105" s="563">
        <v>2022</v>
      </c>
      <c r="Q105" s="563">
        <v>2023</v>
      </c>
      <c r="R105" s="564">
        <v>2024</v>
      </c>
    </row>
    <row r="106" spans="2:18">
      <c r="B106" s="569" t="s">
        <v>640</v>
      </c>
      <c r="C106" s="570">
        <v>-105</v>
      </c>
      <c r="D106" s="570">
        <v>-105</v>
      </c>
      <c r="E106" s="570">
        <v>-105</v>
      </c>
      <c r="F106" s="570">
        <v>-105</v>
      </c>
      <c r="G106" s="570">
        <v>-95</v>
      </c>
      <c r="H106" s="570">
        <v>-95</v>
      </c>
      <c r="I106" s="570">
        <v>-95</v>
      </c>
      <c r="J106" s="571">
        <v>185</v>
      </c>
      <c r="K106" s="571">
        <v>185</v>
      </c>
      <c r="L106" s="571">
        <v>185</v>
      </c>
      <c r="M106" s="571">
        <v>185</v>
      </c>
      <c r="N106" s="571">
        <v>185</v>
      </c>
      <c r="O106" s="571">
        <v>185</v>
      </c>
      <c r="P106" s="571">
        <v>185</v>
      </c>
      <c r="Q106" s="571">
        <v>185</v>
      </c>
      <c r="R106" s="572">
        <v>185</v>
      </c>
    </row>
    <row r="107" spans="2:18">
      <c r="B107" s="569" t="s">
        <v>642</v>
      </c>
      <c r="C107" s="577" t="s">
        <v>643</v>
      </c>
      <c r="D107" s="577" t="s">
        <v>643</v>
      </c>
      <c r="E107" s="577" t="s">
        <v>643</v>
      </c>
      <c r="F107" s="577" t="s">
        <v>643</v>
      </c>
      <c r="G107" s="577" t="s">
        <v>644</v>
      </c>
      <c r="H107" s="577" t="s">
        <v>644</v>
      </c>
      <c r="I107" s="578"/>
      <c r="J107" s="578"/>
      <c r="K107" s="578"/>
      <c r="L107" s="578"/>
      <c r="M107" s="578"/>
      <c r="N107" s="578"/>
      <c r="O107" s="578"/>
      <c r="P107" s="578"/>
      <c r="Q107" s="578"/>
      <c r="R107" s="579"/>
    </row>
    <row r="108" spans="2:18">
      <c r="B108" s="569" t="s">
        <v>645</v>
      </c>
      <c r="C108" s="577" t="s">
        <v>646</v>
      </c>
      <c r="D108" s="577" t="s">
        <v>646</v>
      </c>
      <c r="E108" s="577" t="s">
        <v>647</v>
      </c>
      <c r="F108" s="577" t="s">
        <v>647</v>
      </c>
      <c r="G108" s="578">
        <v>120</v>
      </c>
      <c r="H108" s="578">
        <v>120</v>
      </c>
      <c r="I108" s="578">
        <v>120</v>
      </c>
      <c r="J108" s="578">
        <v>120</v>
      </c>
      <c r="K108" s="578">
        <v>120</v>
      </c>
      <c r="L108" s="578">
        <v>120</v>
      </c>
      <c r="M108" s="578">
        <v>120</v>
      </c>
      <c r="N108" s="578">
        <v>120</v>
      </c>
      <c r="O108" s="578">
        <v>120</v>
      </c>
      <c r="P108" s="578">
        <v>120</v>
      </c>
      <c r="Q108" s="578">
        <v>120</v>
      </c>
      <c r="R108" s="579">
        <v>120</v>
      </c>
    </row>
    <row r="109" spans="2:18">
      <c r="B109" s="569" t="s">
        <v>648</v>
      </c>
      <c r="C109" s="578">
        <f>C106+C107+C108</f>
        <v>-405</v>
      </c>
      <c r="D109" s="578">
        <f t="shared" ref="D109:R109" si="69">D106+D107+D108</f>
        <v>-405</v>
      </c>
      <c r="E109" s="578">
        <f t="shared" si="69"/>
        <v>-285</v>
      </c>
      <c r="F109" s="578">
        <f t="shared" si="69"/>
        <v>-285</v>
      </c>
      <c r="G109" s="578">
        <f t="shared" si="69"/>
        <v>-20</v>
      </c>
      <c r="H109" s="578">
        <f t="shared" si="69"/>
        <v>-20</v>
      </c>
      <c r="I109" s="578">
        <f t="shared" si="69"/>
        <v>25</v>
      </c>
      <c r="J109" s="578">
        <f t="shared" si="69"/>
        <v>305</v>
      </c>
      <c r="K109" s="578">
        <f t="shared" si="69"/>
        <v>305</v>
      </c>
      <c r="L109" s="578">
        <f t="shared" si="69"/>
        <v>305</v>
      </c>
      <c r="M109" s="578">
        <f t="shared" si="69"/>
        <v>305</v>
      </c>
      <c r="N109" s="578">
        <f t="shared" si="69"/>
        <v>305</v>
      </c>
      <c r="O109" s="578">
        <f t="shared" si="69"/>
        <v>305</v>
      </c>
      <c r="P109" s="578">
        <f t="shared" si="69"/>
        <v>305</v>
      </c>
      <c r="Q109" s="578">
        <f t="shared" si="69"/>
        <v>305</v>
      </c>
      <c r="R109" s="579">
        <f t="shared" si="69"/>
        <v>305</v>
      </c>
    </row>
    <row r="110" spans="2:18" ht="16" thickBot="1">
      <c r="B110" s="580" t="s">
        <v>649</v>
      </c>
      <c r="C110" s="581">
        <f>C109/(1+$C$2)^(C105-$C$3)</f>
        <v>-405</v>
      </c>
      <c r="D110" s="581">
        <f>D109/(1+$C$2)^(D105-$C$3)</f>
        <v>-364.05857459266912</v>
      </c>
      <c r="E110" s="581">
        <f t="shared" ref="E110:R110" si="70">E109/(1+$C$2)^(E105-$C$3)</f>
        <v>-230.29119972148825</v>
      </c>
      <c r="F110" s="581">
        <f t="shared" si="70"/>
        <v>-207.01107632553254</v>
      </c>
      <c r="G110" s="581">
        <f t="shared" si="70"/>
        <v>-13.058550118599543</v>
      </c>
      <c r="H110" s="581">
        <f t="shared" si="70"/>
        <v>-11.738462080059948</v>
      </c>
      <c r="I110" s="581">
        <f t="shared" si="70"/>
        <v>13.189777076471366</v>
      </c>
      <c r="J110" s="581">
        <f t="shared" si="70"/>
        <v>144.64836441529326</v>
      </c>
      <c r="K110" s="581">
        <f t="shared" si="70"/>
        <v>130.02587003998181</v>
      </c>
      <c r="L110" s="581">
        <f t="shared" si="70"/>
        <v>116.88156273315411</v>
      </c>
      <c r="M110" s="581">
        <f t="shared" si="70"/>
        <v>105.06601265381659</v>
      </c>
      <c r="N110" s="581">
        <f t="shared" si="70"/>
        <v>94.444895814527897</v>
      </c>
      <c r="O110" s="581">
        <f t="shared" si="70"/>
        <v>84.897467031580661</v>
      </c>
      <c r="P110" s="581">
        <f t="shared" si="70"/>
        <v>76.315187244556483</v>
      </c>
      <c r="Q110" s="581">
        <f t="shared" si="70"/>
        <v>68.600489600063895</v>
      </c>
      <c r="R110" s="582">
        <f t="shared" si="70"/>
        <v>61.665670271996241</v>
      </c>
    </row>
    <row r="111" spans="2:18" ht="15" thickBot="1"/>
    <row r="112" spans="2:18">
      <c r="B112" s="562" t="s">
        <v>650</v>
      </c>
      <c r="C112" s="583">
        <v>2009</v>
      </c>
      <c r="D112" s="583">
        <v>2010</v>
      </c>
      <c r="E112" s="583">
        <v>2011</v>
      </c>
      <c r="F112" s="583">
        <v>2012</v>
      </c>
      <c r="G112" s="583">
        <v>2013</v>
      </c>
      <c r="H112" s="583">
        <v>2014</v>
      </c>
      <c r="I112" s="583">
        <v>2015</v>
      </c>
      <c r="J112" s="583">
        <v>2016</v>
      </c>
      <c r="K112" s="583">
        <v>2017</v>
      </c>
      <c r="L112" s="583">
        <v>2018</v>
      </c>
      <c r="M112" s="583">
        <v>2019</v>
      </c>
      <c r="N112" s="583">
        <v>2020</v>
      </c>
      <c r="O112" s="583">
        <v>2021</v>
      </c>
      <c r="P112" s="583">
        <v>2022</v>
      </c>
      <c r="Q112" s="583">
        <v>2023</v>
      </c>
      <c r="R112" s="584">
        <v>2024</v>
      </c>
    </row>
    <row r="113" spans="2:18">
      <c r="B113" s="569"/>
      <c r="C113" s="578">
        <v>94.954999999999998</v>
      </c>
      <c r="D113" s="578">
        <v>94.954999999999998</v>
      </c>
      <c r="E113" s="578">
        <v>94.954999999999998</v>
      </c>
      <c r="F113" s="578">
        <v>94.954999999999998</v>
      </c>
      <c r="G113" s="578">
        <v>94.954999999999998</v>
      </c>
      <c r="H113" s="578">
        <v>94.954999999999998</v>
      </c>
      <c r="I113" s="578">
        <v>94.954999999999998</v>
      </c>
      <c r="J113" s="578">
        <v>94.954999999999998</v>
      </c>
      <c r="K113" s="578">
        <v>94.954999999999998</v>
      </c>
      <c r="L113" s="578">
        <v>94.954999999999998</v>
      </c>
      <c r="M113" s="578">
        <v>94.954999999999998</v>
      </c>
      <c r="N113" s="578">
        <v>94.954999999999998</v>
      </c>
      <c r="O113" s="578">
        <v>94.954999999999998</v>
      </c>
      <c r="P113" s="578">
        <v>94.954999999999998</v>
      </c>
      <c r="Q113" s="578">
        <v>94.954999999999998</v>
      </c>
      <c r="R113" s="579">
        <v>94.954999999999998</v>
      </c>
    </row>
    <row r="114" spans="2:18">
      <c r="B114" s="569" t="s">
        <v>648</v>
      </c>
      <c r="C114" s="585">
        <f>C81</f>
        <v>94.954999999999998</v>
      </c>
      <c r="D114" s="585">
        <f t="shared" ref="D114:R114" si="71">D81</f>
        <v>87.358599999999996</v>
      </c>
      <c r="E114" s="585">
        <f t="shared" si="71"/>
        <v>79.762199999999993</v>
      </c>
      <c r="F114" s="585">
        <f t="shared" si="71"/>
        <v>72.165800000000004</v>
      </c>
      <c r="G114" s="585">
        <f t="shared" si="71"/>
        <v>64.569399999999987</v>
      </c>
      <c r="H114" s="585">
        <f t="shared" si="71"/>
        <v>56.972999999999999</v>
      </c>
      <c r="I114" s="585">
        <f t="shared" si="71"/>
        <v>49.376600000000003</v>
      </c>
      <c r="J114" s="585">
        <f t="shared" si="71"/>
        <v>41.780199999999994</v>
      </c>
      <c r="K114" s="585">
        <f t="shared" si="71"/>
        <v>34.183799999999998</v>
      </c>
      <c r="L114" s="585">
        <f t="shared" si="71"/>
        <v>26.587400000000002</v>
      </c>
      <c r="M114" s="585">
        <f t="shared" si="71"/>
        <v>18.990999999999996</v>
      </c>
      <c r="N114" s="585">
        <f t="shared" si="71"/>
        <v>15.82583333333333</v>
      </c>
      <c r="O114" s="585">
        <f t="shared" si="71"/>
        <v>12.660666666666664</v>
      </c>
      <c r="P114" s="585">
        <f t="shared" si="71"/>
        <v>9.4954999999999981</v>
      </c>
      <c r="Q114" s="585">
        <f t="shared" si="71"/>
        <v>6.330333333333332</v>
      </c>
      <c r="R114" s="585">
        <f t="shared" si="71"/>
        <v>3.165166666666666</v>
      </c>
    </row>
    <row r="115" spans="2:18" ht="16" thickBot="1">
      <c r="B115" s="580" t="s">
        <v>651</v>
      </c>
      <c r="C115" s="581">
        <f>C114/(1+$C$2)^(C112-$C$3)</f>
        <v>94.954999999999998</v>
      </c>
      <c r="D115" s="581">
        <f t="shared" ref="D115:R115" si="72">D114/(1+$C$2)^(D112-$C$3)</f>
        <v>78.527524430644789</v>
      </c>
      <c r="E115" s="581">
        <f t="shared" si="72"/>
        <v>64.450992036579962</v>
      </c>
      <c r="F115" s="581">
        <f t="shared" si="72"/>
        <v>52.417964673309186</v>
      </c>
      <c r="G115" s="581">
        <f t="shared" si="72"/>
        <v>42.159137301395056</v>
      </c>
      <c r="H115" s="581">
        <f t="shared" si="72"/>
        <v>33.438770004362773</v>
      </c>
      <c r="I115" s="581">
        <f t="shared" si="72"/>
        <v>26.050653871763842</v>
      </c>
      <c r="J115" s="581">
        <f t="shared" si="72"/>
        <v>19.814549491619132</v>
      </c>
      <c r="K115" s="581">
        <f t="shared" si="72"/>
        <v>14.573043725484361</v>
      </c>
      <c r="L115" s="581">
        <f t="shared" si="72"/>
        <v>10.188776593480203</v>
      </c>
      <c r="M115" s="581">
        <f t="shared" si="72"/>
        <v>6.5419955616676413</v>
      </c>
      <c r="N115" s="581">
        <f t="shared" si="72"/>
        <v>4.900554689654915</v>
      </c>
      <c r="O115" s="581">
        <f t="shared" si="72"/>
        <v>3.5241263309218538</v>
      </c>
      <c r="P115" s="581">
        <f t="shared" si="72"/>
        <v>2.3759044605924129</v>
      </c>
      <c r="Q115" s="581">
        <f t="shared" si="72"/>
        <v>1.4238162819615443</v>
      </c>
      <c r="R115" s="582">
        <f t="shared" si="72"/>
        <v>0.63994139023796737</v>
      </c>
    </row>
    <row r="116" spans="2:18" ht="15" thickBot="1">
      <c r="C116" s="587"/>
      <c r="D116" s="587"/>
      <c r="E116" s="587"/>
      <c r="F116" s="587"/>
      <c r="G116" s="587"/>
      <c r="H116" s="587"/>
      <c r="I116" s="587"/>
      <c r="J116" s="587"/>
      <c r="K116" s="587"/>
      <c r="L116" s="587"/>
      <c r="M116" s="587"/>
      <c r="N116" s="587"/>
      <c r="O116" s="587"/>
      <c r="P116" s="587"/>
      <c r="Q116" s="587"/>
      <c r="R116" s="587"/>
    </row>
    <row r="117" spans="2:18">
      <c r="B117" s="562" t="s">
        <v>652</v>
      </c>
      <c r="C117" s="583">
        <v>2009</v>
      </c>
      <c r="D117" s="583">
        <v>2010</v>
      </c>
      <c r="E117" s="583">
        <v>2011</v>
      </c>
      <c r="F117" s="583">
        <v>2012</v>
      </c>
      <c r="G117" s="583">
        <v>2013</v>
      </c>
      <c r="H117" s="583">
        <v>2014</v>
      </c>
      <c r="I117" s="583">
        <v>2015</v>
      </c>
      <c r="J117" s="583">
        <v>2016</v>
      </c>
      <c r="K117" s="583">
        <v>2017</v>
      </c>
      <c r="L117" s="583">
        <v>2018</v>
      </c>
      <c r="M117" s="583">
        <v>2019</v>
      </c>
      <c r="N117" s="583">
        <v>2020</v>
      </c>
      <c r="O117" s="583">
        <v>2021</v>
      </c>
      <c r="P117" s="583">
        <v>2022</v>
      </c>
      <c r="Q117" s="583">
        <v>2023</v>
      </c>
      <c r="R117" s="584">
        <v>2024</v>
      </c>
    </row>
    <row r="118" spans="2:18">
      <c r="B118" s="588" t="s">
        <v>653</v>
      </c>
      <c r="C118" s="589">
        <f>'[4]Scénario dossier 5'!C24</f>
        <v>-4.6523076923076925</v>
      </c>
      <c r="D118" s="589">
        <f>'[4]Scénario dossier 5'!D24</f>
        <v>-16.730245121871008</v>
      </c>
      <c r="E118" s="589">
        <f>'[4]Scénario dossier 5'!E24</f>
        <v>-37.470183940449651</v>
      </c>
      <c r="F118" s="589">
        <f>'[4]Scénario dossier 5'!F24</f>
        <v>-29.238147042758506</v>
      </c>
      <c r="G118" s="589">
        <f>'[4]Scénario dossier 5'!G24</f>
        <v>-16.883669865676229</v>
      </c>
      <c r="H118" s="589">
        <f>'[4]Scénario dossier 5'!H24</f>
        <v>5.2717190445193616</v>
      </c>
      <c r="I118" s="589">
        <f>'[4]Scénario dossier 5'!I24</f>
        <v>4.7394302817864542</v>
      </c>
      <c r="J118" s="589">
        <f>'[4]Scénario dossier 5'!J24</f>
        <v>3.4772756366300466</v>
      </c>
      <c r="K118" s="589">
        <f>'[4]Scénario dossier 5'!K24</f>
        <v>1.1888263311787912</v>
      </c>
      <c r="L118" s="589">
        <f>'[4]Scénario dossier 5'!L24</f>
        <v>0</v>
      </c>
      <c r="M118" s="589">
        <f>'[4]Scénario dossier 5'!M24</f>
        <v>0</v>
      </c>
      <c r="N118" s="589">
        <f>'[4]Scénario dossier 5'!N24</f>
        <v>0</v>
      </c>
      <c r="O118" s="589">
        <f>'[4]Scénario dossier 5'!O24</f>
        <v>0</v>
      </c>
      <c r="P118" s="589">
        <f>'[4]Scénario dossier 5'!P24</f>
        <v>0</v>
      </c>
      <c r="Q118" s="589">
        <f>'[4]Scénario dossier 5'!Q24</f>
        <v>0</v>
      </c>
      <c r="R118" s="626">
        <f>'[4]Scénario dossier 5'!R24</f>
        <v>0</v>
      </c>
    </row>
    <row r="119" spans="2:18">
      <c r="B119" s="590" t="s">
        <v>654</v>
      </c>
      <c r="C119" s="589">
        <f>'[4]Scénario dossier 5'!C25</f>
        <v>0</v>
      </c>
      <c r="D119" s="589">
        <f>'[4]Scénario dossier 5'!D25</f>
        <v>0</v>
      </c>
      <c r="E119" s="589">
        <f>'[4]Scénario dossier 5'!E25</f>
        <v>0</v>
      </c>
      <c r="F119" s="589">
        <f>'[4]Scénario dossier 5'!F25</f>
        <v>0</v>
      </c>
      <c r="G119" s="585">
        <f>'[4]Scénario dossier 5'!G25</f>
        <v>-13.369095209150121</v>
      </c>
      <c r="H119" s="585">
        <f>'[4]Scénario dossier 5'!H25</f>
        <v>32.956816369460412</v>
      </c>
      <c r="I119" s="585">
        <f>'[4]Scénario dossier 5'!I25</f>
        <v>30.277725799598755</v>
      </c>
      <c r="J119" s="585">
        <f>'[4]Scénario dossier 5'!J25</f>
        <v>28.391687540845247</v>
      </c>
      <c r="K119" s="585">
        <f>'[4]Scénario dossier 5'!K25</f>
        <v>26.101148770897222</v>
      </c>
      <c r="L119" s="585">
        <f>'[4]Scénario dossier 5'!L25</f>
        <v>24.460546326753949</v>
      </c>
      <c r="M119" s="585">
        <f>'[4]Scénario dossier 5'!M25</f>
        <v>22.501312267636575</v>
      </c>
      <c r="N119" s="585">
        <f>'[4]Scénario dossier 5'!N25</f>
        <v>21.075103955907377</v>
      </c>
      <c r="O119" s="585">
        <f>'[4]Scénario dossier 5'!O25</f>
        <v>19.39852016346715</v>
      </c>
      <c r="P119" s="585">
        <f>'[4]Scénario dossier 5'!P25</f>
        <v>18.159403383341502</v>
      </c>
      <c r="Q119" s="585">
        <f>'[4]Scénario dossier 5'!Q25</f>
        <v>16.724090574031035</v>
      </c>
      <c r="R119" s="586">
        <f>'[4]Scénario dossier 5'!R25</f>
        <v>22.445821416149265</v>
      </c>
    </row>
    <row r="120" spans="2:18">
      <c r="B120" s="592" t="s">
        <v>648</v>
      </c>
      <c r="C120" s="593">
        <f>C21</f>
        <v>-4.6523076923076925</v>
      </c>
      <c r="D120" s="593">
        <f t="shared" ref="D120:R120" si="73">D21</f>
        <v>-18.60923076923077</v>
      </c>
      <c r="E120" s="593">
        <f t="shared" si="73"/>
        <v>-46.359427055702916</v>
      </c>
      <c r="F120" s="593">
        <f t="shared" si="73"/>
        <v>-40.237241379310341</v>
      </c>
      <c r="G120" s="593">
        <f t="shared" si="73"/>
        <v>-46.309447199172403</v>
      </c>
      <c r="H120" s="593">
        <f t="shared" si="73"/>
        <v>65.088544944103347</v>
      </c>
      <c r="I120" s="593">
        <f t="shared" si="73"/>
        <v>65.578759369331152</v>
      </c>
      <c r="J120" s="593">
        <f t="shared" si="73"/>
        <v>67.133085620339997</v>
      </c>
      <c r="K120" s="593">
        <f t="shared" si="73"/>
        <v>63.206131112625229</v>
      </c>
      <c r="L120" s="593">
        <f t="shared" si="73"/>
        <v>63.752081027528938</v>
      </c>
      <c r="M120" s="593">
        <f t="shared" si="73"/>
        <v>64.495474857623719</v>
      </c>
      <c r="N120" s="593">
        <f t="shared" si="73"/>
        <v>67.962227713177342</v>
      </c>
      <c r="O120" s="593">
        <f t="shared" si="73"/>
        <v>68.845303582609034</v>
      </c>
      <c r="P120" s="593">
        <f t="shared" si="73"/>
        <v>72.456426463123023</v>
      </c>
      <c r="Q120" s="593">
        <f t="shared" si="73"/>
        <v>73.488719313247358</v>
      </c>
      <c r="R120" s="593">
        <f t="shared" si="73"/>
        <v>106.26525801361335</v>
      </c>
    </row>
    <row r="121" spans="2:18" ht="16" thickBot="1">
      <c r="B121" s="597" t="str">
        <f>B88</f>
        <v>CF actualisés</v>
      </c>
      <c r="C121" s="598">
        <f t="shared" ref="C121:R121" si="74">C118+C119</f>
        <v>-4.6523076923076925</v>
      </c>
      <c r="D121" s="598">
        <f t="shared" si="74"/>
        <v>-16.730245121871008</v>
      </c>
      <c r="E121" s="598">
        <f t="shared" si="74"/>
        <v>-37.470183940449651</v>
      </c>
      <c r="F121" s="598">
        <f t="shared" si="74"/>
        <v>-29.238147042758506</v>
      </c>
      <c r="G121" s="598">
        <f t="shared" si="74"/>
        <v>-30.25276507482635</v>
      </c>
      <c r="H121" s="598">
        <f t="shared" si="74"/>
        <v>38.22853541397977</v>
      </c>
      <c r="I121" s="598">
        <f t="shared" si="74"/>
        <v>35.01715608138521</v>
      </c>
      <c r="J121" s="598">
        <f t="shared" si="74"/>
        <v>31.868963177475294</v>
      </c>
      <c r="K121" s="598">
        <f t="shared" si="74"/>
        <v>27.289975102076014</v>
      </c>
      <c r="L121" s="598">
        <f t="shared" si="74"/>
        <v>24.460546326753949</v>
      </c>
      <c r="M121" s="598">
        <f t="shared" si="74"/>
        <v>22.501312267636575</v>
      </c>
      <c r="N121" s="598">
        <f t="shared" si="74"/>
        <v>21.075103955907377</v>
      </c>
      <c r="O121" s="598">
        <f t="shared" si="74"/>
        <v>19.39852016346715</v>
      </c>
      <c r="P121" s="598">
        <f t="shared" si="74"/>
        <v>18.159403383341502</v>
      </c>
      <c r="Q121" s="598">
        <f t="shared" si="74"/>
        <v>16.724090574031035</v>
      </c>
      <c r="R121" s="599">
        <f t="shared" si="74"/>
        <v>22.445821416149265</v>
      </c>
    </row>
    <row r="122" spans="2:18" ht="16" thickBot="1">
      <c r="C122" s="603"/>
      <c r="D122" s="603"/>
      <c r="E122" s="603"/>
      <c r="F122" s="603"/>
      <c r="G122" s="603"/>
      <c r="H122" s="603"/>
      <c r="I122" s="603"/>
      <c r="J122" s="603"/>
      <c r="K122" s="603"/>
      <c r="L122" s="603"/>
      <c r="M122" s="603"/>
      <c r="N122" s="603"/>
      <c r="O122" s="603"/>
      <c r="P122" s="603"/>
      <c r="Q122" s="603"/>
      <c r="R122" s="603"/>
    </row>
    <row r="123" spans="2:18" ht="15.5">
      <c r="B123" s="607"/>
      <c r="C123" s="608">
        <v>2009</v>
      </c>
      <c r="D123" s="608">
        <v>2010</v>
      </c>
      <c r="E123" s="608">
        <v>2011</v>
      </c>
      <c r="F123" s="608">
        <v>2012</v>
      </c>
      <c r="G123" s="608">
        <v>2013</v>
      </c>
      <c r="H123" s="608">
        <v>2014</v>
      </c>
      <c r="I123" s="608">
        <v>2015</v>
      </c>
      <c r="J123" s="608">
        <v>2016</v>
      </c>
      <c r="K123" s="608">
        <v>2017</v>
      </c>
      <c r="L123" s="608">
        <v>2018</v>
      </c>
      <c r="M123" s="608">
        <v>2019</v>
      </c>
      <c r="N123" s="608">
        <v>2020</v>
      </c>
      <c r="O123" s="608">
        <v>2021</v>
      </c>
      <c r="P123" s="608">
        <v>2022</v>
      </c>
      <c r="Q123" s="608">
        <v>2023</v>
      </c>
      <c r="R123" s="609">
        <v>2024</v>
      </c>
    </row>
    <row r="124" spans="2:18" ht="15" thickBot="1">
      <c r="B124" s="610" t="s">
        <v>656</v>
      </c>
      <c r="C124" s="611">
        <f t="shared" ref="C124:R124" si="75">C121+C115+C110</f>
        <v>-314.69730769230767</v>
      </c>
      <c r="D124" s="611">
        <f t="shared" si="75"/>
        <v>-302.26129528389532</v>
      </c>
      <c r="E124" s="611">
        <f t="shared" si="75"/>
        <v>-203.31039162535794</v>
      </c>
      <c r="F124" s="611">
        <f t="shared" si="75"/>
        <v>-183.83125869498187</v>
      </c>
      <c r="G124" s="611">
        <f t="shared" si="75"/>
        <v>-1.1521778920308368</v>
      </c>
      <c r="H124" s="611">
        <f t="shared" si="75"/>
        <v>59.928843338282604</v>
      </c>
      <c r="I124" s="611">
        <f t="shared" si="75"/>
        <v>74.257587029620424</v>
      </c>
      <c r="J124" s="611">
        <f t="shared" si="75"/>
        <v>196.33187708438768</v>
      </c>
      <c r="K124" s="611">
        <f t="shared" si="75"/>
        <v>171.88888886754219</v>
      </c>
      <c r="L124" s="611">
        <f t="shared" si="75"/>
        <v>151.53088565338828</v>
      </c>
      <c r="M124" s="611">
        <f t="shared" si="75"/>
        <v>134.1093204831208</v>
      </c>
      <c r="N124" s="611">
        <f t="shared" si="75"/>
        <v>120.42055446009019</v>
      </c>
      <c r="O124" s="611">
        <f t="shared" si="75"/>
        <v>107.82011352596966</v>
      </c>
      <c r="P124" s="611">
        <f t="shared" si="75"/>
        <v>96.850495088490391</v>
      </c>
      <c r="Q124" s="611">
        <f t="shared" si="75"/>
        <v>86.748396456056469</v>
      </c>
      <c r="R124" s="612">
        <f t="shared" si="75"/>
        <v>84.751433078383471</v>
      </c>
    </row>
    <row r="125" spans="2:18" ht="15" thickBot="1">
      <c r="B125" s="613" t="str">
        <f>B92</f>
        <v>Trésorerie</v>
      </c>
      <c r="C125" s="614">
        <f>C129+C130+C120+C114+C109</f>
        <v>-63.717307692307656</v>
      </c>
      <c r="D125" s="614">
        <f>C125+D109+D114+D120</f>
        <v>-399.96793846153844</v>
      </c>
      <c r="E125" s="614">
        <f t="shared" ref="E125:R125" si="76">D125+E109+E114+E120</f>
        <v>-651.56516551724133</v>
      </c>
      <c r="F125" s="614">
        <f t="shared" si="76"/>
        <v>-904.63660689655171</v>
      </c>
      <c r="G125" s="614">
        <f t="shared" si="76"/>
        <v>-906.37665409572412</v>
      </c>
      <c r="H125" s="614">
        <f t="shared" si="76"/>
        <v>-804.31510915162085</v>
      </c>
      <c r="I125" s="614">
        <f t="shared" si="76"/>
        <v>-664.35974978228967</v>
      </c>
      <c r="J125" s="614">
        <f t="shared" si="76"/>
        <v>-250.44646416194968</v>
      </c>
      <c r="K125" s="614">
        <f t="shared" si="76"/>
        <v>151.94346695067554</v>
      </c>
      <c r="L125" s="614">
        <f t="shared" si="76"/>
        <v>547.28294797820445</v>
      </c>
      <c r="M125" s="614">
        <f t="shared" si="76"/>
        <v>935.76942283582821</v>
      </c>
      <c r="N125" s="614">
        <f t="shared" si="76"/>
        <v>1324.5574838823388</v>
      </c>
      <c r="O125" s="614">
        <f t="shared" si="76"/>
        <v>1711.0634541316144</v>
      </c>
      <c r="P125" s="614">
        <f t="shared" si="76"/>
        <v>2098.0153805947375</v>
      </c>
      <c r="Q125" s="614">
        <f t="shared" si="76"/>
        <v>2482.834433241318</v>
      </c>
      <c r="R125" s="614">
        <f t="shared" si="76"/>
        <v>2897.2648579215979</v>
      </c>
    </row>
    <row r="126" spans="2:18" ht="15" thickBot="1"/>
    <row r="127" spans="2:18">
      <c r="B127" s="1039" t="s">
        <v>658</v>
      </c>
      <c r="C127" s="1040"/>
    </row>
    <row r="128" spans="2:18" ht="15.5">
      <c r="B128" s="569" t="s">
        <v>360</v>
      </c>
      <c r="C128" s="617">
        <f>SUM(C124:R124)</f>
        <v>279.3859638767583</v>
      </c>
    </row>
    <row r="129" spans="2:18" ht="15.5">
      <c r="B129" s="569" t="s">
        <v>659</v>
      </c>
      <c r="C129" s="618">
        <f>155.21</f>
        <v>155.21</v>
      </c>
    </row>
    <row r="130" spans="2:18" ht="15.5">
      <c r="B130" s="569" t="s">
        <v>660</v>
      </c>
      <c r="C130" s="618">
        <f>95.77</f>
        <v>95.77</v>
      </c>
    </row>
    <row r="131" spans="2:18" ht="16" thickBot="1">
      <c r="B131" s="619" t="s">
        <v>661</v>
      </c>
      <c r="C131" s="620">
        <f>SUM(C128:C130)</f>
        <v>530.36596387675831</v>
      </c>
    </row>
    <row r="133" spans="2:18" ht="15.5">
      <c r="B133" s="10" t="s">
        <v>662</v>
      </c>
      <c r="C133" s="621">
        <v>15887450</v>
      </c>
    </row>
    <row r="134" spans="2:18">
      <c r="B134" s="10" t="s">
        <v>663</v>
      </c>
      <c r="C134" s="646">
        <f>(C131/C133)*1000000</f>
        <v>33.382699166748488</v>
      </c>
    </row>
    <row r="137" spans="2:18" ht="15" thickBot="1">
      <c r="B137" s="1041" t="s">
        <v>678</v>
      </c>
      <c r="C137" s="1041"/>
      <c r="D137" s="1041"/>
      <c r="E137" s="1041"/>
    </row>
    <row r="138" spans="2:18">
      <c r="B138" s="562" t="s">
        <v>638</v>
      </c>
      <c r="C138" s="563">
        <v>2009</v>
      </c>
      <c r="D138" s="563">
        <v>2010</v>
      </c>
      <c r="E138" s="563">
        <v>2011</v>
      </c>
      <c r="F138" s="563">
        <v>2012</v>
      </c>
      <c r="G138" s="563">
        <v>2013</v>
      </c>
      <c r="H138" s="563">
        <v>2014</v>
      </c>
      <c r="I138" s="563">
        <v>2015</v>
      </c>
      <c r="J138" s="563">
        <v>2016</v>
      </c>
      <c r="K138" s="563">
        <v>2017</v>
      </c>
      <c r="L138" s="563">
        <v>2018</v>
      </c>
      <c r="M138" s="563">
        <v>2019</v>
      </c>
      <c r="N138" s="563">
        <v>2020</v>
      </c>
      <c r="O138" s="563">
        <v>2021</v>
      </c>
      <c r="P138" s="563">
        <v>2022</v>
      </c>
      <c r="Q138" s="563">
        <v>2023</v>
      </c>
      <c r="R138" s="564">
        <v>2024</v>
      </c>
    </row>
    <row r="139" spans="2:18">
      <c r="B139" s="569" t="s">
        <v>640</v>
      </c>
      <c r="C139" s="570">
        <v>-105</v>
      </c>
      <c r="D139" s="570">
        <v>-105</v>
      </c>
      <c r="E139" s="570">
        <v>-105</v>
      </c>
      <c r="F139" s="570">
        <v>-105</v>
      </c>
      <c r="G139" s="570">
        <v>-95</v>
      </c>
      <c r="H139" s="570">
        <v>-95</v>
      </c>
      <c r="I139" s="570">
        <v>-95</v>
      </c>
      <c r="J139" s="571">
        <v>185</v>
      </c>
      <c r="K139" s="571">
        <v>185</v>
      </c>
      <c r="L139" s="571">
        <v>185</v>
      </c>
      <c r="M139" s="571">
        <v>185</v>
      </c>
      <c r="N139" s="571">
        <v>185</v>
      </c>
      <c r="O139" s="571">
        <v>185</v>
      </c>
      <c r="P139" s="571">
        <v>185</v>
      </c>
      <c r="Q139" s="571">
        <v>185</v>
      </c>
      <c r="R139" s="572">
        <v>185</v>
      </c>
    </row>
    <row r="140" spans="2:18">
      <c r="B140" s="569" t="s">
        <v>642</v>
      </c>
      <c r="C140" s="577" t="s">
        <v>643</v>
      </c>
      <c r="D140" s="577" t="s">
        <v>643</v>
      </c>
      <c r="E140" s="577" t="s">
        <v>643</v>
      </c>
      <c r="F140" s="577" t="s">
        <v>643</v>
      </c>
      <c r="G140" s="577"/>
      <c r="H140" s="577"/>
      <c r="I140" s="578"/>
      <c r="J140" s="578"/>
      <c r="K140" s="578"/>
      <c r="L140" s="578"/>
      <c r="M140" s="578"/>
      <c r="N140" s="578"/>
      <c r="O140" s="578"/>
      <c r="P140" s="578"/>
      <c r="Q140" s="578"/>
      <c r="R140" s="579"/>
    </row>
    <row r="141" spans="2:18">
      <c r="B141" s="569" t="s">
        <v>645</v>
      </c>
      <c r="C141" s="577" t="s">
        <v>646</v>
      </c>
      <c r="D141" s="577" t="s">
        <v>646</v>
      </c>
      <c r="E141" s="577" t="s">
        <v>647</v>
      </c>
      <c r="F141" s="577" t="s">
        <v>647</v>
      </c>
      <c r="G141" s="578">
        <v>120</v>
      </c>
      <c r="H141" s="578">
        <v>120</v>
      </c>
      <c r="I141" s="578">
        <v>120</v>
      </c>
      <c r="J141" s="578">
        <v>120</v>
      </c>
      <c r="K141" s="578">
        <v>120</v>
      </c>
      <c r="L141" s="578">
        <v>120</v>
      </c>
      <c r="M141" s="578">
        <v>120</v>
      </c>
      <c r="N141" s="578">
        <v>120</v>
      </c>
      <c r="O141" s="578">
        <v>120</v>
      </c>
      <c r="P141" s="578">
        <v>120</v>
      </c>
      <c r="Q141" s="578">
        <v>120</v>
      </c>
      <c r="R141" s="579">
        <v>120</v>
      </c>
    </row>
    <row r="142" spans="2:18">
      <c r="B142" s="569" t="s">
        <v>648</v>
      </c>
      <c r="C142" s="578">
        <f>C139+C140+C141</f>
        <v>-405</v>
      </c>
      <c r="D142" s="578">
        <f t="shared" ref="D142:R142" si="77">D139+D140+D141</f>
        <v>-405</v>
      </c>
      <c r="E142" s="578">
        <f t="shared" si="77"/>
        <v>-285</v>
      </c>
      <c r="F142" s="578">
        <f t="shared" si="77"/>
        <v>-285</v>
      </c>
      <c r="G142" s="578">
        <f t="shared" si="77"/>
        <v>25</v>
      </c>
      <c r="H142" s="578">
        <f t="shared" si="77"/>
        <v>25</v>
      </c>
      <c r="I142" s="578">
        <f t="shared" si="77"/>
        <v>25</v>
      </c>
      <c r="J142" s="578">
        <f t="shared" si="77"/>
        <v>305</v>
      </c>
      <c r="K142" s="578">
        <f t="shared" si="77"/>
        <v>305</v>
      </c>
      <c r="L142" s="578">
        <f t="shared" si="77"/>
        <v>305</v>
      </c>
      <c r="M142" s="578">
        <f t="shared" si="77"/>
        <v>305</v>
      </c>
      <c r="N142" s="578">
        <f t="shared" si="77"/>
        <v>305</v>
      </c>
      <c r="O142" s="578">
        <f t="shared" si="77"/>
        <v>305</v>
      </c>
      <c r="P142" s="578">
        <f t="shared" si="77"/>
        <v>305</v>
      </c>
      <c r="Q142" s="578">
        <f t="shared" si="77"/>
        <v>305</v>
      </c>
      <c r="R142" s="579">
        <f t="shared" si="77"/>
        <v>305</v>
      </c>
    </row>
    <row r="143" spans="2:18" ht="16" thickBot="1">
      <c r="B143" s="580" t="s">
        <v>649</v>
      </c>
      <c r="C143" s="581">
        <f>C142/(1+$C$2)^(C138-$C$3)</f>
        <v>-405</v>
      </c>
      <c r="D143" s="581">
        <f>D142/(1+$C$2)^(D138-$C$3)</f>
        <v>-364.05857459266912</v>
      </c>
      <c r="E143" s="581">
        <f t="shared" ref="E143:R143" si="78">E142/(1+$C$2)^(E138-$C$3)</f>
        <v>-230.29119972148825</v>
      </c>
      <c r="F143" s="581">
        <f t="shared" si="78"/>
        <v>-207.01107632553254</v>
      </c>
      <c r="G143" s="581">
        <f t="shared" si="78"/>
        <v>16.32318764824943</v>
      </c>
      <c r="H143" s="581">
        <f t="shared" si="78"/>
        <v>14.673077600074937</v>
      </c>
      <c r="I143" s="581">
        <f t="shared" si="78"/>
        <v>13.189777076471366</v>
      </c>
      <c r="J143" s="581">
        <f t="shared" si="78"/>
        <v>144.64836441529326</v>
      </c>
      <c r="K143" s="581">
        <f t="shared" si="78"/>
        <v>130.02587003998181</v>
      </c>
      <c r="L143" s="581">
        <f t="shared" si="78"/>
        <v>116.88156273315411</v>
      </c>
      <c r="M143" s="581">
        <f t="shared" si="78"/>
        <v>105.06601265381659</v>
      </c>
      <c r="N143" s="581">
        <f t="shared" si="78"/>
        <v>94.444895814527897</v>
      </c>
      <c r="O143" s="581">
        <f t="shared" si="78"/>
        <v>84.897467031580661</v>
      </c>
      <c r="P143" s="581">
        <f t="shared" si="78"/>
        <v>76.315187244556483</v>
      </c>
      <c r="Q143" s="581">
        <f t="shared" si="78"/>
        <v>68.600489600063895</v>
      </c>
      <c r="R143" s="582">
        <f t="shared" si="78"/>
        <v>61.665670271996241</v>
      </c>
    </row>
    <row r="144" spans="2:18" ht="15" thickBot="1"/>
    <row r="145" spans="2:18">
      <c r="B145" s="562" t="s">
        <v>650</v>
      </c>
      <c r="C145" s="583">
        <v>2009</v>
      </c>
      <c r="D145" s="583">
        <v>2010</v>
      </c>
      <c r="E145" s="583">
        <v>2011</v>
      </c>
      <c r="F145" s="583">
        <v>2012</v>
      </c>
      <c r="G145" s="583">
        <v>2013</v>
      </c>
      <c r="H145" s="583">
        <v>2014</v>
      </c>
      <c r="I145" s="583">
        <v>2015</v>
      </c>
      <c r="J145" s="583">
        <v>2016</v>
      </c>
      <c r="K145" s="583">
        <v>2017</v>
      </c>
      <c r="L145" s="583">
        <v>2018</v>
      </c>
      <c r="M145" s="583">
        <v>2019</v>
      </c>
      <c r="N145" s="583">
        <v>2020</v>
      </c>
      <c r="O145" s="583">
        <v>2021</v>
      </c>
      <c r="P145" s="583">
        <v>2022</v>
      </c>
      <c r="Q145" s="583">
        <v>2023</v>
      </c>
      <c r="R145" s="584">
        <v>2024</v>
      </c>
    </row>
    <row r="146" spans="2:18">
      <c r="B146" s="569"/>
      <c r="C146" s="578">
        <v>94.954999999999998</v>
      </c>
      <c r="D146" s="578">
        <v>94.954999999999998</v>
      </c>
      <c r="E146" s="578">
        <v>94.954999999999998</v>
      </c>
      <c r="F146" s="578">
        <v>94.954999999999998</v>
      </c>
      <c r="G146" s="578">
        <v>94.954999999999998</v>
      </c>
      <c r="H146" s="578">
        <v>94.954999999999998</v>
      </c>
      <c r="I146" s="578">
        <v>94.954999999999998</v>
      </c>
      <c r="J146" s="578">
        <v>94.954999999999998</v>
      </c>
      <c r="K146" s="578">
        <v>94.954999999999998</v>
      </c>
      <c r="L146" s="578">
        <v>94.954999999999998</v>
      </c>
      <c r="M146" s="578">
        <v>94.954999999999998</v>
      </c>
      <c r="N146" s="578">
        <v>94.954999999999998</v>
      </c>
      <c r="O146" s="578">
        <v>94.954999999999998</v>
      </c>
      <c r="P146" s="578">
        <v>94.954999999999998</v>
      </c>
      <c r="Q146" s="578">
        <v>94.954999999999998</v>
      </c>
      <c r="R146" s="579">
        <v>94.954999999999998</v>
      </c>
    </row>
    <row r="147" spans="2:18">
      <c r="B147" s="569" t="s">
        <v>648</v>
      </c>
      <c r="C147" s="585">
        <f>C114</f>
        <v>94.954999999999998</v>
      </c>
      <c r="D147" s="585">
        <f t="shared" ref="D147:R147" si="79">D114</f>
        <v>87.358599999999996</v>
      </c>
      <c r="E147" s="585">
        <f t="shared" si="79"/>
        <v>79.762199999999993</v>
      </c>
      <c r="F147" s="585">
        <f t="shared" si="79"/>
        <v>72.165800000000004</v>
      </c>
      <c r="G147" s="585">
        <f t="shared" si="79"/>
        <v>64.569399999999987</v>
      </c>
      <c r="H147" s="585">
        <f t="shared" si="79"/>
        <v>56.972999999999999</v>
      </c>
      <c r="I147" s="585">
        <f t="shared" si="79"/>
        <v>49.376600000000003</v>
      </c>
      <c r="J147" s="585">
        <f t="shared" si="79"/>
        <v>41.780199999999994</v>
      </c>
      <c r="K147" s="585">
        <f t="shared" si="79"/>
        <v>34.183799999999998</v>
      </c>
      <c r="L147" s="585">
        <f t="shared" si="79"/>
        <v>26.587400000000002</v>
      </c>
      <c r="M147" s="585">
        <f t="shared" si="79"/>
        <v>18.990999999999996</v>
      </c>
      <c r="N147" s="585">
        <f t="shared" si="79"/>
        <v>15.82583333333333</v>
      </c>
      <c r="O147" s="585">
        <f t="shared" si="79"/>
        <v>12.660666666666664</v>
      </c>
      <c r="P147" s="585">
        <f t="shared" si="79"/>
        <v>9.4954999999999981</v>
      </c>
      <c r="Q147" s="585">
        <f t="shared" si="79"/>
        <v>6.330333333333332</v>
      </c>
      <c r="R147" s="585">
        <f t="shared" si="79"/>
        <v>3.165166666666666</v>
      </c>
    </row>
    <row r="148" spans="2:18" ht="16" thickBot="1">
      <c r="B148" s="580" t="s">
        <v>651</v>
      </c>
      <c r="C148" s="581">
        <f>C147/(1+$C$2)^(C145-$C$3)</f>
        <v>94.954999999999998</v>
      </c>
      <c r="D148" s="581">
        <f t="shared" ref="D148:R148" si="80">D147/(1+$C$2)^(D145-$C$3)</f>
        <v>78.527524430644789</v>
      </c>
      <c r="E148" s="581">
        <f t="shared" si="80"/>
        <v>64.450992036579962</v>
      </c>
      <c r="F148" s="581">
        <f t="shared" si="80"/>
        <v>52.417964673309186</v>
      </c>
      <c r="G148" s="581">
        <f t="shared" si="80"/>
        <v>42.159137301395056</v>
      </c>
      <c r="H148" s="581">
        <f t="shared" si="80"/>
        <v>33.438770004362773</v>
      </c>
      <c r="I148" s="581">
        <f t="shared" si="80"/>
        <v>26.050653871763842</v>
      </c>
      <c r="J148" s="581">
        <f t="shared" si="80"/>
        <v>19.814549491619132</v>
      </c>
      <c r="K148" s="581">
        <f t="shared" si="80"/>
        <v>14.573043725484361</v>
      </c>
      <c r="L148" s="581">
        <f t="shared" si="80"/>
        <v>10.188776593480203</v>
      </c>
      <c r="M148" s="581">
        <f t="shared" si="80"/>
        <v>6.5419955616676413</v>
      </c>
      <c r="N148" s="581">
        <f t="shared" si="80"/>
        <v>4.900554689654915</v>
      </c>
      <c r="O148" s="581">
        <f t="shared" si="80"/>
        <v>3.5241263309218538</v>
      </c>
      <c r="P148" s="581">
        <f t="shared" si="80"/>
        <v>2.3759044605924129</v>
      </c>
      <c r="Q148" s="581">
        <f t="shared" si="80"/>
        <v>1.4238162819615443</v>
      </c>
      <c r="R148" s="582">
        <f t="shared" si="80"/>
        <v>0.63994139023796737</v>
      </c>
    </row>
    <row r="149" spans="2:18" ht="15" thickBot="1">
      <c r="C149" s="587"/>
      <c r="D149" s="587"/>
      <c r="E149" s="587"/>
      <c r="F149" s="587"/>
      <c r="G149" s="587"/>
      <c r="H149" s="587"/>
      <c r="I149" s="587"/>
      <c r="J149" s="587"/>
      <c r="K149" s="587"/>
      <c r="L149" s="587"/>
      <c r="M149" s="587"/>
      <c r="N149" s="587"/>
      <c r="O149" s="587"/>
      <c r="P149" s="587"/>
      <c r="Q149" s="587"/>
      <c r="R149" s="587"/>
    </row>
    <row r="150" spans="2:18">
      <c r="B150" s="562" t="s">
        <v>652</v>
      </c>
      <c r="C150" s="583">
        <v>2009</v>
      </c>
      <c r="D150" s="583">
        <v>2010</v>
      </c>
      <c r="E150" s="583">
        <v>2011</v>
      </c>
      <c r="F150" s="583">
        <v>2012</v>
      </c>
      <c r="G150" s="583">
        <v>2013</v>
      </c>
      <c r="H150" s="583">
        <v>2014</v>
      </c>
      <c r="I150" s="583">
        <v>2015</v>
      </c>
      <c r="J150" s="583">
        <v>2016</v>
      </c>
      <c r="K150" s="583">
        <v>2017</v>
      </c>
      <c r="L150" s="583">
        <v>2018</v>
      </c>
      <c r="M150" s="583">
        <v>2019</v>
      </c>
      <c r="N150" s="583">
        <v>2020</v>
      </c>
      <c r="O150" s="583">
        <v>2021</v>
      </c>
      <c r="P150" s="583">
        <v>2022</v>
      </c>
      <c r="Q150" s="583">
        <v>2023</v>
      </c>
      <c r="R150" s="584">
        <v>2024</v>
      </c>
    </row>
    <row r="151" spans="2:18">
      <c r="B151" s="588" t="s">
        <v>653</v>
      </c>
      <c r="C151" s="589">
        <f>'[4]Scénario dossier 5'!C24</f>
        <v>-4.6523076923076925</v>
      </c>
      <c r="D151" s="589">
        <f>'[4]Scénario dossier 5'!D24</f>
        <v>-16.730245121871008</v>
      </c>
      <c r="E151" s="589">
        <f>'[4]Scénario dossier 5'!E24</f>
        <v>-37.470183940449651</v>
      </c>
      <c r="F151" s="589">
        <f>'[4]Scénario dossier 5'!F24</f>
        <v>-29.238147042758506</v>
      </c>
      <c r="G151" s="589">
        <f>'[4]Scénario dossier 5'!G24</f>
        <v>-16.883669865676229</v>
      </c>
      <c r="H151" s="589">
        <f>'[4]Scénario dossier 5'!H24</f>
        <v>5.2717190445193616</v>
      </c>
      <c r="I151" s="589">
        <f>'[4]Scénario dossier 5'!I24</f>
        <v>4.7394302817864542</v>
      </c>
      <c r="J151" s="589">
        <f>'[4]Scénario dossier 5'!J24</f>
        <v>3.4772756366300466</v>
      </c>
      <c r="K151" s="589">
        <f>'[4]Scénario dossier 5'!K24</f>
        <v>1.1888263311787912</v>
      </c>
      <c r="L151" s="589">
        <f>'[4]Scénario dossier 5'!L24</f>
        <v>0</v>
      </c>
      <c r="M151" s="589">
        <f>'[4]Scénario dossier 5'!M24</f>
        <v>0</v>
      </c>
      <c r="N151" s="589">
        <f>'[4]Scénario dossier 5'!N24</f>
        <v>0</v>
      </c>
      <c r="O151" s="589">
        <f>'[4]Scénario dossier 5'!O24</f>
        <v>0</v>
      </c>
      <c r="P151" s="589">
        <f>'[4]Scénario dossier 5'!P24</f>
        <v>0</v>
      </c>
      <c r="Q151" s="589">
        <f>'[4]Scénario dossier 5'!Q24</f>
        <v>0</v>
      </c>
      <c r="R151" s="626">
        <f>'[4]Scénario dossier 5'!R24</f>
        <v>0</v>
      </c>
    </row>
    <row r="152" spans="2:18">
      <c r="B152" s="590" t="s">
        <v>654</v>
      </c>
      <c r="C152" s="589">
        <f>'[4]Scénario dossier 5'!C25</f>
        <v>0</v>
      </c>
      <c r="D152" s="589">
        <f>'[4]Scénario dossier 5'!D25</f>
        <v>0</v>
      </c>
      <c r="E152" s="589">
        <f>'[4]Scénario dossier 5'!E25</f>
        <v>0</v>
      </c>
      <c r="F152" s="589">
        <f>'[4]Scénario dossier 5'!F25</f>
        <v>0</v>
      </c>
      <c r="G152" s="585">
        <f>'[4]Scénario dossier 5'!G25</f>
        <v>-13.369095209150121</v>
      </c>
      <c r="H152" s="585">
        <f>'[4]Scénario dossier 5'!H25</f>
        <v>32.956816369460412</v>
      </c>
      <c r="I152" s="585">
        <f>'[4]Scénario dossier 5'!I25</f>
        <v>30.277725799598755</v>
      </c>
      <c r="J152" s="585">
        <f>'[4]Scénario dossier 5'!J25</f>
        <v>28.391687540845247</v>
      </c>
      <c r="K152" s="585">
        <f>'[4]Scénario dossier 5'!K25</f>
        <v>26.101148770897222</v>
      </c>
      <c r="L152" s="585">
        <f>'[4]Scénario dossier 5'!L25</f>
        <v>24.460546326753949</v>
      </c>
      <c r="M152" s="585">
        <f>'[4]Scénario dossier 5'!M25</f>
        <v>22.501312267636575</v>
      </c>
      <c r="N152" s="585">
        <f>'[4]Scénario dossier 5'!N25</f>
        <v>21.075103955907377</v>
      </c>
      <c r="O152" s="585">
        <f>'[4]Scénario dossier 5'!O25</f>
        <v>19.39852016346715</v>
      </c>
      <c r="P152" s="585">
        <f>'[4]Scénario dossier 5'!P25</f>
        <v>18.159403383341502</v>
      </c>
      <c r="Q152" s="585">
        <f>'[4]Scénario dossier 5'!Q25</f>
        <v>16.724090574031035</v>
      </c>
      <c r="R152" s="586">
        <f>'[4]Scénario dossier 5'!R25</f>
        <v>22.445821416149265</v>
      </c>
    </row>
    <row r="153" spans="2:18">
      <c r="B153" s="592" t="s">
        <v>648</v>
      </c>
      <c r="C153" s="593">
        <f>C21</f>
        <v>-4.6523076923076925</v>
      </c>
      <c r="D153" s="593">
        <f t="shared" ref="D153:R153" si="81">D21</f>
        <v>-18.60923076923077</v>
      </c>
      <c r="E153" s="593">
        <f t="shared" si="81"/>
        <v>-46.359427055702916</v>
      </c>
      <c r="F153" s="593">
        <f t="shared" si="81"/>
        <v>-40.237241379310341</v>
      </c>
      <c r="G153" s="593">
        <f t="shared" si="81"/>
        <v>-46.309447199172403</v>
      </c>
      <c r="H153" s="593">
        <f t="shared" si="81"/>
        <v>65.088544944103347</v>
      </c>
      <c r="I153" s="593">
        <f t="shared" si="81"/>
        <v>65.578759369331152</v>
      </c>
      <c r="J153" s="593">
        <f t="shared" si="81"/>
        <v>67.133085620339997</v>
      </c>
      <c r="K153" s="593">
        <f t="shared" si="81"/>
        <v>63.206131112625229</v>
      </c>
      <c r="L153" s="593">
        <f t="shared" si="81"/>
        <v>63.752081027528938</v>
      </c>
      <c r="M153" s="593">
        <f t="shared" si="81"/>
        <v>64.495474857623719</v>
      </c>
      <c r="N153" s="593">
        <f t="shared" si="81"/>
        <v>67.962227713177342</v>
      </c>
      <c r="O153" s="593">
        <f t="shared" si="81"/>
        <v>68.845303582609034</v>
      </c>
      <c r="P153" s="593">
        <f t="shared" si="81"/>
        <v>72.456426463123023</v>
      </c>
      <c r="Q153" s="593">
        <f t="shared" si="81"/>
        <v>73.488719313247358</v>
      </c>
      <c r="R153" s="593">
        <f t="shared" si="81"/>
        <v>106.26525801361335</v>
      </c>
    </row>
    <row r="154" spans="2:18" ht="16" thickBot="1">
      <c r="B154" s="597" t="str">
        <f>B187</f>
        <v>CF actualisés</v>
      </c>
      <c r="C154" s="598">
        <f t="shared" ref="C154:R154" si="82">C151+C152</f>
        <v>-4.6523076923076925</v>
      </c>
      <c r="D154" s="598">
        <f t="shared" si="82"/>
        <v>-16.730245121871008</v>
      </c>
      <c r="E154" s="598">
        <f t="shared" si="82"/>
        <v>-37.470183940449651</v>
      </c>
      <c r="F154" s="598">
        <f t="shared" si="82"/>
        <v>-29.238147042758506</v>
      </c>
      <c r="G154" s="598">
        <f t="shared" si="82"/>
        <v>-30.25276507482635</v>
      </c>
      <c r="H154" s="598">
        <f t="shared" si="82"/>
        <v>38.22853541397977</v>
      </c>
      <c r="I154" s="598">
        <f t="shared" si="82"/>
        <v>35.01715608138521</v>
      </c>
      <c r="J154" s="598">
        <f t="shared" si="82"/>
        <v>31.868963177475294</v>
      </c>
      <c r="K154" s="598">
        <f t="shared" si="82"/>
        <v>27.289975102076014</v>
      </c>
      <c r="L154" s="598">
        <f t="shared" si="82"/>
        <v>24.460546326753949</v>
      </c>
      <c r="M154" s="598">
        <f t="shared" si="82"/>
        <v>22.501312267636575</v>
      </c>
      <c r="N154" s="598">
        <f t="shared" si="82"/>
        <v>21.075103955907377</v>
      </c>
      <c r="O154" s="598">
        <f t="shared" si="82"/>
        <v>19.39852016346715</v>
      </c>
      <c r="P154" s="598">
        <f t="shared" si="82"/>
        <v>18.159403383341502</v>
      </c>
      <c r="Q154" s="598">
        <f t="shared" si="82"/>
        <v>16.724090574031035</v>
      </c>
      <c r="R154" s="599">
        <f t="shared" si="82"/>
        <v>22.445821416149265</v>
      </c>
    </row>
    <row r="155" spans="2:18" ht="16" thickBot="1">
      <c r="C155" s="603"/>
      <c r="D155" s="603"/>
      <c r="E155" s="603"/>
      <c r="F155" s="603"/>
      <c r="G155" s="603"/>
      <c r="H155" s="603"/>
      <c r="I155" s="603"/>
      <c r="J155" s="603"/>
      <c r="K155" s="603"/>
      <c r="L155" s="603"/>
      <c r="M155" s="603"/>
      <c r="N155" s="603"/>
      <c r="O155" s="603"/>
      <c r="P155" s="603"/>
      <c r="Q155" s="603"/>
      <c r="R155" s="603"/>
    </row>
    <row r="156" spans="2:18" ht="15.5">
      <c r="B156" s="607"/>
      <c r="C156" s="608">
        <v>2009</v>
      </c>
      <c r="D156" s="608">
        <v>2010</v>
      </c>
      <c r="E156" s="608">
        <v>2011</v>
      </c>
      <c r="F156" s="608">
        <v>2012</v>
      </c>
      <c r="G156" s="608">
        <v>2013</v>
      </c>
      <c r="H156" s="608">
        <v>2014</v>
      </c>
      <c r="I156" s="608">
        <v>2015</v>
      </c>
      <c r="J156" s="608">
        <v>2016</v>
      </c>
      <c r="K156" s="608">
        <v>2017</v>
      </c>
      <c r="L156" s="608">
        <v>2018</v>
      </c>
      <c r="M156" s="608">
        <v>2019</v>
      </c>
      <c r="N156" s="608">
        <v>2020</v>
      </c>
      <c r="O156" s="608">
        <v>2021</v>
      </c>
      <c r="P156" s="608">
        <v>2022</v>
      </c>
      <c r="Q156" s="608">
        <v>2023</v>
      </c>
      <c r="R156" s="609">
        <v>2024</v>
      </c>
    </row>
    <row r="157" spans="2:18" ht="15" thickBot="1">
      <c r="B157" s="610" t="s">
        <v>656</v>
      </c>
      <c r="C157" s="611">
        <f t="shared" ref="C157:R157" si="83">C154+C148+C143</f>
        <v>-314.69730769230767</v>
      </c>
      <c r="D157" s="611">
        <f t="shared" si="83"/>
        <v>-302.26129528389532</v>
      </c>
      <c r="E157" s="611">
        <f t="shared" si="83"/>
        <v>-203.31039162535794</v>
      </c>
      <c r="F157" s="611">
        <f t="shared" si="83"/>
        <v>-183.83125869498187</v>
      </c>
      <c r="G157" s="611">
        <f t="shared" si="83"/>
        <v>28.229559874818136</v>
      </c>
      <c r="H157" s="611">
        <f t="shared" si="83"/>
        <v>86.340383018417484</v>
      </c>
      <c r="I157" s="611">
        <f t="shared" si="83"/>
        <v>74.257587029620424</v>
      </c>
      <c r="J157" s="611">
        <f t="shared" si="83"/>
        <v>196.33187708438768</v>
      </c>
      <c r="K157" s="611">
        <f t="shared" si="83"/>
        <v>171.88888886754219</v>
      </c>
      <c r="L157" s="611">
        <f t="shared" si="83"/>
        <v>151.53088565338828</v>
      </c>
      <c r="M157" s="611">
        <f t="shared" si="83"/>
        <v>134.1093204831208</v>
      </c>
      <c r="N157" s="611">
        <f t="shared" si="83"/>
        <v>120.42055446009019</v>
      </c>
      <c r="O157" s="611">
        <f t="shared" si="83"/>
        <v>107.82011352596966</v>
      </c>
      <c r="P157" s="611">
        <f t="shared" si="83"/>
        <v>96.850495088490391</v>
      </c>
      <c r="Q157" s="611">
        <f t="shared" si="83"/>
        <v>86.748396456056469</v>
      </c>
      <c r="R157" s="612">
        <f t="shared" si="83"/>
        <v>84.751433078383471</v>
      </c>
    </row>
    <row r="158" spans="2:18" ht="15" thickBot="1">
      <c r="B158" s="613" t="str">
        <f>B125</f>
        <v>Trésorerie</v>
      </c>
      <c r="C158" s="614">
        <f>C162+C163+C153+C147+C142</f>
        <v>-63.717307692307656</v>
      </c>
      <c r="D158" s="614">
        <f>C158+D142+D147+D153</f>
        <v>-399.96793846153844</v>
      </c>
      <c r="E158" s="614">
        <f t="shared" ref="E158:R158" si="84">D158+E142+E147+E153</f>
        <v>-651.56516551724133</v>
      </c>
      <c r="F158" s="614">
        <f t="shared" si="84"/>
        <v>-904.63660689655171</v>
      </c>
      <c r="G158" s="614">
        <f t="shared" si="84"/>
        <v>-861.37665409572412</v>
      </c>
      <c r="H158" s="614">
        <f t="shared" si="84"/>
        <v>-714.31510915162085</v>
      </c>
      <c r="I158" s="614">
        <f t="shared" si="84"/>
        <v>-574.35974978228967</v>
      </c>
      <c r="J158" s="614">
        <f t="shared" si="84"/>
        <v>-160.44646416194968</v>
      </c>
      <c r="K158" s="614">
        <f t="shared" si="84"/>
        <v>241.94346695067554</v>
      </c>
      <c r="L158" s="614">
        <f t="shared" si="84"/>
        <v>637.28294797820445</v>
      </c>
      <c r="M158" s="614">
        <f t="shared" si="84"/>
        <v>1025.7694228358282</v>
      </c>
      <c r="N158" s="614">
        <f t="shared" si="84"/>
        <v>1414.5574838823388</v>
      </c>
      <c r="O158" s="614">
        <f t="shared" si="84"/>
        <v>1801.0634541316144</v>
      </c>
      <c r="P158" s="614">
        <f t="shared" si="84"/>
        <v>2188.0153805947375</v>
      </c>
      <c r="Q158" s="614">
        <f t="shared" si="84"/>
        <v>2572.834433241318</v>
      </c>
      <c r="R158" s="614">
        <f t="shared" si="84"/>
        <v>2987.2648579215979</v>
      </c>
    </row>
    <row r="159" spans="2:18" ht="15" thickBot="1"/>
    <row r="160" spans="2:18">
      <c r="B160" s="1039" t="s">
        <v>658</v>
      </c>
      <c r="C160" s="1040"/>
    </row>
    <row r="161" spans="2:18" ht="15.5">
      <c r="B161" s="569" t="s">
        <v>360</v>
      </c>
      <c r="C161" s="617">
        <f>SUM(C157:R157)</f>
        <v>335.17924132374219</v>
      </c>
    </row>
    <row r="162" spans="2:18" ht="15.5">
      <c r="B162" s="569" t="s">
        <v>659</v>
      </c>
      <c r="C162" s="618">
        <f>155.21</f>
        <v>155.21</v>
      </c>
    </row>
    <row r="163" spans="2:18" ht="15.5">
      <c r="B163" s="569" t="s">
        <v>660</v>
      </c>
      <c r="C163" s="618">
        <f>95.77</f>
        <v>95.77</v>
      </c>
    </row>
    <row r="164" spans="2:18" ht="16" thickBot="1">
      <c r="B164" s="619" t="s">
        <v>661</v>
      </c>
      <c r="C164" s="620">
        <f>SUM(C161:C163)</f>
        <v>586.15924132374221</v>
      </c>
    </row>
    <row r="166" spans="2:18" ht="15.5">
      <c r="B166" s="10" t="s">
        <v>662</v>
      </c>
      <c r="C166" s="621">
        <v>15887450</v>
      </c>
    </row>
    <row r="167" spans="2:18">
      <c r="B167" s="10" t="s">
        <v>663</v>
      </c>
      <c r="C167" s="646">
        <f>(C164/C166)*1000000</f>
        <v>36.894482206001733</v>
      </c>
    </row>
    <row r="170" spans="2:18" ht="15" thickBot="1">
      <c r="B170" s="1041" t="s">
        <v>679</v>
      </c>
      <c r="C170" s="1041"/>
      <c r="D170" s="1041"/>
      <c r="E170" s="1041"/>
    </row>
    <row r="171" spans="2:18">
      <c r="B171" s="562" t="s">
        <v>638</v>
      </c>
      <c r="C171" s="563">
        <v>2009</v>
      </c>
      <c r="D171" s="563">
        <v>2010</v>
      </c>
      <c r="E171" s="563">
        <v>2011</v>
      </c>
      <c r="F171" s="563">
        <v>2012</v>
      </c>
      <c r="G171" s="563">
        <v>2013</v>
      </c>
      <c r="H171" s="563">
        <v>2014</v>
      </c>
      <c r="I171" s="563">
        <v>2015</v>
      </c>
      <c r="J171" s="563">
        <v>2016</v>
      </c>
      <c r="K171" s="563">
        <v>2017</v>
      </c>
      <c r="L171" s="563">
        <v>2018</v>
      </c>
      <c r="M171" s="563">
        <v>2019</v>
      </c>
      <c r="N171" s="563">
        <v>2020</v>
      </c>
      <c r="O171" s="563">
        <v>2021</v>
      </c>
      <c r="P171" s="563">
        <v>2022</v>
      </c>
      <c r="Q171" s="563">
        <v>2023</v>
      </c>
      <c r="R171" s="564">
        <v>2024</v>
      </c>
    </row>
    <row r="172" spans="2:18">
      <c r="B172" s="569" t="s">
        <v>640</v>
      </c>
      <c r="C172" s="570">
        <v>-105</v>
      </c>
      <c r="D172" s="570">
        <v>-105</v>
      </c>
      <c r="E172" s="570">
        <v>-105</v>
      </c>
      <c r="F172" s="570">
        <v>-105</v>
      </c>
      <c r="G172" s="570">
        <v>-95</v>
      </c>
      <c r="H172" s="570">
        <v>-95</v>
      </c>
      <c r="I172" s="570">
        <v>-95</v>
      </c>
      <c r="J172" s="571">
        <v>185</v>
      </c>
      <c r="K172" s="571">
        <v>185</v>
      </c>
      <c r="L172" s="571">
        <v>185</v>
      </c>
      <c r="M172" s="571">
        <v>185</v>
      </c>
      <c r="N172" s="571">
        <v>185</v>
      </c>
      <c r="O172" s="571">
        <v>185</v>
      </c>
      <c r="P172" s="571">
        <v>185</v>
      </c>
      <c r="Q172" s="571">
        <v>185</v>
      </c>
      <c r="R172" s="572">
        <v>185</v>
      </c>
    </row>
    <row r="173" spans="2:18">
      <c r="B173" s="569" t="s">
        <v>642</v>
      </c>
      <c r="C173" s="577" t="s">
        <v>643</v>
      </c>
      <c r="D173" s="577" t="s">
        <v>643</v>
      </c>
      <c r="E173" s="577" t="s">
        <v>643</v>
      </c>
      <c r="F173" s="577" t="s">
        <v>643</v>
      </c>
      <c r="G173" s="577" t="s">
        <v>644</v>
      </c>
      <c r="H173" s="577" t="s">
        <v>644</v>
      </c>
      <c r="I173" s="578">
        <v>115</v>
      </c>
      <c r="J173" s="578">
        <v>115</v>
      </c>
      <c r="K173" s="578">
        <v>115</v>
      </c>
      <c r="L173" s="578">
        <v>115</v>
      </c>
      <c r="M173" s="578">
        <v>115</v>
      </c>
      <c r="N173" s="578">
        <v>115</v>
      </c>
      <c r="O173" s="578">
        <v>115</v>
      </c>
      <c r="P173" s="578">
        <v>115</v>
      </c>
      <c r="Q173" s="578">
        <v>115</v>
      </c>
      <c r="R173" s="579">
        <v>115</v>
      </c>
    </row>
    <row r="174" spans="2:18">
      <c r="B174" s="569" t="s">
        <v>645</v>
      </c>
      <c r="C174" s="577" t="s">
        <v>646</v>
      </c>
      <c r="D174" s="577" t="s">
        <v>646</v>
      </c>
      <c r="E174" s="577" t="s">
        <v>647</v>
      </c>
      <c r="F174" s="577" t="s">
        <v>647</v>
      </c>
      <c r="G174" s="578"/>
      <c r="H174" s="578"/>
      <c r="I174" s="578"/>
      <c r="J174" s="578"/>
      <c r="K174" s="578"/>
      <c r="L174" s="578"/>
      <c r="M174" s="578"/>
      <c r="N174" s="578"/>
      <c r="O174" s="578"/>
      <c r="P174" s="578"/>
      <c r="Q174" s="578"/>
      <c r="R174" s="579"/>
    </row>
    <row r="175" spans="2:18">
      <c r="B175" s="569" t="s">
        <v>648</v>
      </c>
      <c r="C175" s="578">
        <f>C172+C173+C174</f>
        <v>-405</v>
      </c>
      <c r="D175" s="578">
        <f t="shared" ref="D175:R175" si="85">D172+D173+D174</f>
        <v>-405</v>
      </c>
      <c r="E175" s="578">
        <f t="shared" si="85"/>
        <v>-285</v>
      </c>
      <c r="F175" s="578">
        <f t="shared" si="85"/>
        <v>-285</v>
      </c>
      <c r="G175" s="578">
        <f t="shared" si="85"/>
        <v>-140</v>
      </c>
      <c r="H175" s="578">
        <f t="shared" si="85"/>
        <v>-140</v>
      </c>
      <c r="I175" s="578">
        <f t="shared" si="85"/>
        <v>20</v>
      </c>
      <c r="J175" s="578">
        <f t="shared" si="85"/>
        <v>300</v>
      </c>
      <c r="K175" s="578">
        <f t="shared" si="85"/>
        <v>300</v>
      </c>
      <c r="L175" s="578">
        <f t="shared" si="85"/>
        <v>300</v>
      </c>
      <c r="M175" s="578">
        <f t="shared" si="85"/>
        <v>300</v>
      </c>
      <c r="N175" s="578">
        <f t="shared" si="85"/>
        <v>300</v>
      </c>
      <c r="O175" s="578">
        <f t="shared" si="85"/>
        <v>300</v>
      </c>
      <c r="P175" s="578">
        <f t="shared" si="85"/>
        <v>300</v>
      </c>
      <c r="Q175" s="578">
        <f t="shared" si="85"/>
        <v>300</v>
      </c>
      <c r="R175" s="579">
        <f t="shared" si="85"/>
        <v>300</v>
      </c>
    </row>
    <row r="176" spans="2:18" ht="16" thickBot="1">
      <c r="B176" s="580" t="s">
        <v>649</v>
      </c>
      <c r="C176" s="581">
        <f>C175/(1+$C$2)^(C171-$C$3)</f>
        <v>-405</v>
      </c>
      <c r="D176" s="581">
        <f>D175/(1+$C$2)^(D171-$C$3)</f>
        <v>-364.05857459266912</v>
      </c>
      <c r="E176" s="581">
        <f t="shared" ref="E176:R176" si="86">E175/(1+$C$2)^(E171-$C$3)</f>
        <v>-230.29119972148825</v>
      </c>
      <c r="F176" s="581">
        <f t="shared" si="86"/>
        <v>-207.01107632553254</v>
      </c>
      <c r="G176" s="581">
        <f t="shared" si="86"/>
        <v>-91.409850830196802</v>
      </c>
      <c r="H176" s="581">
        <f t="shared" si="86"/>
        <v>-82.169234560419639</v>
      </c>
      <c r="I176" s="581">
        <f t="shared" si="86"/>
        <v>10.551821661177092</v>
      </c>
      <c r="J176" s="581">
        <f t="shared" si="86"/>
        <v>142.27707975274748</v>
      </c>
      <c r="K176" s="581">
        <f t="shared" si="86"/>
        <v>127.89429839998211</v>
      </c>
      <c r="L176" s="581">
        <f t="shared" si="86"/>
        <v>114.96547154080733</v>
      </c>
      <c r="M176" s="581">
        <f t="shared" si="86"/>
        <v>103.34361900375403</v>
      </c>
      <c r="N176" s="581">
        <f t="shared" si="86"/>
        <v>92.896618833961867</v>
      </c>
      <c r="O176" s="581">
        <f t="shared" si="86"/>
        <v>83.505705276964591</v>
      </c>
      <c r="P176" s="581">
        <f t="shared" si="86"/>
        <v>75.064118601203091</v>
      </c>
      <c r="Q176" s="581">
        <f t="shared" si="86"/>
        <v>67.475891409898907</v>
      </c>
      <c r="R176" s="582">
        <f t="shared" si="86"/>
        <v>60.654757644586468</v>
      </c>
    </row>
    <row r="177" spans="2:18" ht="15" thickBot="1"/>
    <row r="178" spans="2:18">
      <c r="B178" s="562" t="s">
        <v>650</v>
      </c>
      <c r="C178" s="583">
        <v>2009</v>
      </c>
      <c r="D178" s="583">
        <v>2010</v>
      </c>
      <c r="E178" s="583">
        <v>2011</v>
      </c>
      <c r="F178" s="583">
        <v>2012</v>
      </c>
      <c r="G178" s="583">
        <v>2013</v>
      </c>
      <c r="H178" s="583">
        <v>2014</v>
      </c>
      <c r="I178" s="583">
        <v>2015</v>
      </c>
      <c r="J178" s="583">
        <v>2016</v>
      </c>
      <c r="K178" s="583">
        <v>2017</v>
      </c>
      <c r="L178" s="583">
        <v>2018</v>
      </c>
      <c r="M178" s="583">
        <v>2019</v>
      </c>
      <c r="N178" s="583">
        <v>2020</v>
      </c>
      <c r="O178" s="583">
        <v>2021</v>
      </c>
      <c r="P178" s="583">
        <v>2022</v>
      </c>
      <c r="Q178" s="583">
        <v>2023</v>
      </c>
      <c r="R178" s="584">
        <v>2024</v>
      </c>
    </row>
    <row r="179" spans="2:18">
      <c r="B179" s="569"/>
      <c r="C179" s="578">
        <v>94.954999999999998</v>
      </c>
      <c r="D179" s="578">
        <v>94.954999999999998</v>
      </c>
      <c r="E179" s="578">
        <v>94.954999999999998</v>
      </c>
      <c r="F179" s="578">
        <v>94.954999999999998</v>
      </c>
      <c r="G179" s="578">
        <v>94.954999999999998</v>
      </c>
      <c r="H179" s="578">
        <v>94.954999999999998</v>
      </c>
      <c r="I179" s="578">
        <v>94.954999999999998</v>
      </c>
      <c r="J179" s="578">
        <v>94.954999999999998</v>
      </c>
      <c r="K179" s="578">
        <v>94.954999999999998</v>
      </c>
      <c r="L179" s="578">
        <v>94.954999999999998</v>
      </c>
      <c r="M179" s="578">
        <v>94.954999999999998</v>
      </c>
      <c r="N179" s="578">
        <v>94.954999999999998</v>
      </c>
      <c r="O179" s="578">
        <v>94.954999999999998</v>
      </c>
      <c r="P179" s="578">
        <v>94.954999999999998</v>
      </c>
      <c r="Q179" s="578">
        <v>94.954999999999998</v>
      </c>
      <c r="R179" s="579">
        <v>94.954999999999998</v>
      </c>
    </row>
    <row r="180" spans="2:18">
      <c r="B180" s="569" t="s">
        <v>648</v>
      </c>
      <c r="C180" s="585">
        <f>C147</f>
        <v>94.954999999999998</v>
      </c>
      <c r="D180" s="585">
        <f t="shared" ref="D180:R180" si="87">D147</f>
        <v>87.358599999999996</v>
      </c>
      <c r="E180" s="585">
        <f t="shared" si="87"/>
        <v>79.762199999999993</v>
      </c>
      <c r="F180" s="585">
        <f t="shared" si="87"/>
        <v>72.165800000000004</v>
      </c>
      <c r="G180" s="585">
        <f t="shared" si="87"/>
        <v>64.569399999999987</v>
      </c>
      <c r="H180" s="585">
        <f t="shared" si="87"/>
        <v>56.972999999999999</v>
      </c>
      <c r="I180" s="585">
        <f t="shared" si="87"/>
        <v>49.376600000000003</v>
      </c>
      <c r="J180" s="585">
        <f t="shared" si="87"/>
        <v>41.780199999999994</v>
      </c>
      <c r="K180" s="585">
        <f t="shared" si="87"/>
        <v>34.183799999999998</v>
      </c>
      <c r="L180" s="585">
        <f t="shared" si="87"/>
        <v>26.587400000000002</v>
      </c>
      <c r="M180" s="585">
        <f t="shared" si="87"/>
        <v>18.990999999999996</v>
      </c>
      <c r="N180" s="585">
        <f t="shared" si="87"/>
        <v>15.82583333333333</v>
      </c>
      <c r="O180" s="585">
        <f t="shared" si="87"/>
        <v>12.660666666666664</v>
      </c>
      <c r="P180" s="585">
        <f t="shared" si="87"/>
        <v>9.4954999999999981</v>
      </c>
      <c r="Q180" s="585">
        <f t="shared" si="87"/>
        <v>6.330333333333332</v>
      </c>
      <c r="R180" s="585">
        <f t="shared" si="87"/>
        <v>3.165166666666666</v>
      </c>
    </row>
    <row r="181" spans="2:18" ht="16" thickBot="1">
      <c r="B181" s="580" t="s">
        <v>651</v>
      </c>
      <c r="C181" s="581">
        <f>C180/(1+$C$2)^(C178-$C$3)</f>
        <v>94.954999999999998</v>
      </c>
      <c r="D181" s="581">
        <f t="shared" ref="D181:R181" si="88">D180/(1+$C$2)^(D178-$C$3)</f>
        <v>78.527524430644789</v>
      </c>
      <c r="E181" s="581">
        <f t="shared" si="88"/>
        <v>64.450992036579962</v>
      </c>
      <c r="F181" s="581">
        <f t="shared" si="88"/>
        <v>52.417964673309186</v>
      </c>
      <c r="G181" s="581">
        <f t="shared" si="88"/>
        <v>42.159137301395056</v>
      </c>
      <c r="H181" s="581">
        <f t="shared" si="88"/>
        <v>33.438770004362773</v>
      </c>
      <c r="I181" s="581">
        <f t="shared" si="88"/>
        <v>26.050653871763842</v>
      </c>
      <c r="J181" s="581">
        <f t="shared" si="88"/>
        <v>19.814549491619132</v>
      </c>
      <c r="K181" s="581">
        <f t="shared" si="88"/>
        <v>14.573043725484361</v>
      </c>
      <c r="L181" s="581">
        <f t="shared" si="88"/>
        <v>10.188776593480203</v>
      </c>
      <c r="M181" s="581">
        <f t="shared" si="88"/>
        <v>6.5419955616676413</v>
      </c>
      <c r="N181" s="581">
        <f t="shared" si="88"/>
        <v>4.900554689654915</v>
      </c>
      <c r="O181" s="581">
        <f t="shared" si="88"/>
        <v>3.5241263309218538</v>
      </c>
      <c r="P181" s="581">
        <f t="shared" si="88"/>
        <v>2.3759044605924129</v>
      </c>
      <c r="Q181" s="581">
        <f t="shared" si="88"/>
        <v>1.4238162819615443</v>
      </c>
      <c r="R181" s="582">
        <f t="shared" si="88"/>
        <v>0.63994139023796737</v>
      </c>
    </row>
    <row r="182" spans="2:18" ht="15" thickBot="1">
      <c r="C182" s="587"/>
      <c r="D182" s="587"/>
      <c r="E182" s="587"/>
      <c r="F182" s="587"/>
      <c r="G182" s="587"/>
      <c r="H182" s="587"/>
      <c r="I182" s="587"/>
      <c r="J182" s="587"/>
      <c r="K182" s="587"/>
      <c r="L182" s="587"/>
      <c r="M182" s="587"/>
      <c r="N182" s="587"/>
      <c r="O182" s="587"/>
      <c r="P182" s="587"/>
      <c r="Q182" s="587"/>
      <c r="R182" s="587"/>
    </row>
    <row r="183" spans="2:18">
      <c r="B183" s="562" t="s">
        <v>652</v>
      </c>
      <c r="C183" s="583">
        <v>2009</v>
      </c>
      <c r="D183" s="583">
        <v>2010</v>
      </c>
      <c r="E183" s="583">
        <v>2011</v>
      </c>
      <c r="F183" s="583">
        <v>2012</v>
      </c>
      <c r="G183" s="583">
        <v>2013</v>
      </c>
      <c r="H183" s="583">
        <v>2014</v>
      </c>
      <c r="I183" s="583">
        <v>2015</v>
      </c>
      <c r="J183" s="583">
        <v>2016</v>
      </c>
      <c r="K183" s="583">
        <v>2017</v>
      </c>
      <c r="L183" s="583">
        <v>2018</v>
      </c>
      <c r="M183" s="583">
        <v>2019</v>
      </c>
      <c r="N183" s="583">
        <v>2020</v>
      </c>
      <c r="O183" s="583">
        <v>2021</v>
      </c>
      <c r="P183" s="583">
        <v>2022</v>
      </c>
      <c r="Q183" s="583">
        <v>2023</v>
      </c>
      <c r="R183" s="584">
        <v>2024</v>
      </c>
    </row>
    <row r="184" spans="2:18">
      <c r="B184" s="588" t="s">
        <v>653</v>
      </c>
      <c r="C184" s="589">
        <f>'[4]Scénario dossier 5'!C24</f>
        <v>-4.6523076923076925</v>
      </c>
      <c r="D184" s="589">
        <f>'[4]Scénario dossier 5'!D24</f>
        <v>-16.730245121871008</v>
      </c>
      <c r="E184" s="589">
        <f>'[4]Scénario dossier 5'!E24</f>
        <v>-37.470183940449651</v>
      </c>
      <c r="F184" s="589">
        <f>'[4]Scénario dossier 5'!F24</f>
        <v>-29.238147042758506</v>
      </c>
      <c r="G184" s="589">
        <f>'[4]Scénario dossier 5'!G24</f>
        <v>-16.883669865676229</v>
      </c>
      <c r="H184" s="589">
        <f>'[4]Scénario dossier 5'!H24</f>
        <v>5.2717190445193616</v>
      </c>
      <c r="I184" s="589">
        <f>'[4]Scénario dossier 5'!I24</f>
        <v>4.7394302817864542</v>
      </c>
      <c r="J184" s="589">
        <f>'[4]Scénario dossier 5'!J24</f>
        <v>3.4772756366300466</v>
      </c>
      <c r="K184" s="589">
        <f>'[4]Scénario dossier 5'!K24</f>
        <v>1.1888263311787912</v>
      </c>
      <c r="L184" s="589">
        <f>'[4]Scénario dossier 5'!L24</f>
        <v>0</v>
      </c>
      <c r="M184" s="589">
        <f>'[4]Scénario dossier 5'!M24</f>
        <v>0</v>
      </c>
      <c r="N184" s="589">
        <f>'[4]Scénario dossier 5'!N24</f>
        <v>0</v>
      </c>
      <c r="O184" s="589">
        <f>'[4]Scénario dossier 5'!O24</f>
        <v>0</v>
      </c>
      <c r="P184" s="589">
        <f>'[4]Scénario dossier 5'!P24</f>
        <v>0</v>
      </c>
      <c r="Q184" s="589">
        <f>'[4]Scénario dossier 5'!Q24</f>
        <v>0</v>
      </c>
      <c r="R184" s="626">
        <f>'[4]Scénario dossier 5'!R24</f>
        <v>0</v>
      </c>
    </row>
    <row r="185" spans="2:18">
      <c r="B185" s="590" t="s">
        <v>654</v>
      </c>
      <c r="C185" s="589">
        <f>'[4]Scénario dossier 5'!C25</f>
        <v>0</v>
      </c>
      <c r="D185" s="589">
        <f>'[4]Scénario dossier 5'!D25</f>
        <v>0</v>
      </c>
      <c r="E185" s="589">
        <f>'[4]Scénario dossier 5'!E25</f>
        <v>0</v>
      </c>
      <c r="F185" s="589">
        <f>'[4]Scénario dossier 5'!F25</f>
        <v>0</v>
      </c>
      <c r="G185" s="585">
        <f>'[4]Scénario dossier 5'!G25</f>
        <v>-13.369095209150121</v>
      </c>
      <c r="H185" s="585">
        <f>'[4]Scénario dossier 5'!H25</f>
        <v>32.956816369460412</v>
      </c>
      <c r="I185" s="585">
        <f>'[4]Scénario dossier 5'!I25</f>
        <v>30.277725799598755</v>
      </c>
      <c r="J185" s="585">
        <f>'[4]Scénario dossier 5'!J25</f>
        <v>28.391687540845247</v>
      </c>
      <c r="K185" s="585">
        <f>'[4]Scénario dossier 5'!K25</f>
        <v>26.101148770897222</v>
      </c>
      <c r="L185" s="585">
        <f>'[4]Scénario dossier 5'!L25</f>
        <v>24.460546326753949</v>
      </c>
      <c r="M185" s="585">
        <f>'[4]Scénario dossier 5'!M25</f>
        <v>22.501312267636575</v>
      </c>
      <c r="N185" s="585">
        <f>'[4]Scénario dossier 5'!N25</f>
        <v>21.075103955907377</v>
      </c>
      <c r="O185" s="585">
        <f>'[4]Scénario dossier 5'!O25</f>
        <v>19.39852016346715</v>
      </c>
      <c r="P185" s="585">
        <f>'[4]Scénario dossier 5'!P25</f>
        <v>18.159403383341502</v>
      </c>
      <c r="Q185" s="585">
        <f>'[4]Scénario dossier 5'!Q25</f>
        <v>16.724090574031035</v>
      </c>
      <c r="R185" s="586">
        <f>'[4]Scénario dossier 5'!R25</f>
        <v>22.445821416149265</v>
      </c>
    </row>
    <row r="186" spans="2:18">
      <c r="B186" s="592" t="s">
        <v>648</v>
      </c>
      <c r="C186" s="593">
        <f>C21</f>
        <v>-4.6523076923076925</v>
      </c>
      <c r="D186" s="593">
        <f t="shared" ref="D186:R186" si="89">D21</f>
        <v>-18.60923076923077</v>
      </c>
      <c r="E186" s="593">
        <f t="shared" si="89"/>
        <v>-46.359427055702916</v>
      </c>
      <c r="F186" s="593">
        <f t="shared" si="89"/>
        <v>-40.237241379310341</v>
      </c>
      <c r="G186" s="593">
        <f t="shared" si="89"/>
        <v>-46.309447199172403</v>
      </c>
      <c r="H186" s="593">
        <f t="shared" si="89"/>
        <v>65.088544944103347</v>
      </c>
      <c r="I186" s="593">
        <f t="shared" si="89"/>
        <v>65.578759369331152</v>
      </c>
      <c r="J186" s="593">
        <f t="shared" si="89"/>
        <v>67.133085620339997</v>
      </c>
      <c r="K186" s="593">
        <f t="shared" si="89"/>
        <v>63.206131112625229</v>
      </c>
      <c r="L186" s="593">
        <f t="shared" si="89"/>
        <v>63.752081027528938</v>
      </c>
      <c r="M186" s="593">
        <f t="shared" si="89"/>
        <v>64.495474857623719</v>
      </c>
      <c r="N186" s="593">
        <f t="shared" si="89"/>
        <v>67.962227713177342</v>
      </c>
      <c r="O186" s="593">
        <f t="shared" si="89"/>
        <v>68.845303582609034</v>
      </c>
      <c r="P186" s="593">
        <f t="shared" si="89"/>
        <v>72.456426463123023</v>
      </c>
      <c r="Q186" s="593">
        <f t="shared" si="89"/>
        <v>73.488719313247358</v>
      </c>
      <c r="R186" s="593">
        <f t="shared" si="89"/>
        <v>106.26525801361335</v>
      </c>
    </row>
    <row r="187" spans="2:18" ht="16" thickBot="1">
      <c r="B187" s="597" t="str">
        <f>B121</f>
        <v>CF actualisés</v>
      </c>
      <c r="C187" s="598">
        <f t="shared" ref="C187:R187" si="90">C184+C185</f>
        <v>-4.6523076923076925</v>
      </c>
      <c r="D187" s="598">
        <f t="shared" si="90"/>
        <v>-16.730245121871008</v>
      </c>
      <c r="E187" s="598">
        <f t="shared" si="90"/>
        <v>-37.470183940449651</v>
      </c>
      <c r="F187" s="598">
        <f t="shared" si="90"/>
        <v>-29.238147042758506</v>
      </c>
      <c r="G187" s="598">
        <f t="shared" si="90"/>
        <v>-30.25276507482635</v>
      </c>
      <c r="H187" s="598">
        <f t="shared" si="90"/>
        <v>38.22853541397977</v>
      </c>
      <c r="I187" s="598">
        <f t="shared" si="90"/>
        <v>35.01715608138521</v>
      </c>
      <c r="J187" s="598">
        <f t="shared" si="90"/>
        <v>31.868963177475294</v>
      </c>
      <c r="K187" s="598">
        <f t="shared" si="90"/>
        <v>27.289975102076014</v>
      </c>
      <c r="L187" s="598">
        <f t="shared" si="90"/>
        <v>24.460546326753949</v>
      </c>
      <c r="M187" s="598">
        <f t="shared" si="90"/>
        <v>22.501312267636575</v>
      </c>
      <c r="N187" s="598">
        <f t="shared" si="90"/>
        <v>21.075103955907377</v>
      </c>
      <c r="O187" s="598">
        <f t="shared" si="90"/>
        <v>19.39852016346715</v>
      </c>
      <c r="P187" s="598">
        <f t="shared" si="90"/>
        <v>18.159403383341502</v>
      </c>
      <c r="Q187" s="598">
        <f t="shared" si="90"/>
        <v>16.724090574031035</v>
      </c>
      <c r="R187" s="599">
        <f t="shared" si="90"/>
        <v>22.445821416149265</v>
      </c>
    </row>
    <row r="188" spans="2:18" ht="16" thickBot="1">
      <c r="C188" s="603"/>
      <c r="D188" s="603"/>
      <c r="E188" s="603"/>
      <c r="F188" s="603"/>
      <c r="G188" s="603"/>
      <c r="H188" s="603"/>
      <c r="I188" s="603"/>
      <c r="J188" s="603"/>
      <c r="K188" s="603"/>
      <c r="L188" s="603"/>
      <c r="M188" s="603"/>
      <c r="N188" s="603"/>
      <c r="O188" s="603"/>
      <c r="P188" s="603"/>
      <c r="Q188" s="603"/>
      <c r="R188" s="603"/>
    </row>
    <row r="189" spans="2:18" ht="15.5">
      <c r="B189" s="607"/>
      <c r="C189" s="608">
        <v>2009</v>
      </c>
      <c r="D189" s="608">
        <v>2010</v>
      </c>
      <c r="E189" s="608">
        <v>2011</v>
      </c>
      <c r="F189" s="608">
        <v>2012</v>
      </c>
      <c r="G189" s="608">
        <v>2013</v>
      </c>
      <c r="H189" s="608">
        <v>2014</v>
      </c>
      <c r="I189" s="608">
        <v>2015</v>
      </c>
      <c r="J189" s="608">
        <v>2016</v>
      </c>
      <c r="K189" s="608">
        <v>2017</v>
      </c>
      <c r="L189" s="608">
        <v>2018</v>
      </c>
      <c r="M189" s="608">
        <v>2019</v>
      </c>
      <c r="N189" s="608">
        <v>2020</v>
      </c>
      <c r="O189" s="608">
        <v>2021</v>
      </c>
      <c r="P189" s="608">
        <v>2022</v>
      </c>
      <c r="Q189" s="608">
        <v>2023</v>
      </c>
      <c r="R189" s="609">
        <v>2024</v>
      </c>
    </row>
    <row r="190" spans="2:18" ht="15" thickBot="1">
      <c r="B190" s="610" t="s">
        <v>656</v>
      </c>
      <c r="C190" s="611">
        <f t="shared" ref="C190:R190" si="91">C187+C181+C176</f>
        <v>-314.69730769230767</v>
      </c>
      <c r="D190" s="611">
        <f t="shared" si="91"/>
        <v>-302.26129528389532</v>
      </c>
      <c r="E190" s="611">
        <f t="shared" si="91"/>
        <v>-203.31039162535794</v>
      </c>
      <c r="F190" s="611">
        <f t="shared" si="91"/>
        <v>-183.83125869498187</v>
      </c>
      <c r="G190" s="611">
        <f t="shared" si="91"/>
        <v>-79.503478603628096</v>
      </c>
      <c r="H190" s="611">
        <f t="shared" si="91"/>
        <v>-10.501929142077088</v>
      </c>
      <c r="I190" s="611">
        <f t="shared" si="91"/>
        <v>71.619631614326138</v>
      </c>
      <c r="J190" s="611">
        <f t="shared" si="91"/>
        <v>193.96059242184191</v>
      </c>
      <c r="K190" s="611">
        <f t="shared" si="91"/>
        <v>169.75731722754247</v>
      </c>
      <c r="L190" s="611">
        <f t="shared" si="91"/>
        <v>149.61479446104147</v>
      </c>
      <c r="M190" s="611">
        <f t="shared" si="91"/>
        <v>132.38692683305825</v>
      </c>
      <c r="N190" s="611">
        <f t="shared" si="91"/>
        <v>118.87227747952416</v>
      </c>
      <c r="O190" s="611">
        <f t="shared" si="91"/>
        <v>106.42835177135359</v>
      </c>
      <c r="P190" s="611">
        <f t="shared" si="91"/>
        <v>95.599426445136999</v>
      </c>
      <c r="Q190" s="611">
        <f t="shared" si="91"/>
        <v>85.62379826589148</v>
      </c>
      <c r="R190" s="612">
        <f t="shared" si="91"/>
        <v>83.740520450973705</v>
      </c>
    </row>
    <row r="191" spans="2:18" ht="15" thickBot="1">
      <c r="B191" s="613" t="str">
        <f>B158</f>
        <v>Trésorerie</v>
      </c>
      <c r="C191" s="614">
        <f>C195+C196+C186+C180+C175</f>
        <v>-63.717307692307656</v>
      </c>
      <c r="D191" s="614">
        <f>C191+D175+D180+D186</f>
        <v>-399.96793846153844</v>
      </c>
      <c r="E191" s="614">
        <f t="shared" ref="E191:R191" si="92">D191+E175+E180+E186</f>
        <v>-651.56516551724133</v>
      </c>
      <c r="F191" s="614">
        <f t="shared" si="92"/>
        <v>-904.63660689655171</v>
      </c>
      <c r="G191" s="614">
        <f t="shared" si="92"/>
        <v>-1026.3766540957242</v>
      </c>
      <c r="H191" s="614">
        <f t="shared" si="92"/>
        <v>-1044.3151091516208</v>
      </c>
      <c r="I191" s="614">
        <f t="shared" si="92"/>
        <v>-909.35974978228967</v>
      </c>
      <c r="J191" s="614">
        <f t="shared" si="92"/>
        <v>-500.44646416194962</v>
      </c>
      <c r="K191" s="614">
        <f t="shared" si="92"/>
        <v>-103.0565330493244</v>
      </c>
      <c r="L191" s="614">
        <f t="shared" si="92"/>
        <v>287.28294797820456</v>
      </c>
      <c r="M191" s="614">
        <f t="shared" si="92"/>
        <v>670.76942283582821</v>
      </c>
      <c r="N191" s="614">
        <f t="shared" si="92"/>
        <v>1054.5574838823388</v>
      </c>
      <c r="O191" s="614">
        <f t="shared" si="92"/>
        <v>1436.0634541316144</v>
      </c>
      <c r="P191" s="614">
        <f t="shared" si="92"/>
        <v>1818.0153805947375</v>
      </c>
      <c r="Q191" s="614">
        <f t="shared" si="92"/>
        <v>2197.834433241318</v>
      </c>
      <c r="R191" s="614">
        <f t="shared" si="92"/>
        <v>2607.2648579215979</v>
      </c>
    </row>
    <row r="192" spans="2:18" ht="15" thickBot="1"/>
    <row r="193" spans="2:18">
      <c r="B193" s="1039" t="s">
        <v>658</v>
      </c>
      <c r="C193" s="1040"/>
    </row>
    <row r="194" spans="2:18" ht="15.5">
      <c r="B194" s="569" t="s">
        <v>360</v>
      </c>
      <c r="C194" s="617">
        <f>SUM(C190:R190)</f>
        <v>113.49797592844213</v>
      </c>
    </row>
    <row r="195" spans="2:18" ht="15.5">
      <c r="B195" s="569" t="s">
        <v>659</v>
      </c>
      <c r="C195" s="618">
        <f>155.21</f>
        <v>155.21</v>
      </c>
    </row>
    <row r="196" spans="2:18" ht="15.5">
      <c r="B196" s="569" t="s">
        <v>660</v>
      </c>
      <c r="C196" s="618">
        <f>95.77</f>
        <v>95.77</v>
      </c>
    </row>
    <row r="197" spans="2:18" ht="16" thickBot="1">
      <c r="B197" s="619" t="s">
        <v>661</v>
      </c>
      <c r="C197" s="620">
        <f>SUM(C194:C196)</f>
        <v>364.47797592844211</v>
      </c>
    </row>
    <row r="199" spans="2:18" ht="15.5">
      <c r="B199" s="10" t="s">
        <v>662</v>
      </c>
      <c r="C199" s="621">
        <v>15887450</v>
      </c>
    </row>
    <row r="200" spans="2:18">
      <c r="B200" s="10" t="s">
        <v>663</v>
      </c>
      <c r="C200" s="646">
        <f>(C197/C199)*1000000</f>
        <v>22.941250857025015</v>
      </c>
    </row>
    <row r="203" spans="2:18" ht="15" thickBot="1">
      <c r="B203" s="1041" t="s">
        <v>680</v>
      </c>
      <c r="C203" s="1041"/>
      <c r="D203" s="1041"/>
      <c r="E203" s="1041"/>
    </row>
    <row r="204" spans="2:18">
      <c r="B204" s="562" t="s">
        <v>638</v>
      </c>
      <c r="C204" s="563">
        <v>2009</v>
      </c>
      <c r="D204" s="563">
        <v>2010</v>
      </c>
      <c r="E204" s="563">
        <v>2011</v>
      </c>
      <c r="F204" s="563">
        <v>2012</v>
      </c>
      <c r="G204" s="563">
        <v>2013</v>
      </c>
      <c r="H204" s="563">
        <v>2014</v>
      </c>
      <c r="I204" s="563">
        <v>2015</v>
      </c>
      <c r="J204" s="563">
        <v>2016</v>
      </c>
      <c r="K204" s="563">
        <v>2017</v>
      </c>
      <c r="L204" s="563">
        <v>2018</v>
      </c>
      <c r="M204" s="563">
        <v>2019</v>
      </c>
      <c r="N204" s="563">
        <v>2020</v>
      </c>
      <c r="O204" s="563">
        <v>2021</v>
      </c>
      <c r="P204" s="563">
        <v>2022</v>
      </c>
      <c r="Q204" s="563">
        <v>2023</v>
      </c>
      <c r="R204" s="564">
        <v>2024</v>
      </c>
    </row>
    <row r="205" spans="2:18">
      <c r="B205" s="569" t="s">
        <v>640</v>
      </c>
      <c r="C205" s="570">
        <v>-105</v>
      </c>
      <c r="D205" s="570">
        <v>-105</v>
      </c>
      <c r="E205" s="570">
        <v>-105</v>
      </c>
      <c r="F205" s="570">
        <v>-105</v>
      </c>
      <c r="G205" s="570">
        <v>-95</v>
      </c>
      <c r="H205" s="570">
        <v>-95</v>
      </c>
      <c r="I205" s="570">
        <v>-95</v>
      </c>
      <c r="J205" s="571">
        <v>185</v>
      </c>
      <c r="K205" s="571">
        <v>185</v>
      </c>
      <c r="L205" s="571">
        <v>185</v>
      </c>
      <c r="M205" s="571">
        <v>185</v>
      </c>
      <c r="N205" s="571">
        <v>185</v>
      </c>
      <c r="O205" s="571">
        <v>185</v>
      </c>
      <c r="P205" s="571">
        <v>185</v>
      </c>
      <c r="Q205" s="571">
        <v>185</v>
      </c>
      <c r="R205" s="572">
        <v>185</v>
      </c>
    </row>
    <row r="206" spans="2:18">
      <c r="B206" s="569" t="s">
        <v>642</v>
      </c>
      <c r="C206" s="577" t="s">
        <v>643</v>
      </c>
      <c r="D206" s="577" t="s">
        <v>643</v>
      </c>
      <c r="E206" s="577" t="s">
        <v>643</v>
      </c>
      <c r="F206" s="577" t="s">
        <v>643</v>
      </c>
      <c r="G206" s="577" t="s">
        <v>644</v>
      </c>
      <c r="H206" s="577" t="s">
        <v>644</v>
      </c>
      <c r="I206" s="578">
        <v>115</v>
      </c>
      <c r="J206" s="578">
        <v>115</v>
      </c>
      <c r="K206" s="578">
        <v>115</v>
      </c>
      <c r="L206" s="578">
        <v>115</v>
      </c>
      <c r="M206" s="578">
        <v>115</v>
      </c>
      <c r="N206" s="578">
        <v>115</v>
      </c>
      <c r="O206" s="578">
        <v>115</v>
      </c>
      <c r="P206" s="578">
        <v>115</v>
      </c>
      <c r="Q206" s="578">
        <v>115</v>
      </c>
      <c r="R206" s="579">
        <v>115</v>
      </c>
    </row>
    <row r="207" spans="2:18">
      <c r="B207" s="569" t="s">
        <v>645</v>
      </c>
      <c r="C207" s="577" t="s">
        <v>646</v>
      </c>
      <c r="D207" s="577" t="s">
        <v>646</v>
      </c>
      <c r="E207" s="577"/>
      <c r="F207" s="577"/>
      <c r="G207" s="578"/>
      <c r="H207" s="578"/>
      <c r="I207" s="578"/>
      <c r="J207" s="578"/>
      <c r="K207" s="578"/>
      <c r="L207" s="578"/>
      <c r="M207" s="578"/>
      <c r="N207" s="578"/>
      <c r="O207" s="578"/>
      <c r="P207" s="578"/>
      <c r="Q207" s="578"/>
      <c r="R207" s="579"/>
    </row>
    <row r="208" spans="2:18">
      <c r="B208" s="569" t="s">
        <v>648</v>
      </c>
      <c r="C208" s="578">
        <f>C205+C206+C207</f>
        <v>-405</v>
      </c>
      <c r="D208" s="578">
        <f t="shared" ref="D208:R208" si="93">D205+D206+D207</f>
        <v>-405</v>
      </c>
      <c r="E208" s="578">
        <f t="shared" si="93"/>
        <v>-210</v>
      </c>
      <c r="F208" s="578">
        <f t="shared" si="93"/>
        <v>-210</v>
      </c>
      <c r="G208" s="578">
        <f t="shared" si="93"/>
        <v>-140</v>
      </c>
      <c r="H208" s="578">
        <f t="shared" si="93"/>
        <v>-140</v>
      </c>
      <c r="I208" s="578">
        <f t="shared" si="93"/>
        <v>20</v>
      </c>
      <c r="J208" s="578">
        <f t="shared" si="93"/>
        <v>300</v>
      </c>
      <c r="K208" s="578">
        <f t="shared" si="93"/>
        <v>300</v>
      </c>
      <c r="L208" s="578">
        <f t="shared" si="93"/>
        <v>300</v>
      </c>
      <c r="M208" s="578">
        <f t="shared" si="93"/>
        <v>300</v>
      </c>
      <c r="N208" s="578">
        <f t="shared" si="93"/>
        <v>300</v>
      </c>
      <c r="O208" s="578">
        <f t="shared" si="93"/>
        <v>300</v>
      </c>
      <c r="P208" s="578">
        <f t="shared" si="93"/>
        <v>300</v>
      </c>
      <c r="Q208" s="578">
        <f t="shared" si="93"/>
        <v>300</v>
      </c>
      <c r="R208" s="579">
        <f t="shared" si="93"/>
        <v>300</v>
      </c>
    </row>
    <row r="209" spans="2:18" ht="16" thickBot="1">
      <c r="B209" s="580" t="s">
        <v>649</v>
      </c>
      <c r="C209" s="581">
        <f>C208/(1+$C$2)^(C204-$C$3)</f>
        <v>-405</v>
      </c>
      <c r="D209" s="581">
        <f>D208/(1+$C$2)^(D204-$C$3)</f>
        <v>-364.05857459266912</v>
      </c>
      <c r="E209" s="581">
        <f t="shared" ref="E209:R209" si="94">E208/(1+$C$2)^(E204-$C$3)</f>
        <v>-169.68825242635978</v>
      </c>
      <c r="F209" s="581">
        <f t="shared" si="94"/>
        <v>-152.53447729249768</v>
      </c>
      <c r="G209" s="581">
        <f t="shared" si="94"/>
        <v>-91.409850830196802</v>
      </c>
      <c r="H209" s="581">
        <f t="shared" si="94"/>
        <v>-82.169234560419639</v>
      </c>
      <c r="I209" s="581">
        <f t="shared" si="94"/>
        <v>10.551821661177092</v>
      </c>
      <c r="J209" s="581">
        <f t="shared" si="94"/>
        <v>142.27707975274748</v>
      </c>
      <c r="K209" s="581">
        <f t="shared" si="94"/>
        <v>127.89429839998211</v>
      </c>
      <c r="L209" s="581">
        <f t="shared" si="94"/>
        <v>114.96547154080733</v>
      </c>
      <c r="M209" s="581">
        <f t="shared" si="94"/>
        <v>103.34361900375403</v>
      </c>
      <c r="N209" s="581">
        <f t="shared" si="94"/>
        <v>92.896618833961867</v>
      </c>
      <c r="O209" s="581">
        <f t="shared" si="94"/>
        <v>83.505705276964591</v>
      </c>
      <c r="P209" s="581">
        <f t="shared" si="94"/>
        <v>75.064118601203091</v>
      </c>
      <c r="Q209" s="581">
        <f t="shared" si="94"/>
        <v>67.475891409898907</v>
      </c>
      <c r="R209" s="582">
        <f t="shared" si="94"/>
        <v>60.654757644586468</v>
      </c>
    </row>
    <row r="210" spans="2:18" ht="15" thickBot="1"/>
    <row r="211" spans="2:18">
      <c r="B211" s="562" t="s">
        <v>650</v>
      </c>
      <c r="C211" s="583">
        <v>2009</v>
      </c>
      <c r="D211" s="583">
        <v>2010</v>
      </c>
      <c r="E211" s="583">
        <v>2011</v>
      </c>
      <c r="F211" s="583">
        <v>2012</v>
      </c>
      <c r="G211" s="583">
        <v>2013</v>
      </c>
      <c r="H211" s="583">
        <v>2014</v>
      </c>
      <c r="I211" s="583">
        <v>2015</v>
      </c>
      <c r="J211" s="583">
        <v>2016</v>
      </c>
      <c r="K211" s="583">
        <v>2017</v>
      </c>
      <c r="L211" s="583">
        <v>2018</v>
      </c>
      <c r="M211" s="583">
        <v>2019</v>
      </c>
      <c r="N211" s="583">
        <v>2020</v>
      </c>
      <c r="O211" s="583">
        <v>2021</v>
      </c>
      <c r="P211" s="583">
        <v>2022</v>
      </c>
      <c r="Q211" s="583">
        <v>2023</v>
      </c>
      <c r="R211" s="584">
        <v>2024</v>
      </c>
    </row>
    <row r="212" spans="2:18">
      <c r="B212" s="569"/>
      <c r="C212" s="578">
        <v>94.954999999999998</v>
      </c>
      <c r="D212" s="578">
        <v>94.954999999999998</v>
      </c>
      <c r="E212" s="578">
        <v>94.954999999999998</v>
      </c>
      <c r="F212" s="578">
        <v>94.954999999999998</v>
      </c>
      <c r="G212" s="578">
        <v>94.954999999999998</v>
      </c>
      <c r="H212" s="578">
        <v>94.954999999999998</v>
      </c>
      <c r="I212" s="578">
        <v>94.954999999999998</v>
      </c>
      <c r="J212" s="578">
        <v>94.954999999999998</v>
      </c>
      <c r="K212" s="578">
        <v>94.954999999999998</v>
      </c>
      <c r="L212" s="578">
        <v>94.954999999999998</v>
      </c>
      <c r="M212" s="578">
        <v>94.954999999999998</v>
      </c>
      <c r="N212" s="578">
        <v>94.954999999999998</v>
      </c>
      <c r="O212" s="578">
        <v>94.954999999999998</v>
      </c>
      <c r="P212" s="578">
        <v>94.954999999999998</v>
      </c>
      <c r="Q212" s="578">
        <v>94.954999999999998</v>
      </c>
      <c r="R212" s="579">
        <v>94.954999999999998</v>
      </c>
    </row>
    <row r="213" spans="2:18">
      <c r="B213" s="569" t="s">
        <v>648</v>
      </c>
      <c r="C213" s="585">
        <f>C180</f>
        <v>94.954999999999998</v>
      </c>
      <c r="D213" s="585">
        <f t="shared" ref="D213:R213" si="95">D180</f>
        <v>87.358599999999996</v>
      </c>
      <c r="E213" s="585">
        <f t="shared" si="95"/>
        <v>79.762199999999993</v>
      </c>
      <c r="F213" s="585">
        <f t="shared" si="95"/>
        <v>72.165800000000004</v>
      </c>
      <c r="G213" s="585">
        <f t="shared" si="95"/>
        <v>64.569399999999987</v>
      </c>
      <c r="H213" s="585">
        <f t="shared" si="95"/>
        <v>56.972999999999999</v>
      </c>
      <c r="I213" s="585">
        <f t="shared" si="95"/>
        <v>49.376600000000003</v>
      </c>
      <c r="J213" s="585">
        <f t="shared" si="95"/>
        <v>41.780199999999994</v>
      </c>
      <c r="K213" s="585">
        <f t="shared" si="95"/>
        <v>34.183799999999998</v>
      </c>
      <c r="L213" s="585">
        <f t="shared" si="95"/>
        <v>26.587400000000002</v>
      </c>
      <c r="M213" s="585">
        <f t="shared" si="95"/>
        <v>18.990999999999996</v>
      </c>
      <c r="N213" s="585">
        <f t="shared" si="95"/>
        <v>15.82583333333333</v>
      </c>
      <c r="O213" s="585">
        <f t="shared" si="95"/>
        <v>12.660666666666664</v>
      </c>
      <c r="P213" s="585">
        <f t="shared" si="95"/>
        <v>9.4954999999999981</v>
      </c>
      <c r="Q213" s="585">
        <f t="shared" si="95"/>
        <v>6.330333333333332</v>
      </c>
      <c r="R213" s="585">
        <f t="shared" si="95"/>
        <v>3.165166666666666</v>
      </c>
    </row>
    <row r="214" spans="2:18" ht="16" thickBot="1">
      <c r="B214" s="580" t="s">
        <v>651</v>
      </c>
      <c r="C214" s="581">
        <f>C213/(1+$C$2)^(C211-$C$3)</f>
        <v>94.954999999999998</v>
      </c>
      <c r="D214" s="581">
        <f t="shared" ref="D214:R214" si="96">D213/(1+$C$2)^(D211-$C$3)</f>
        <v>78.527524430644789</v>
      </c>
      <c r="E214" s="581">
        <f t="shared" si="96"/>
        <v>64.450992036579962</v>
      </c>
      <c r="F214" s="581">
        <f t="shared" si="96"/>
        <v>52.417964673309186</v>
      </c>
      <c r="G214" s="581">
        <f t="shared" si="96"/>
        <v>42.159137301395056</v>
      </c>
      <c r="H214" s="581">
        <f t="shared" si="96"/>
        <v>33.438770004362773</v>
      </c>
      <c r="I214" s="581">
        <f t="shared" si="96"/>
        <v>26.050653871763842</v>
      </c>
      <c r="J214" s="581">
        <f t="shared" si="96"/>
        <v>19.814549491619132</v>
      </c>
      <c r="K214" s="581">
        <f t="shared" si="96"/>
        <v>14.573043725484361</v>
      </c>
      <c r="L214" s="581">
        <f t="shared" si="96"/>
        <v>10.188776593480203</v>
      </c>
      <c r="M214" s="581">
        <f t="shared" si="96"/>
        <v>6.5419955616676413</v>
      </c>
      <c r="N214" s="581">
        <f t="shared" si="96"/>
        <v>4.900554689654915</v>
      </c>
      <c r="O214" s="581">
        <f t="shared" si="96"/>
        <v>3.5241263309218538</v>
      </c>
      <c r="P214" s="581">
        <f t="shared" si="96"/>
        <v>2.3759044605924129</v>
      </c>
      <c r="Q214" s="581">
        <f t="shared" si="96"/>
        <v>1.4238162819615443</v>
      </c>
      <c r="R214" s="582">
        <f t="shared" si="96"/>
        <v>0.63994139023796737</v>
      </c>
    </row>
    <row r="215" spans="2:18" ht="15" thickBot="1">
      <c r="C215" s="587"/>
      <c r="D215" s="587"/>
      <c r="E215" s="587"/>
      <c r="F215" s="587"/>
      <c r="G215" s="587"/>
      <c r="H215" s="587"/>
      <c r="I215" s="587"/>
      <c r="J215" s="587"/>
      <c r="K215" s="587"/>
      <c r="L215" s="587"/>
      <c r="M215" s="587"/>
      <c r="N215" s="587"/>
      <c r="O215" s="587"/>
      <c r="P215" s="587"/>
      <c r="Q215" s="587"/>
      <c r="R215" s="587"/>
    </row>
    <row r="216" spans="2:18">
      <c r="B216" s="562" t="s">
        <v>652</v>
      </c>
      <c r="C216" s="583">
        <v>2009</v>
      </c>
      <c r="D216" s="583">
        <v>2010</v>
      </c>
      <c r="E216" s="583">
        <v>2011</v>
      </c>
      <c r="F216" s="583">
        <v>2012</v>
      </c>
      <c r="G216" s="583">
        <v>2013</v>
      </c>
      <c r="H216" s="583">
        <v>2014</v>
      </c>
      <c r="I216" s="583">
        <v>2015</v>
      </c>
      <c r="J216" s="583">
        <v>2016</v>
      </c>
      <c r="K216" s="583">
        <v>2017</v>
      </c>
      <c r="L216" s="583">
        <v>2018</v>
      </c>
      <c r="M216" s="583">
        <v>2019</v>
      </c>
      <c r="N216" s="583">
        <v>2020</v>
      </c>
      <c r="O216" s="583">
        <v>2021</v>
      </c>
      <c r="P216" s="583">
        <v>2022</v>
      </c>
      <c r="Q216" s="583">
        <v>2023</v>
      </c>
      <c r="R216" s="584">
        <v>2024</v>
      </c>
    </row>
    <row r="217" spans="2:18">
      <c r="B217" s="588" t="s">
        <v>653</v>
      </c>
      <c r="C217" s="589">
        <f>'[4]Scénario dossier 5'!C24</f>
        <v>-4.6523076923076925</v>
      </c>
      <c r="D217" s="589">
        <f>'[4]Scénario dossier 5'!D24</f>
        <v>-16.730245121871008</v>
      </c>
      <c r="E217" s="589">
        <f>'[4]Scénario dossier 5'!E24</f>
        <v>-37.470183940449651</v>
      </c>
      <c r="F217" s="589">
        <f>'[4]Scénario dossier 5'!F24</f>
        <v>-29.238147042758506</v>
      </c>
      <c r="G217" s="589">
        <f>'[4]Scénario dossier 5'!G24</f>
        <v>-16.883669865676229</v>
      </c>
      <c r="H217" s="589">
        <f>'[4]Scénario dossier 5'!H24</f>
        <v>5.2717190445193616</v>
      </c>
      <c r="I217" s="589">
        <f>'[4]Scénario dossier 5'!I24</f>
        <v>4.7394302817864542</v>
      </c>
      <c r="J217" s="589">
        <f>'[4]Scénario dossier 5'!J24</f>
        <v>3.4772756366300466</v>
      </c>
      <c r="K217" s="589">
        <f>'[4]Scénario dossier 5'!K24</f>
        <v>1.1888263311787912</v>
      </c>
      <c r="L217" s="589">
        <f>'[4]Scénario dossier 5'!L24</f>
        <v>0</v>
      </c>
      <c r="M217" s="589">
        <f>'[4]Scénario dossier 5'!M24</f>
        <v>0</v>
      </c>
      <c r="N217" s="589">
        <f>'[4]Scénario dossier 5'!N24</f>
        <v>0</v>
      </c>
      <c r="O217" s="589">
        <f>'[4]Scénario dossier 5'!O24</f>
        <v>0</v>
      </c>
      <c r="P217" s="589">
        <f>'[4]Scénario dossier 5'!P24</f>
        <v>0</v>
      </c>
      <c r="Q217" s="589">
        <f>'[4]Scénario dossier 5'!Q24</f>
        <v>0</v>
      </c>
      <c r="R217" s="626">
        <f>'[4]Scénario dossier 5'!R24</f>
        <v>0</v>
      </c>
    </row>
    <row r="218" spans="2:18">
      <c r="B218" s="590" t="s">
        <v>654</v>
      </c>
      <c r="C218" s="589">
        <f>'[4]Scénario dossier 5'!C25</f>
        <v>0</v>
      </c>
      <c r="D218" s="589">
        <f>'[4]Scénario dossier 5'!D25</f>
        <v>0</v>
      </c>
      <c r="E218" s="589">
        <f>'[4]Scénario dossier 5'!E25</f>
        <v>0</v>
      </c>
      <c r="F218" s="589">
        <f>'[4]Scénario dossier 5'!F25</f>
        <v>0</v>
      </c>
      <c r="G218" s="585">
        <f>'[4]Scénario dossier 5'!G25</f>
        <v>-13.369095209150121</v>
      </c>
      <c r="H218" s="585">
        <f>'[4]Scénario dossier 5'!H25</f>
        <v>32.956816369460412</v>
      </c>
      <c r="I218" s="585">
        <f>'[4]Scénario dossier 5'!I25</f>
        <v>30.277725799598755</v>
      </c>
      <c r="J218" s="585">
        <f>'[4]Scénario dossier 5'!J25</f>
        <v>28.391687540845247</v>
      </c>
      <c r="K218" s="585">
        <f>'[4]Scénario dossier 5'!K25</f>
        <v>26.101148770897222</v>
      </c>
      <c r="L218" s="585">
        <f>'[4]Scénario dossier 5'!L25</f>
        <v>24.460546326753949</v>
      </c>
      <c r="M218" s="585">
        <f>'[4]Scénario dossier 5'!M25</f>
        <v>22.501312267636575</v>
      </c>
      <c r="N218" s="585">
        <f>'[4]Scénario dossier 5'!N25</f>
        <v>21.075103955907377</v>
      </c>
      <c r="O218" s="585">
        <f>'[4]Scénario dossier 5'!O25</f>
        <v>19.39852016346715</v>
      </c>
      <c r="P218" s="585">
        <f>'[4]Scénario dossier 5'!P25</f>
        <v>18.159403383341502</v>
      </c>
      <c r="Q218" s="585">
        <f>'[4]Scénario dossier 5'!Q25</f>
        <v>16.724090574031035</v>
      </c>
      <c r="R218" s="586">
        <f>'[4]Scénario dossier 5'!R25</f>
        <v>22.445821416149265</v>
      </c>
    </row>
    <row r="219" spans="2:18">
      <c r="B219" s="592" t="s">
        <v>648</v>
      </c>
      <c r="C219" s="593">
        <f>C21</f>
        <v>-4.6523076923076925</v>
      </c>
      <c r="D219" s="593">
        <f t="shared" ref="D219:R219" si="97">D21</f>
        <v>-18.60923076923077</v>
      </c>
      <c r="E219" s="593">
        <f t="shared" si="97"/>
        <v>-46.359427055702916</v>
      </c>
      <c r="F219" s="593">
        <f t="shared" si="97"/>
        <v>-40.237241379310341</v>
      </c>
      <c r="G219" s="593">
        <f t="shared" si="97"/>
        <v>-46.309447199172403</v>
      </c>
      <c r="H219" s="593">
        <f t="shared" si="97"/>
        <v>65.088544944103347</v>
      </c>
      <c r="I219" s="593">
        <f t="shared" si="97"/>
        <v>65.578759369331152</v>
      </c>
      <c r="J219" s="593">
        <f t="shared" si="97"/>
        <v>67.133085620339997</v>
      </c>
      <c r="K219" s="593">
        <f t="shared" si="97"/>
        <v>63.206131112625229</v>
      </c>
      <c r="L219" s="593">
        <f t="shared" si="97"/>
        <v>63.752081027528938</v>
      </c>
      <c r="M219" s="593">
        <f t="shared" si="97"/>
        <v>64.495474857623719</v>
      </c>
      <c r="N219" s="593">
        <f t="shared" si="97"/>
        <v>67.962227713177342</v>
      </c>
      <c r="O219" s="593">
        <f t="shared" si="97"/>
        <v>68.845303582609034</v>
      </c>
      <c r="P219" s="593">
        <f t="shared" si="97"/>
        <v>72.456426463123023</v>
      </c>
      <c r="Q219" s="593">
        <f t="shared" si="97"/>
        <v>73.488719313247358</v>
      </c>
      <c r="R219" s="593">
        <f t="shared" si="97"/>
        <v>106.26525801361335</v>
      </c>
    </row>
    <row r="220" spans="2:18" ht="16" thickBot="1">
      <c r="B220" s="597" t="str">
        <f>B187</f>
        <v>CF actualisés</v>
      </c>
      <c r="C220" s="598">
        <f t="shared" ref="C220:R220" si="98">C217+C218</f>
        <v>-4.6523076923076925</v>
      </c>
      <c r="D220" s="598">
        <f t="shared" si="98"/>
        <v>-16.730245121871008</v>
      </c>
      <c r="E220" s="598">
        <f t="shared" si="98"/>
        <v>-37.470183940449651</v>
      </c>
      <c r="F220" s="598">
        <f t="shared" si="98"/>
        <v>-29.238147042758506</v>
      </c>
      <c r="G220" s="598">
        <f t="shared" si="98"/>
        <v>-30.25276507482635</v>
      </c>
      <c r="H220" s="598">
        <f t="shared" si="98"/>
        <v>38.22853541397977</v>
      </c>
      <c r="I220" s="598">
        <f t="shared" si="98"/>
        <v>35.01715608138521</v>
      </c>
      <c r="J220" s="598">
        <f t="shared" si="98"/>
        <v>31.868963177475294</v>
      </c>
      <c r="K220" s="598">
        <f t="shared" si="98"/>
        <v>27.289975102076014</v>
      </c>
      <c r="L220" s="598">
        <f t="shared" si="98"/>
        <v>24.460546326753949</v>
      </c>
      <c r="M220" s="598">
        <f t="shared" si="98"/>
        <v>22.501312267636575</v>
      </c>
      <c r="N220" s="598">
        <f t="shared" si="98"/>
        <v>21.075103955907377</v>
      </c>
      <c r="O220" s="598">
        <f t="shared" si="98"/>
        <v>19.39852016346715</v>
      </c>
      <c r="P220" s="598">
        <f t="shared" si="98"/>
        <v>18.159403383341502</v>
      </c>
      <c r="Q220" s="598">
        <f t="shared" si="98"/>
        <v>16.724090574031035</v>
      </c>
      <c r="R220" s="599">
        <f t="shared" si="98"/>
        <v>22.445821416149265</v>
      </c>
    </row>
    <row r="221" spans="2:18" ht="16" thickBot="1">
      <c r="C221" s="603"/>
      <c r="D221" s="603"/>
      <c r="E221" s="603"/>
      <c r="F221" s="603"/>
      <c r="G221" s="603"/>
      <c r="H221" s="603"/>
      <c r="I221" s="603"/>
      <c r="J221" s="603"/>
      <c r="K221" s="603"/>
      <c r="L221" s="603"/>
      <c r="M221" s="603"/>
      <c r="N221" s="603"/>
      <c r="O221" s="603"/>
      <c r="P221" s="603"/>
      <c r="Q221" s="603"/>
      <c r="R221" s="603"/>
    </row>
    <row r="222" spans="2:18" ht="15.5">
      <c r="B222" s="607"/>
      <c r="C222" s="608">
        <v>2009</v>
      </c>
      <c r="D222" s="608">
        <v>2010</v>
      </c>
      <c r="E222" s="608">
        <v>2011</v>
      </c>
      <c r="F222" s="608">
        <v>2012</v>
      </c>
      <c r="G222" s="608">
        <v>2013</v>
      </c>
      <c r="H222" s="608">
        <v>2014</v>
      </c>
      <c r="I222" s="608">
        <v>2015</v>
      </c>
      <c r="J222" s="608">
        <v>2016</v>
      </c>
      <c r="K222" s="608">
        <v>2017</v>
      </c>
      <c r="L222" s="608">
        <v>2018</v>
      </c>
      <c r="M222" s="608">
        <v>2019</v>
      </c>
      <c r="N222" s="608">
        <v>2020</v>
      </c>
      <c r="O222" s="608">
        <v>2021</v>
      </c>
      <c r="P222" s="608">
        <v>2022</v>
      </c>
      <c r="Q222" s="608">
        <v>2023</v>
      </c>
      <c r="R222" s="609">
        <v>2024</v>
      </c>
    </row>
    <row r="223" spans="2:18" ht="15" thickBot="1">
      <c r="B223" s="610" t="s">
        <v>656</v>
      </c>
      <c r="C223" s="611">
        <f t="shared" ref="C223:R223" si="99">C220+C214+C209</f>
        <v>-314.69730769230767</v>
      </c>
      <c r="D223" s="611">
        <f t="shared" si="99"/>
        <v>-302.26129528389532</v>
      </c>
      <c r="E223" s="611">
        <f t="shared" si="99"/>
        <v>-142.70744433022946</v>
      </c>
      <c r="F223" s="611">
        <f t="shared" si="99"/>
        <v>-129.35465966194701</v>
      </c>
      <c r="G223" s="611">
        <f t="shared" si="99"/>
        <v>-79.503478603628096</v>
      </c>
      <c r="H223" s="611">
        <f t="shared" si="99"/>
        <v>-10.501929142077088</v>
      </c>
      <c r="I223" s="611">
        <f t="shared" si="99"/>
        <v>71.619631614326138</v>
      </c>
      <c r="J223" s="611">
        <f t="shared" si="99"/>
        <v>193.96059242184191</v>
      </c>
      <c r="K223" s="611">
        <f t="shared" si="99"/>
        <v>169.75731722754247</v>
      </c>
      <c r="L223" s="611">
        <f t="shared" si="99"/>
        <v>149.61479446104147</v>
      </c>
      <c r="M223" s="611">
        <f t="shared" si="99"/>
        <v>132.38692683305825</v>
      </c>
      <c r="N223" s="611">
        <f t="shared" si="99"/>
        <v>118.87227747952416</v>
      </c>
      <c r="O223" s="611">
        <f t="shared" si="99"/>
        <v>106.42835177135359</v>
      </c>
      <c r="P223" s="611">
        <f t="shared" si="99"/>
        <v>95.599426445136999</v>
      </c>
      <c r="Q223" s="611">
        <f t="shared" si="99"/>
        <v>85.62379826589148</v>
      </c>
      <c r="R223" s="612">
        <f t="shared" si="99"/>
        <v>83.740520450973705</v>
      </c>
    </row>
    <row r="224" spans="2:18" ht="15" thickBot="1">
      <c r="B224" s="613" t="str">
        <f>B191</f>
        <v>Trésorerie</v>
      </c>
      <c r="C224" s="614">
        <f>C228+C229+C219+C213+C208</f>
        <v>-63.717307692307656</v>
      </c>
      <c r="D224" s="615">
        <f>C224+D208+D213+D219</f>
        <v>-399.96793846153844</v>
      </c>
      <c r="E224" s="615">
        <f t="shared" ref="E224:R224" si="100">D224+E208+E213+E219</f>
        <v>-576.56516551724133</v>
      </c>
      <c r="F224" s="615">
        <f t="shared" si="100"/>
        <v>-754.63660689655171</v>
      </c>
      <c r="G224" s="615">
        <f t="shared" si="100"/>
        <v>-876.37665409572412</v>
      </c>
      <c r="H224" s="615">
        <f t="shared" si="100"/>
        <v>-894.31510915162085</v>
      </c>
      <c r="I224" s="615">
        <f t="shared" si="100"/>
        <v>-759.35974978228967</v>
      </c>
      <c r="J224" s="615">
        <f t="shared" si="100"/>
        <v>-350.44646416194968</v>
      </c>
      <c r="K224" s="615">
        <f t="shared" si="100"/>
        <v>46.94346695067555</v>
      </c>
      <c r="L224" s="615">
        <f t="shared" si="100"/>
        <v>437.2829479782045</v>
      </c>
      <c r="M224" s="615">
        <f t="shared" si="100"/>
        <v>820.76942283582821</v>
      </c>
      <c r="N224" s="615">
        <f t="shared" si="100"/>
        <v>1204.5574838823388</v>
      </c>
      <c r="O224" s="615">
        <f t="shared" si="100"/>
        <v>1586.0634541316144</v>
      </c>
      <c r="P224" s="615">
        <f t="shared" si="100"/>
        <v>1968.0153805947375</v>
      </c>
      <c r="Q224" s="615">
        <f t="shared" si="100"/>
        <v>2347.834433241318</v>
      </c>
      <c r="R224" s="615">
        <f t="shared" si="100"/>
        <v>2757.2648579215979</v>
      </c>
    </row>
    <row r="225" spans="2:18" ht="15" thickBot="1">
      <c r="B225" s="631"/>
      <c r="C225" s="632"/>
      <c r="D225" s="632"/>
      <c r="E225" s="632"/>
      <c r="F225" s="632"/>
      <c r="G225" s="632"/>
      <c r="H225" s="632"/>
      <c r="I225" s="632"/>
      <c r="J225" s="632"/>
      <c r="K225" s="632"/>
      <c r="L225" s="632"/>
      <c r="M225" s="632"/>
      <c r="N225" s="632"/>
      <c r="O225" s="632"/>
      <c r="P225" s="632"/>
      <c r="Q225" s="632"/>
      <c r="R225" s="632"/>
    </row>
    <row r="226" spans="2:18">
      <c r="B226" s="1039" t="s">
        <v>658</v>
      </c>
      <c r="C226" s="1040"/>
    </row>
    <row r="227" spans="2:18" ht="15.5">
      <c r="B227" s="569" t="s">
        <v>360</v>
      </c>
      <c r="C227" s="617">
        <f>SUM(C223:R223)</f>
        <v>228.5775222566055</v>
      </c>
    </row>
    <row r="228" spans="2:18" ht="15.5">
      <c r="B228" s="569" t="s">
        <v>659</v>
      </c>
      <c r="C228" s="618">
        <f>155.21</f>
        <v>155.21</v>
      </c>
    </row>
    <row r="229" spans="2:18" ht="15.5">
      <c r="B229" s="569" t="s">
        <v>660</v>
      </c>
      <c r="C229" s="618">
        <f>95.77</f>
        <v>95.77</v>
      </c>
    </row>
    <row r="230" spans="2:18" ht="16" thickBot="1">
      <c r="B230" s="619" t="s">
        <v>661</v>
      </c>
      <c r="C230" s="620">
        <f>SUM(C227:C229)</f>
        <v>479.55752225660547</v>
      </c>
    </row>
    <row r="232" spans="2:18" ht="15.5">
      <c r="B232" s="10" t="s">
        <v>662</v>
      </c>
      <c r="C232" s="621">
        <v>15887450</v>
      </c>
    </row>
    <row r="233" spans="2:18">
      <c r="B233" s="10" t="s">
        <v>663</v>
      </c>
      <c r="C233" s="646">
        <f>(C230/C232)*1000000</f>
        <v>30.184675467529747</v>
      </c>
    </row>
    <row r="236" spans="2:18" ht="15" thickBot="1">
      <c r="B236" s="1041" t="s">
        <v>681</v>
      </c>
      <c r="C236" s="1041"/>
      <c r="D236" s="1041"/>
      <c r="E236" s="1041"/>
    </row>
    <row r="237" spans="2:18">
      <c r="B237" s="562" t="s">
        <v>638</v>
      </c>
      <c r="C237" s="563">
        <v>2009</v>
      </c>
      <c r="D237" s="563">
        <v>2010</v>
      </c>
      <c r="E237" s="563">
        <v>2011</v>
      </c>
      <c r="F237" s="563">
        <v>2012</v>
      </c>
      <c r="G237" s="563">
        <v>2013</v>
      </c>
      <c r="H237" s="563">
        <v>2014</v>
      </c>
      <c r="I237" s="563">
        <v>2015</v>
      </c>
      <c r="J237" s="563">
        <v>2016</v>
      </c>
      <c r="K237" s="563">
        <v>2017</v>
      </c>
      <c r="L237" s="563">
        <v>2018</v>
      </c>
      <c r="M237" s="563">
        <v>2019</v>
      </c>
      <c r="N237" s="563">
        <v>2020</v>
      </c>
      <c r="O237" s="563">
        <v>2021</v>
      </c>
      <c r="P237" s="563">
        <v>2022</v>
      </c>
      <c r="Q237" s="563">
        <v>2023</v>
      </c>
      <c r="R237" s="564">
        <v>2024</v>
      </c>
    </row>
    <row r="238" spans="2:18">
      <c r="B238" s="569" t="s">
        <v>640</v>
      </c>
      <c r="C238" s="570">
        <v>-105</v>
      </c>
      <c r="D238" s="570">
        <v>-105</v>
      </c>
      <c r="E238" s="570">
        <v>-105</v>
      </c>
      <c r="F238" s="570">
        <v>-105</v>
      </c>
      <c r="G238" s="570">
        <v>-95</v>
      </c>
      <c r="H238" s="570">
        <v>-95</v>
      </c>
      <c r="I238" s="570">
        <v>-95</v>
      </c>
      <c r="J238" s="571">
        <v>185</v>
      </c>
      <c r="K238" s="571">
        <v>185</v>
      </c>
      <c r="L238" s="571">
        <v>185</v>
      </c>
      <c r="M238" s="571">
        <v>185</v>
      </c>
      <c r="N238" s="571">
        <v>185</v>
      </c>
      <c r="O238" s="571">
        <v>185</v>
      </c>
      <c r="P238" s="571">
        <v>185</v>
      </c>
      <c r="Q238" s="571">
        <v>185</v>
      </c>
      <c r="R238" s="572">
        <v>185</v>
      </c>
    </row>
    <row r="239" spans="2:18">
      <c r="B239" s="569" t="s">
        <v>642</v>
      </c>
      <c r="C239" s="577" t="s">
        <v>643</v>
      </c>
      <c r="D239" s="577" t="s">
        <v>643</v>
      </c>
      <c r="E239" s="577" t="s">
        <v>643</v>
      </c>
      <c r="F239" s="577" t="s">
        <v>643</v>
      </c>
      <c r="G239" s="577" t="s">
        <v>644</v>
      </c>
      <c r="H239" s="577" t="s">
        <v>644</v>
      </c>
      <c r="I239" s="578">
        <v>115</v>
      </c>
      <c r="J239" s="578">
        <v>115</v>
      </c>
      <c r="K239" s="578">
        <v>115</v>
      </c>
      <c r="L239" s="578">
        <v>115</v>
      </c>
      <c r="M239" s="578">
        <v>115</v>
      </c>
      <c r="N239" s="578">
        <v>115</v>
      </c>
      <c r="O239" s="578">
        <v>115</v>
      </c>
      <c r="P239" s="578">
        <v>115</v>
      </c>
      <c r="Q239" s="578">
        <v>115</v>
      </c>
      <c r="R239" s="579">
        <v>115</v>
      </c>
    </row>
    <row r="240" spans="2:18">
      <c r="B240" s="569" t="s">
        <v>645</v>
      </c>
      <c r="C240" s="577" t="s">
        <v>646</v>
      </c>
      <c r="D240" s="577" t="s">
        <v>646</v>
      </c>
      <c r="E240" s="577" t="s">
        <v>647</v>
      </c>
      <c r="F240" s="577" t="s">
        <v>647</v>
      </c>
      <c r="G240" s="578">
        <v>120</v>
      </c>
      <c r="H240" s="578">
        <v>120</v>
      </c>
      <c r="I240" s="578">
        <v>120</v>
      </c>
      <c r="J240" s="578">
        <v>120</v>
      </c>
      <c r="K240" s="578">
        <v>120</v>
      </c>
      <c r="L240" s="578">
        <v>120</v>
      </c>
      <c r="M240" s="578">
        <v>120</v>
      </c>
      <c r="N240" s="578">
        <v>120</v>
      </c>
      <c r="O240" s="578">
        <v>120</v>
      </c>
      <c r="P240" s="578">
        <v>120</v>
      </c>
      <c r="Q240" s="578">
        <v>120</v>
      </c>
      <c r="R240" s="579">
        <v>120</v>
      </c>
    </row>
    <row r="241" spans="2:18">
      <c r="B241" s="569" t="s">
        <v>648</v>
      </c>
      <c r="C241" s="578">
        <f>C238+C239+C240</f>
        <v>-405</v>
      </c>
      <c r="D241" s="578">
        <f t="shared" ref="D241:R241" si="101">D238+D239+D240</f>
        <v>-405</v>
      </c>
      <c r="E241" s="578">
        <f t="shared" si="101"/>
        <v>-285</v>
      </c>
      <c r="F241" s="578">
        <f t="shared" si="101"/>
        <v>-285</v>
      </c>
      <c r="G241" s="578">
        <f t="shared" si="101"/>
        <v>-20</v>
      </c>
      <c r="H241" s="578">
        <f t="shared" si="101"/>
        <v>-20</v>
      </c>
      <c r="I241" s="578">
        <f t="shared" si="101"/>
        <v>140</v>
      </c>
      <c r="J241" s="578">
        <f t="shared" si="101"/>
        <v>420</v>
      </c>
      <c r="K241" s="578">
        <f t="shared" si="101"/>
        <v>420</v>
      </c>
      <c r="L241" s="578">
        <f t="shared" si="101"/>
        <v>420</v>
      </c>
      <c r="M241" s="578">
        <f t="shared" si="101"/>
        <v>420</v>
      </c>
      <c r="N241" s="578">
        <f t="shared" si="101"/>
        <v>420</v>
      </c>
      <c r="O241" s="578">
        <f t="shared" si="101"/>
        <v>420</v>
      </c>
      <c r="P241" s="578">
        <f t="shared" si="101"/>
        <v>420</v>
      </c>
      <c r="Q241" s="578">
        <f t="shared" si="101"/>
        <v>420</v>
      </c>
      <c r="R241" s="579">
        <f t="shared" si="101"/>
        <v>420</v>
      </c>
    </row>
    <row r="242" spans="2:18" ht="16" thickBot="1">
      <c r="B242" s="580" t="s">
        <v>649</v>
      </c>
      <c r="C242" s="581">
        <f>C241/(1+$C$2)^(C237-$C$3)</f>
        <v>-405</v>
      </c>
      <c r="D242" s="581">
        <f>D241/(1+$C$2)^(D237-$C$3)</f>
        <v>-364.05857459266912</v>
      </c>
      <c r="E242" s="581">
        <f t="shared" ref="E242:R242" si="102">E241/(1+$C$2)^(E237-$C$3)</f>
        <v>-230.29119972148825</v>
      </c>
      <c r="F242" s="581">
        <f t="shared" si="102"/>
        <v>-207.01107632553254</v>
      </c>
      <c r="G242" s="581">
        <f t="shared" si="102"/>
        <v>-13.058550118599543</v>
      </c>
      <c r="H242" s="581">
        <f t="shared" si="102"/>
        <v>-11.738462080059948</v>
      </c>
      <c r="I242" s="581">
        <f t="shared" si="102"/>
        <v>73.86275162823965</v>
      </c>
      <c r="J242" s="581">
        <f t="shared" si="102"/>
        <v>199.18791165384647</v>
      </c>
      <c r="K242" s="581">
        <f t="shared" si="102"/>
        <v>179.05201775997494</v>
      </c>
      <c r="L242" s="581">
        <f t="shared" si="102"/>
        <v>160.95166015713025</v>
      </c>
      <c r="M242" s="581">
        <f t="shared" si="102"/>
        <v>144.68106660525564</v>
      </c>
      <c r="N242" s="581">
        <f t="shared" si="102"/>
        <v>130.05526636754661</v>
      </c>
      <c r="O242" s="581">
        <f t="shared" si="102"/>
        <v>116.90798738775042</v>
      </c>
      <c r="P242" s="581">
        <f t="shared" si="102"/>
        <v>105.08976604168433</v>
      </c>
      <c r="Q242" s="581">
        <f t="shared" si="102"/>
        <v>94.466247973858472</v>
      </c>
      <c r="R242" s="582">
        <f t="shared" si="102"/>
        <v>84.916660702421055</v>
      </c>
    </row>
    <row r="243" spans="2:18" ht="15" thickBot="1"/>
    <row r="244" spans="2:18">
      <c r="B244" s="562" t="s">
        <v>650</v>
      </c>
      <c r="C244" s="583">
        <v>2009</v>
      </c>
      <c r="D244" s="583">
        <v>2010</v>
      </c>
      <c r="E244" s="583">
        <v>2011</v>
      </c>
      <c r="F244" s="583">
        <v>2012</v>
      </c>
      <c r="G244" s="583">
        <v>2013</v>
      </c>
      <c r="H244" s="583">
        <v>2014</v>
      </c>
      <c r="I244" s="583">
        <v>2015</v>
      </c>
      <c r="J244" s="583">
        <v>2016</v>
      </c>
      <c r="K244" s="583">
        <v>2017</v>
      </c>
      <c r="L244" s="583">
        <v>2018</v>
      </c>
      <c r="M244" s="583">
        <v>2019</v>
      </c>
      <c r="N244" s="583">
        <v>2020</v>
      </c>
      <c r="O244" s="583">
        <v>2021</v>
      </c>
      <c r="P244" s="583">
        <v>2022</v>
      </c>
      <c r="Q244" s="583">
        <v>2023</v>
      </c>
      <c r="R244" s="584">
        <v>2024</v>
      </c>
    </row>
    <row r="245" spans="2:18">
      <c r="B245" s="569"/>
      <c r="C245" s="578">
        <v>94.954999999999998</v>
      </c>
      <c r="D245" s="578">
        <v>94.954999999999998</v>
      </c>
      <c r="E245" s="578">
        <v>94.954999999999998</v>
      </c>
      <c r="F245" s="578">
        <v>94.954999999999998</v>
      </c>
      <c r="G245" s="578">
        <v>94.954999999999998</v>
      </c>
      <c r="H245" s="578">
        <v>94.954999999999998</v>
      </c>
      <c r="I245" s="578">
        <v>94.954999999999998</v>
      </c>
      <c r="J245" s="578">
        <v>94.954999999999998</v>
      </c>
      <c r="K245" s="578">
        <v>94.954999999999998</v>
      </c>
      <c r="L245" s="578">
        <v>94.954999999999998</v>
      </c>
      <c r="M245" s="578">
        <v>94.954999999999998</v>
      </c>
      <c r="N245" s="578">
        <v>94.954999999999998</v>
      </c>
      <c r="O245" s="578">
        <v>94.954999999999998</v>
      </c>
      <c r="P245" s="578">
        <v>94.954999999999998</v>
      </c>
      <c r="Q245" s="578">
        <v>94.954999999999998</v>
      </c>
      <c r="R245" s="579">
        <v>94.954999999999998</v>
      </c>
    </row>
    <row r="246" spans="2:18">
      <c r="B246" s="569" t="s">
        <v>648</v>
      </c>
      <c r="C246" s="585">
        <f>C213</f>
        <v>94.954999999999998</v>
      </c>
      <c r="D246" s="585">
        <f t="shared" ref="D246:R246" si="103">D213</f>
        <v>87.358599999999996</v>
      </c>
      <c r="E246" s="585">
        <f t="shared" si="103"/>
        <v>79.762199999999993</v>
      </c>
      <c r="F246" s="585">
        <f t="shared" si="103"/>
        <v>72.165800000000004</v>
      </c>
      <c r="G246" s="585">
        <f t="shared" si="103"/>
        <v>64.569399999999987</v>
      </c>
      <c r="H246" s="585">
        <f t="shared" si="103"/>
        <v>56.972999999999999</v>
      </c>
      <c r="I246" s="585">
        <f t="shared" si="103"/>
        <v>49.376600000000003</v>
      </c>
      <c r="J246" s="585">
        <f t="shared" si="103"/>
        <v>41.780199999999994</v>
      </c>
      <c r="K246" s="585">
        <f t="shared" si="103"/>
        <v>34.183799999999998</v>
      </c>
      <c r="L246" s="585">
        <f t="shared" si="103"/>
        <v>26.587400000000002</v>
      </c>
      <c r="M246" s="585">
        <f t="shared" si="103"/>
        <v>18.990999999999996</v>
      </c>
      <c r="N246" s="585">
        <f t="shared" si="103"/>
        <v>15.82583333333333</v>
      </c>
      <c r="O246" s="585">
        <f t="shared" si="103"/>
        <v>12.660666666666664</v>
      </c>
      <c r="P246" s="585">
        <f t="shared" si="103"/>
        <v>9.4954999999999981</v>
      </c>
      <c r="Q246" s="585">
        <f t="shared" si="103"/>
        <v>6.330333333333332</v>
      </c>
      <c r="R246" s="585">
        <f t="shared" si="103"/>
        <v>3.165166666666666</v>
      </c>
    </row>
    <row r="247" spans="2:18" ht="16" thickBot="1">
      <c r="B247" s="580" t="s">
        <v>651</v>
      </c>
      <c r="C247" s="581">
        <f>C246/(1+$C$2)^(C244-$C$3)</f>
        <v>94.954999999999998</v>
      </c>
      <c r="D247" s="581">
        <f t="shared" ref="D247:R247" si="104">D246/(1+$C$2)^(D244-$C$3)</f>
        <v>78.527524430644789</v>
      </c>
      <c r="E247" s="581">
        <f t="shared" si="104"/>
        <v>64.450992036579962</v>
      </c>
      <c r="F247" s="581">
        <f t="shared" si="104"/>
        <v>52.417964673309186</v>
      </c>
      <c r="G247" s="581">
        <f t="shared" si="104"/>
        <v>42.159137301395056</v>
      </c>
      <c r="H247" s="581">
        <f t="shared" si="104"/>
        <v>33.438770004362773</v>
      </c>
      <c r="I247" s="581">
        <f t="shared" si="104"/>
        <v>26.050653871763842</v>
      </c>
      <c r="J247" s="581">
        <f t="shared" si="104"/>
        <v>19.814549491619132</v>
      </c>
      <c r="K247" s="581">
        <f t="shared" si="104"/>
        <v>14.573043725484361</v>
      </c>
      <c r="L247" s="581">
        <f t="shared" si="104"/>
        <v>10.188776593480203</v>
      </c>
      <c r="M247" s="581">
        <f t="shared" si="104"/>
        <v>6.5419955616676413</v>
      </c>
      <c r="N247" s="581">
        <f t="shared" si="104"/>
        <v>4.900554689654915</v>
      </c>
      <c r="O247" s="581">
        <f t="shared" si="104"/>
        <v>3.5241263309218538</v>
      </c>
      <c r="P247" s="581">
        <f t="shared" si="104"/>
        <v>2.3759044605924129</v>
      </c>
      <c r="Q247" s="581">
        <f t="shared" si="104"/>
        <v>1.4238162819615443</v>
      </c>
      <c r="R247" s="582">
        <f t="shared" si="104"/>
        <v>0.63994139023796737</v>
      </c>
    </row>
    <row r="248" spans="2:18" ht="15" thickBot="1">
      <c r="C248" s="587"/>
      <c r="D248" s="587"/>
      <c r="E248" s="587"/>
      <c r="F248" s="587"/>
      <c r="G248" s="587"/>
      <c r="H248" s="587"/>
      <c r="I248" s="587"/>
      <c r="J248" s="587"/>
      <c r="K248" s="587"/>
      <c r="L248" s="587"/>
      <c r="M248" s="587"/>
      <c r="N248" s="587"/>
      <c r="O248" s="587"/>
      <c r="P248" s="587"/>
      <c r="Q248" s="587"/>
      <c r="R248" s="587"/>
    </row>
    <row r="249" spans="2:18">
      <c r="B249" s="562" t="s">
        <v>652</v>
      </c>
      <c r="C249" s="583">
        <v>2009</v>
      </c>
      <c r="D249" s="583">
        <v>2010</v>
      </c>
      <c r="E249" s="583">
        <v>2011</v>
      </c>
      <c r="F249" s="583">
        <v>2012</v>
      </c>
      <c r="G249" s="583">
        <v>2013</v>
      </c>
      <c r="H249" s="583">
        <v>2014</v>
      </c>
      <c r="I249" s="583">
        <v>2015</v>
      </c>
      <c r="J249" s="583">
        <v>2016</v>
      </c>
      <c r="K249" s="583">
        <v>2017</v>
      </c>
      <c r="L249" s="583">
        <v>2018</v>
      </c>
      <c r="M249" s="583">
        <v>2019</v>
      </c>
      <c r="N249" s="583">
        <v>2020</v>
      </c>
      <c r="O249" s="583">
        <v>2021</v>
      </c>
      <c r="P249" s="583">
        <v>2022</v>
      </c>
      <c r="Q249" s="583">
        <v>2023</v>
      </c>
      <c r="R249" s="584">
        <v>2024</v>
      </c>
    </row>
    <row r="250" spans="2:18">
      <c r="B250" s="588" t="s">
        <v>653</v>
      </c>
      <c r="C250" s="589">
        <f>V54</f>
        <v>-4.6523076923076925</v>
      </c>
      <c r="D250" s="589">
        <f>W54</f>
        <v>-16.728024760770847</v>
      </c>
      <c r="E250" s="589">
        <f>X54</f>
        <v>-37.460238859854911</v>
      </c>
      <c r="F250" s="589">
        <f>Y54</f>
        <v>-29.226507530881726</v>
      </c>
      <c r="G250" s="589">
        <f>Z54</f>
        <v>1.4483282966021924</v>
      </c>
      <c r="H250" s="589"/>
      <c r="I250" s="589"/>
      <c r="J250" s="589"/>
      <c r="K250" s="589"/>
      <c r="L250" s="578"/>
      <c r="M250" s="578"/>
      <c r="N250" s="578"/>
      <c r="O250" s="578"/>
      <c r="P250" s="578"/>
      <c r="Q250" s="578"/>
      <c r="R250" s="579"/>
    </row>
    <row r="251" spans="2:18">
      <c r="B251" s="590" t="s">
        <v>654</v>
      </c>
      <c r="C251" s="578"/>
      <c r="D251" s="578"/>
      <c r="E251" s="578"/>
      <c r="F251" s="578"/>
      <c r="G251" s="585"/>
      <c r="H251" s="585"/>
      <c r="I251" s="585"/>
      <c r="J251" s="585"/>
      <c r="K251" s="585"/>
      <c r="L251" s="585"/>
      <c r="M251" s="585"/>
      <c r="N251" s="585"/>
      <c r="O251" s="585"/>
      <c r="P251" s="585"/>
      <c r="Q251" s="585"/>
      <c r="R251" s="586"/>
    </row>
    <row r="252" spans="2:18">
      <c r="B252" s="592" t="s">
        <v>648</v>
      </c>
      <c r="C252" s="593">
        <f t="shared" ref="C252:R252" si="105">V64</f>
        <v>-4.6523076923076925</v>
      </c>
      <c r="D252" s="593">
        <f t="shared" si="105"/>
        <v>-18.60923076923077</v>
      </c>
      <c r="E252" s="593">
        <f t="shared" si="105"/>
        <v>-46.359427055702923</v>
      </c>
      <c r="F252" s="593">
        <f t="shared" si="105"/>
        <v>-40.237241379310348</v>
      </c>
      <c r="G252" s="593">
        <f t="shared" si="105"/>
        <v>2.2182068965517248</v>
      </c>
      <c r="H252" s="593">
        <f t="shared" si="105"/>
        <v>0</v>
      </c>
      <c r="I252" s="593">
        <f t="shared" si="105"/>
        <v>0</v>
      </c>
      <c r="J252" s="593">
        <f t="shared" si="105"/>
        <v>0</v>
      </c>
      <c r="K252" s="593">
        <f t="shared" si="105"/>
        <v>0</v>
      </c>
      <c r="L252" s="593">
        <f t="shared" si="105"/>
        <v>0</v>
      </c>
      <c r="M252" s="593">
        <f t="shared" si="105"/>
        <v>0</v>
      </c>
      <c r="N252" s="593">
        <f t="shared" si="105"/>
        <v>0</v>
      </c>
      <c r="O252" s="593">
        <f t="shared" si="105"/>
        <v>0</v>
      </c>
      <c r="P252" s="593">
        <f t="shared" si="105"/>
        <v>0</v>
      </c>
      <c r="Q252" s="593">
        <f t="shared" si="105"/>
        <v>0</v>
      </c>
      <c r="R252" s="593">
        <f t="shared" si="105"/>
        <v>0</v>
      </c>
    </row>
    <row r="253" spans="2:18" ht="16" thickBot="1">
      <c r="B253" s="597" t="str">
        <f>B220</f>
        <v>CF actualisés</v>
      </c>
      <c r="C253" s="598">
        <f t="shared" ref="C253:R253" si="106">C250+C251</f>
        <v>-4.6523076923076925</v>
      </c>
      <c r="D253" s="598">
        <f t="shared" si="106"/>
        <v>-16.728024760770847</v>
      </c>
      <c r="E253" s="598">
        <f t="shared" si="106"/>
        <v>-37.460238859854911</v>
      </c>
      <c r="F253" s="598">
        <f t="shared" si="106"/>
        <v>-29.226507530881726</v>
      </c>
      <c r="G253" s="598">
        <f t="shared" si="106"/>
        <v>1.4483282966021924</v>
      </c>
      <c r="H253" s="598">
        <f t="shared" si="106"/>
        <v>0</v>
      </c>
      <c r="I253" s="598">
        <f t="shared" si="106"/>
        <v>0</v>
      </c>
      <c r="J253" s="598">
        <f t="shared" si="106"/>
        <v>0</v>
      </c>
      <c r="K253" s="598">
        <f t="shared" si="106"/>
        <v>0</v>
      </c>
      <c r="L253" s="598">
        <f t="shared" si="106"/>
        <v>0</v>
      </c>
      <c r="M253" s="598">
        <f t="shared" si="106"/>
        <v>0</v>
      </c>
      <c r="N253" s="598">
        <f t="shared" si="106"/>
        <v>0</v>
      </c>
      <c r="O253" s="598">
        <f t="shared" si="106"/>
        <v>0</v>
      </c>
      <c r="P253" s="598">
        <f t="shared" si="106"/>
        <v>0</v>
      </c>
      <c r="Q253" s="598">
        <f t="shared" si="106"/>
        <v>0</v>
      </c>
      <c r="R253" s="599">
        <f t="shared" si="106"/>
        <v>0</v>
      </c>
    </row>
    <row r="254" spans="2:18" ht="16" thickBot="1">
      <c r="C254" s="603"/>
      <c r="D254" s="603"/>
      <c r="E254" s="603"/>
      <c r="F254" s="603"/>
      <c r="G254" s="603"/>
      <c r="H254" s="603"/>
      <c r="I254" s="603"/>
      <c r="J254" s="603"/>
      <c r="K254" s="603"/>
      <c r="L254" s="603"/>
      <c r="M254" s="603"/>
      <c r="N254" s="603"/>
      <c r="O254" s="603"/>
      <c r="P254" s="603"/>
      <c r="Q254" s="603"/>
      <c r="R254" s="603"/>
    </row>
    <row r="255" spans="2:18" ht="15.5">
      <c r="B255" s="607"/>
      <c r="C255" s="608">
        <v>2009</v>
      </c>
      <c r="D255" s="608">
        <v>2010</v>
      </c>
      <c r="E255" s="608">
        <v>2011</v>
      </c>
      <c r="F255" s="608">
        <v>2012</v>
      </c>
      <c r="G255" s="608">
        <v>2013</v>
      </c>
      <c r="H255" s="608">
        <v>2014</v>
      </c>
      <c r="I255" s="608">
        <v>2015</v>
      </c>
      <c r="J255" s="608">
        <v>2016</v>
      </c>
      <c r="K255" s="608">
        <v>2017</v>
      </c>
      <c r="L255" s="608">
        <v>2018</v>
      </c>
      <c r="M255" s="608">
        <v>2019</v>
      </c>
      <c r="N255" s="608">
        <v>2020</v>
      </c>
      <c r="O255" s="608">
        <v>2021</v>
      </c>
      <c r="P255" s="608">
        <v>2022</v>
      </c>
      <c r="Q255" s="608">
        <v>2023</v>
      </c>
      <c r="R255" s="609">
        <v>2024</v>
      </c>
    </row>
    <row r="256" spans="2:18" ht="15" thickBot="1">
      <c r="B256" s="610" t="s">
        <v>656</v>
      </c>
      <c r="C256" s="611">
        <f t="shared" ref="C256:R256" si="107">C253+C247+C242</f>
        <v>-314.69730769230767</v>
      </c>
      <c r="D256" s="611">
        <f t="shared" si="107"/>
        <v>-302.25907492279521</v>
      </c>
      <c r="E256" s="611">
        <f t="shared" si="107"/>
        <v>-203.30044654476319</v>
      </c>
      <c r="F256" s="611">
        <f t="shared" si="107"/>
        <v>-183.81961918310509</v>
      </c>
      <c r="G256" s="611">
        <f t="shared" si="107"/>
        <v>30.548915479397706</v>
      </c>
      <c r="H256" s="611">
        <f t="shared" si="107"/>
        <v>21.700307924302827</v>
      </c>
      <c r="I256" s="611">
        <f t="shared" si="107"/>
        <v>99.913405500003492</v>
      </c>
      <c r="J256" s="611">
        <f t="shared" si="107"/>
        <v>219.00246114546559</v>
      </c>
      <c r="K256" s="611">
        <f t="shared" si="107"/>
        <v>193.6250614854593</v>
      </c>
      <c r="L256" s="611">
        <f t="shared" si="107"/>
        <v>171.14043675061046</v>
      </c>
      <c r="M256" s="611">
        <f t="shared" si="107"/>
        <v>151.22306216692328</v>
      </c>
      <c r="N256" s="611">
        <f t="shared" si="107"/>
        <v>134.95582105720152</v>
      </c>
      <c r="O256" s="611">
        <f t="shared" si="107"/>
        <v>120.43211371867228</v>
      </c>
      <c r="P256" s="611">
        <f t="shared" si="107"/>
        <v>107.46567050227674</v>
      </c>
      <c r="Q256" s="611">
        <f t="shared" si="107"/>
        <v>95.890064255820022</v>
      </c>
      <c r="R256" s="612">
        <f t="shared" si="107"/>
        <v>85.55660209265902</v>
      </c>
    </row>
    <row r="257" spans="2:18" ht="15" thickBot="1">
      <c r="B257" s="613" t="str">
        <f>B224</f>
        <v>Trésorerie</v>
      </c>
      <c r="C257" s="614">
        <f>C261+C262+C252+C246+C241</f>
        <v>-63.717307692307656</v>
      </c>
      <c r="D257" s="615">
        <f>C257+D241+D246+D252</f>
        <v>-399.96793846153844</v>
      </c>
      <c r="E257" s="615">
        <f t="shared" ref="E257:R257" si="108">D257+E241+E246+E252</f>
        <v>-651.56516551724133</v>
      </c>
      <c r="F257" s="615">
        <f t="shared" si="108"/>
        <v>-904.63660689655171</v>
      </c>
      <c r="G257" s="615">
        <f t="shared" si="108"/>
        <v>-857.84900000000005</v>
      </c>
      <c r="H257" s="615">
        <f t="shared" si="108"/>
        <v>-820.87600000000009</v>
      </c>
      <c r="I257" s="615">
        <f t="shared" si="108"/>
        <v>-631.49940000000004</v>
      </c>
      <c r="J257" s="615">
        <f t="shared" si="108"/>
        <v>-169.71920000000006</v>
      </c>
      <c r="K257" s="615">
        <f t="shared" si="108"/>
        <v>284.46459999999996</v>
      </c>
      <c r="L257" s="615">
        <f t="shared" si="108"/>
        <v>731.05200000000002</v>
      </c>
      <c r="M257" s="615">
        <f t="shared" si="108"/>
        <v>1170.0430000000001</v>
      </c>
      <c r="N257" s="615">
        <f t="shared" si="108"/>
        <v>1605.8688333333334</v>
      </c>
      <c r="O257" s="615">
        <f t="shared" si="108"/>
        <v>2038.5295000000001</v>
      </c>
      <c r="P257" s="615">
        <f t="shared" si="108"/>
        <v>2468.0250000000001</v>
      </c>
      <c r="Q257" s="615">
        <f t="shared" si="108"/>
        <v>2894.3553333333334</v>
      </c>
      <c r="R257" s="615">
        <f t="shared" si="108"/>
        <v>3317.5205000000001</v>
      </c>
    </row>
    <row r="258" spans="2:18" ht="15" thickBot="1"/>
    <row r="259" spans="2:18">
      <c r="B259" s="1039" t="s">
        <v>658</v>
      </c>
      <c r="C259" s="1040"/>
    </row>
    <row r="260" spans="2:18" ht="15.5">
      <c r="B260" s="569" t="s">
        <v>360</v>
      </c>
      <c r="C260" s="617">
        <f>SUM(C256:R256)</f>
        <v>427.37747373582107</v>
      </c>
    </row>
    <row r="261" spans="2:18" ht="15.5">
      <c r="B261" s="569" t="s">
        <v>659</v>
      </c>
      <c r="C261" s="618">
        <f>155.21</f>
        <v>155.21</v>
      </c>
    </row>
    <row r="262" spans="2:18" ht="15.5">
      <c r="B262" s="569" t="s">
        <v>660</v>
      </c>
      <c r="C262" s="618">
        <f>95.77</f>
        <v>95.77</v>
      </c>
    </row>
    <row r="263" spans="2:18" ht="16" thickBot="1">
      <c r="B263" s="619" t="s">
        <v>661</v>
      </c>
      <c r="C263" s="620">
        <f>SUM(C260:C262)</f>
        <v>678.35747373582103</v>
      </c>
    </row>
    <row r="265" spans="2:18" ht="15.5">
      <c r="B265" s="10" t="s">
        <v>662</v>
      </c>
      <c r="C265" s="621">
        <v>15887450</v>
      </c>
    </row>
    <row r="266" spans="2:18">
      <c r="B266" s="10" t="s">
        <v>663</v>
      </c>
      <c r="C266" s="646">
        <f>(C263/C265)*1000000</f>
        <v>42.697693697592818</v>
      </c>
    </row>
    <row r="269" spans="2:18" ht="15" thickBot="1">
      <c r="B269" s="1041" t="s">
        <v>682</v>
      </c>
      <c r="C269" s="1041"/>
      <c r="D269" s="1041"/>
      <c r="E269" s="1041"/>
    </row>
    <row r="270" spans="2:18">
      <c r="B270" s="562" t="s">
        <v>638</v>
      </c>
      <c r="C270" s="563">
        <v>2009</v>
      </c>
      <c r="D270" s="563">
        <v>2010</v>
      </c>
      <c r="E270" s="563">
        <v>2011</v>
      </c>
      <c r="F270" s="563">
        <v>2012</v>
      </c>
      <c r="G270" s="563">
        <v>2013</v>
      </c>
      <c r="H270" s="563">
        <v>2014</v>
      </c>
      <c r="I270" s="563">
        <v>2015</v>
      </c>
      <c r="J270" s="563">
        <v>2016</v>
      </c>
      <c r="K270" s="563">
        <v>2017</v>
      </c>
      <c r="L270" s="563">
        <v>2018</v>
      </c>
      <c r="M270" s="563">
        <v>2019</v>
      </c>
      <c r="N270" s="563">
        <v>2020</v>
      </c>
      <c r="O270" s="563">
        <v>2021</v>
      </c>
      <c r="P270" s="563">
        <v>2022</v>
      </c>
      <c r="Q270" s="563">
        <v>2023</v>
      </c>
      <c r="R270" s="564">
        <v>2024</v>
      </c>
    </row>
    <row r="271" spans="2:18">
      <c r="B271" s="569" t="s">
        <v>640</v>
      </c>
      <c r="C271" s="570">
        <v>-105</v>
      </c>
      <c r="D271" s="570">
        <v>-105</v>
      </c>
      <c r="E271" s="570">
        <v>-105</v>
      </c>
      <c r="F271" s="570">
        <v>-105</v>
      </c>
      <c r="G271" s="570">
        <v>-95</v>
      </c>
      <c r="H271" s="570">
        <v>-95</v>
      </c>
      <c r="I271" s="570">
        <v>-95</v>
      </c>
      <c r="J271" s="571">
        <v>185</v>
      </c>
      <c r="K271" s="571">
        <v>185</v>
      </c>
      <c r="L271" s="571">
        <v>185</v>
      </c>
      <c r="M271" s="571">
        <v>185</v>
      </c>
      <c r="N271" s="571">
        <v>185</v>
      </c>
      <c r="O271" s="571">
        <v>185</v>
      </c>
      <c r="P271" s="571">
        <v>185</v>
      </c>
      <c r="Q271" s="571">
        <v>185</v>
      </c>
      <c r="R271" s="572">
        <v>185</v>
      </c>
    </row>
    <row r="272" spans="2:18">
      <c r="B272" s="569" t="s">
        <v>642</v>
      </c>
      <c r="C272" s="577" t="s">
        <v>643</v>
      </c>
      <c r="D272" s="577" t="s">
        <v>643</v>
      </c>
      <c r="E272" s="577" t="s">
        <v>643</v>
      </c>
      <c r="F272" s="577" t="s">
        <v>643</v>
      </c>
      <c r="G272" s="577" t="s">
        <v>644</v>
      </c>
      <c r="H272" s="577" t="s">
        <v>644</v>
      </c>
      <c r="I272" s="578">
        <v>115</v>
      </c>
      <c r="J272" s="578">
        <v>115</v>
      </c>
      <c r="K272" s="578">
        <v>115</v>
      </c>
      <c r="L272" s="578">
        <v>115</v>
      </c>
      <c r="M272" s="578">
        <v>115</v>
      </c>
      <c r="N272" s="578">
        <v>115</v>
      </c>
      <c r="O272" s="578">
        <v>115</v>
      </c>
      <c r="P272" s="578">
        <v>115</v>
      </c>
      <c r="Q272" s="578">
        <v>115</v>
      </c>
      <c r="R272" s="579">
        <v>115</v>
      </c>
    </row>
    <row r="273" spans="2:18">
      <c r="B273" s="569" t="s">
        <v>645</v>
      </c>
      <c r="C273" s="577" t="s">
        <v>646</v>
      </c>
      <c r="D273" s="577" t="s">
        <v>646</v>
      </c>
      <c r="E273" s="577" t="s">
        <v>647</v>
      </c>
      <c r="F273" s="577" t="s">
        <v>647</v>
      </c>
      <c r="G273" s="578">
        <v>120</v>
      </c>
      <c r="H273" s="578">
        <v>120</v>
      </c>
      <c r="I273" s="578">
        <v>120</v>
      </c>
      <c r="J273" s="578">
        <v>120</v>
      </c>
      <c r="K273" s="578">
        <v>120</v>
      </c>
      <c r="L273" s="578">
        <v>120</v>
      </c>
      <c r="M273" s="578">
        <v>120</v>
      </c>
      <c r="N273" s="578">
        <v>120</v>
      </c>
      <c r="O273" s="578">
        <v>120</v>
      </c>
      <c r="P273" s="578">
        <v>120</v>
      </c>
      <c r="Q273" s="578">
        <v>120</v>
      </c>
      <c r="R273" s="579">
        <v>120</v>
      </c>
    </row>
    <row r="274" spans="2:18">
      <c r="B274" s="569" t="s">
        <v>648</v>
      </c>
      <c r="C274" s="578">
        <f>C271+C272+C273</f>
        <v>-405</v>
      </c>
      <c r="D274" s="578">
        <f t="shared" ref="D274:R274" si="109">D271+D272+D273</f>
        <v>-405</v>
      </c>
      <c r="E274" s="578">
        <f t="shared" si="109"/>
        <v>-285</v>
      </c>
      <c r="F274" s="578">
        <f t="shared" si="109"/>
        <v>-285</v>
      </c>
      <c r="G274" s="578">
        <f t="shared" si="109"/>
        <v>-20</v>
      </c>
      <c r="H274" s="578">
        <f t="shared" si="109"/>
        <v>-20</v>
      </c>
      <c r="I274" s="578">
        <f t="shared" si="109"/>
        <v>140</v>
      </c>
      <c r="J274" s="578">
        <f t="shared" si="109"/>
        <v>420</v>
      </c>
      <c r="K274" s="578">
        <f t="shared" si="109"/>
        <v>420</v>
      </c>
      <c r="L274" s="578">
        <f t="shared" si="109"/>
        <v>420</v>
      </c>
      <c r="M274" s="578">
        <f t="shared" si="109"/>
        <v>420</v>
      </c>
      <c r="N274" s="578">
        <f t="shared" si="109"/>
        <v>420</v>
      </c>
      <c r="O274" s="578">
        <f t="shared" si="109"/>
        <v>420</v>
      </c>
      <c r="P274" s="578">
        <f t="shared" si="109"/>
        <v>420</v>
      </c>
      <c r="Q274" s="578">
        <f t="shared" si="109"/>
        <v>420</v>
      </c>
      <c r="R274" s="579">
        <f t="shared" si="109"/>
        <v>420</v>
      </c>
    </row>
    <row r="275" spans="2:18" ht="16" thickBot="1">
      <c r="B275" s="580" t="s">
        <v>649</v>
      </c>
      <c r="C275" s="581">
        <f>C274/(1+$C$2)^(C270-$C$3)</f>
        <v>-405</v>
      </c>
      <c r="D275" s="581">
        <f>D274/(1+$C$2)^(D270-$C$3)</f>
        <v>-364.05857459266912</v>
      </c>
      <c r="E275" s="581">
        <f t="shared" ref="E275:R275" si="110">E274/(1+$C$2)^(E270-$C$3)</f>
        <v>-230.29119972148825</v>
      </c>
      <c r="F275" s="581">
        <f t="shared" si="110"/>
        <v>-207.01107632553254</v>
      </c>
      <c r="G275" s="581">
        <f t="shared" si="110"/>
        <v>-13.058550118599543</v>
      </c>
      <c r="H275" s="581">
        <f t="shared" si="110"/>
        <v>-11.738462080059948</v>
      </c>
      <c r="I275" s="581">
        <f t="shared" si="110"/>
        <v>73.86275162823965</v>
      </c>
      <c r="J275" s="581">
        <f t="shared" si="110"/>
        <v>199.18791165384647</v>
      </c>
      <c r="K275" s="581">
        <f t="shared" si="110"/>
        <v>179.05201775997494</v>
      </c>
      <c r="L275" s="581">
        <f t="shared" si="110"/>
        <v>160.95166015713025</v>
      </c>
      <c r="M275" s="581">
        <f t="shared" si="110"/>
        <v>144.68106660525564</v>
      </c>
      <c r="N275" s="581">
        <f t="shared" si="110"/>
        <v>130.05526636754661</v>
      </c>
      <c r="O275" s="581">
        <f t="shared" si="110"/>
        <v>116.90798738775042</v>
      </c>
      <c r="P275" s="581">
        <f t="shared" si="110"/>
        <v>105.08976604168433</v>
      </c>
      <c r="Q275" s="581">
        <f t="shared" si="110"/>
        <v>94.466247973858472</v>
      </c>
      <c r="R275" s="582">
        <f t="shared" si="110"/>
        <v>84.916660702421055</v>
      </c>
    </row>
    <row r="276" spans="2:18" ht="15" thickBot="1"/>
    <row r="277" spans="2:18">
      <c r="B277" s="562" t="s">
        <v>650</v>
      </c>
      <c r="C277" s="583">
        <v>2009</v>
      </c>
      <c r="D277" s="583">
        <v>2010</v>
      </c>
      <c r="E277" s="583">
        <v>2011</v>
      </c>
      <c r="F277" s="583">
        <v>2012</v>
      </c>
      <c r="G277" s="583">
        <v>2013</v>
      </c>
      <c r="H277" s="583">
        <v>2014</v>
      </c>
      <c r="I277" s="583">
        <v>2015</v>
      </c>
      <c r="J277" s="583">
        <v>2016</v>
      </c>
      <c r="K277" s="583">
        <v>2017</v>
      </c>
      <c r="L277" s="583">
        <v>2018</v>
      </c>
      <c r="M277" s="583">
        <v>2019</v>
      </c>
      <c r="N277" s="583">
        <v>2020</v>
      </c>
      <c r="O277" s="583">
        <v>2021</v>
      </c>
      <c r="P277" s="583">
        <v>2022</v>
      </c>
      <c r="Q277" s="583">
        <v>2023</v>
      </c>
      <c r="R277" s="584">
        <v>2024</v>
      </c>
    </row>
    <row r="278" spans="2:18">
      <c r="B278" s="569"/>
      <c r="C278" s="578">
        <v>94.954999999999998</v>
      </c>
      <c r="D278" s="578">
        <v>94.954999999999998</v>
      </c>
      <c r="E278" s="578">
        <v>94.954999999999998</v>
      </c>
      <c r="F278" s="578">
        <v>94.954999999999998</v>
      </c>
      <c r="G278" s="578">
        <v>94.954999999999998</v>
      </c>
      <c r="H278" s="578">
        <v>94.954999999999998</v>
      </c>
      <c r="I278" s="578">
        <v>94.954999999999998</v>
      </c>
      <c r="J278" s="578">
        <v>94.954999999999998</v>
      </c>
      <c r="K278" s="578">
        <v>94.954999999999998</v>
      </c>
      <c r="L278" s="578">
        <v>94.954999999999998</v>
      </c>
      <c r="M278" s="578">
        <v>94.954999999999998</v>
      </c>
      <c r="N278" s="578">
        <v>94.954999999999998</v>
      </c>
      <c r="O278" s="578">
        <v>94.954999999999998</v>
      </c>
      <c r="P278" s="578">
        <v>94.954999999999998</v>
      </c>
      <c r="Q278" s="578">
        <v>94.954999999999998</v>
      </c>
      <c r="R278" s="579">
        <v>94.954999999999998</v>
      </c>
    </row>
    <row r="279" spans="2:18">
      <c r="B279" s="569" t="s">
        <v>648</v>
      </c>
      <c r="C279" s="585">
        <f>C246</f>
        <v>94.954999999999998</v>
      </c>
      <c r="D279" s="585">
        <f t="shared" ref="D279:R279" si="111">D246</f>
        <v>87.358599999999996</v>
      </c>
      <c r="E279" s="585">
        <f t="shared" si="111"/>
        <v>79.762199999999993</v>
      </c>
      <c r="F279" s="585">
        <f t="shared" si="111"/>
        <v>72.165800000000004</v>
      </c>
      <c r="G279" s="585">
        <f t="shared" si="111"/>
        <v>64.569399999999987</v>
      </c>
      <c r="H279" s="585">
        <f t="shared" si="111"/>
        <v>56.972999999999999</v>
      </c>
      <c r="I279" s="585">
        <f t="shared" si="111"/>
        <v>49.376600000000003</v>
      </c>
      <c r="J279" s="585">
        <f t="shared" si="111"/>
        <v>41.780199999999994</v>
      </c>
      <c r="K279" s="585">
        <f t="shared" si="111"/>
        <v>34.183799999999998</v>
      </c>
      <c r="L279" s="585">
        <f t="shared" si="111"/>
        <v>26.587400000000002</v>
      </c>
      <c r="M279" s="585">
        <f t="shared" si="111"/>
        <v>18.990999999999996</v>
      </c>
      <c r="N279" s="585">
        <f t="shared" si="111"/>
        <v>15.82583333333333</v>
      </c>
      <c r="O279" s="585">
        <f t="shared" si="111"/>
        <v>12.660666666666664</v>
      </c>
      <c r="P279" s="585">
        <f t="shared" si="111"/>
        <v>9.4954999999999981</v>
      </c>
      <c r="Q279" s="585">
        <f t="shared" si="111"/>
        <v>6.330333333333332</v>
      </c>
      <c r="R279" s="585">
        <f t="shared" si="111"/>
        <v>3.165166666666666</v>
      </c>
    </row>
    <row r="280" spans="2:18" ht="16" thickBot="1">
      <c r="B280" s="580" t="s">
        <v>651</v>
      </c>
      <c r="C280" s="581">
        <f>C279/(1+$C$2)^(C277-$C$3)</f>
        <v>94.954999999999998</v>
      </c>
      <c r="D280" s="581">
        <f t="shared" ref="D280:R280" si="112">D279/(1+$C$2)^(D277-$C$3)</f>
        <v>78.527524430644789</v>
      </c>
      <c r="E280" s="581">
        <f t="shared" si="112"/>
        <v>64.450992036579962</v>
      </c>
      <c r="F280" s="581">
        <f t="shared" si="112"/>
        <v>52.417964673309186</v>
      </c>
      <c r="G280" s="581">
        <f t="shared" si="112"/>
        <v>42.159137301395056</v>
      </c>
      <c r="H280" s="581">
        <f t="shared" si="112"/>
        <v>33.438770004362773</v>
      </c>
      <c r="I280" s="581">
        <f t="shared" si="112"/>
        <v>26.050653871763842</v>
      </c>
      <c r="J280" s="581">
        <f t="shared" si="112"/>
        <v>19.814549491619132</v>
      </c>
      <c r="K280" s="581">
        <f t="shared" si="112"/>
        <v>14.573043725484361</v>
      </c>
      <c r="L280" s="581">
        <f t="shared" si="112"/>
        <v>10.188776593480203</v>
      </c>
      <c r="M280" s="581">
        <f t="shared" si="112"/>
        <v>6.5419955616676413</v>
      </c>
      <c r="N280" s="581">
        <f t="shared" si="112"/>
        <v>4.900554689654915</v>
      </c>
      <c r="O280" s="581">
        <f t="shared" si="112"/>
        <v>3.5241263309218538</v>
      </c>
      <c r="P280" s="581">
        <f t="shared" si="112"/>
        <v>2.3759044605924129</v>
      </c>
      <c r="Q280" s="581">
        <f t="shared" si="112"/>
        <v>1.4238162819615443</v>
      </c>
      <c r="R280" s="582">
        <f t="shared" si="112"/>
        <v>0.63994139023796737</v>
      </c>
    </row>
    <row r="281" spans="2:18" ht="15" thickBot="1">
      <c r="C281" s="587"/>
      <c r="D281" s="587"/>
      <c r="E281" s="587"/>
      <c r="F281" s="587"/>
      <c r="G281" s="587"/>
      <c r="H281" s="587"/>
      <c r="I281" s="587"/>
      <c r="J281" s="587"/>
      <c r="K281" s="587"/>
      <c r="L281" s="587"/>
      <c r="M281" s="587"/>
      <c r="N281" s="587"/>
      <c r="O281" s="587"/>
      <c r="P281" s="587"/>
      <c r="Q281" s="587"/>
      <c r="R281" s="587"/>
    </row>
    <row r="282" spans="2:18">
      <c r="B282" s="562" t="s">
        <v>652</v>
      </c>
      <c r="C282" s="583">
        <v>2009</v>
      </c>
      <c r="D282" s="583">
        <v>2010</v>
      </c>
      <c r="E282" s="583">
        <v>2011</v>
      </c>
      <c r="F282" s="583">
        <v>2012</v>
      </c>
      <c r="G282" s="583">
        <v>2013</v>
      </c>
      <c r="H282" s="583">
        <v>2014</v>
      </c>
      <c r="I282" s="583">
        <v>2015</v>
      </c>
      <c r="J282" s="583">
        <v>2016</v>
      </c>
      <c r="K282" s="583">
        <v>2017</v>
      </c>
      <c r="L282" s="583">
        <v>2018</v>
      </c>
      <c r="M282" s="583">
        <v>2019</v>
      </c>
      <c r="N282" s="583">
        <v>2020</v>
      </c>
      <c r="O282" s="583">
        <v>2021</v>
      </c>
      <c r="P282" s="583">
        <v>2022</v>
      </c>
      <c r="Q282" s="583">
        <v>2023</v>
      </c>
      <c r="R282" s="584">
        <v>2024</v>
      </c>
    </row>
    <row r="283" spans="2:18">
      <c r="B283" s="588" t="s">
        <v>653</v>
      </c>
      <c r="C283" s="589">
        <f>V53</f>
        <v>-4.6523076923076925</v>
      </c>
      <c r="D283" s="589">
        <f>W53</f>
        <v>-16.728024760770847</v>
      </c>
      <c r="E283" s="589">
        <f>X53</f>
        <v>-1.2530824794561952</v>
      </c>
      <c r="F283" s="589"/>
      <c r="G283" s="589"/>
      <c r="H283" s="589"/>
      <c r="I283" s="589"/>
      <c r="J283" s="589"/>
      <c r="K283" s="589"/>
      <c r="L283" s="578"/>
      <c r="M283" s="578"/>
      <c r="N283" s="578"/>
      <c r="O283" s="578"/>
      <c r="P283" s="578"/>
      <c r="Q283" s="578"/>
      <c r="R283" s="579"/>
    </row>
    <row r="284" spans="2:18">
      <c r="B284" s="590" t="s">
        <v>654</v>
      </c>
      <c r="C284" s="578"/>
      <c r="D284" s="578"/>
      <c r="E284" s="578"/>
      <c r="F284" s="578"/>
      <c r="G284" s="585"/>
      <c r="H284" s="585"/>
      <c r="I284" s="585"/>
      <c r="J284" s="585"/>
      <c r="K284" s="585"/>
      <c r="L284" s="585"/>
      <c r="M284" s="585"/>
      <c r="N284" s="585"/>
      <c r="O284" s="585"/>
      <c r="P284" s="585"/>
      <c r="Q284" s="585"/>
      <c r="R284" s="586"/>
    </row>
    <row r="285" spans="2:18">
      <c r="B285" s="592" t="s">
        <v>648</v>
      </c>
      <c r="C285" s="593">
        <f t="shared" ref="C285:R285" si="113">V63</f>
        <v>-4.6523076923076925</v>
      </c>
      <c r="D285" s="593">
        <f t="shared" si="113"/>
        <v>-18.60923076923077</v>
      </c>
      <c r="E285" s="593">
        <f t="shared" si="113"/>
        <v>-1.5507692307692307</v>
      </c>
      <c r="F285" s="593">
        <f t="shared" si="113"/>
        <v>0</v>
      </c>
      <c r="G285" s="593">
        <f t="shared" si="113"/>
        <v>0</v>
      </c>
      <c r="H285" s="593">
        <f t="shared" si="113"/>
        <v>0</v>
      </c>
      <c r="I285" s="593">
        <f t="shared" si="113"/>
        <v>0</v>
      </c>
      <c r="J285" s="593">
        <f t="shared" si="113"/>
        <v>0</v>
      </c>
      <c r="K285" s="593">
        <f t="shared" si="113"/>
        <v>0</v>
      </c>
      <c r="L285" s="593">
        <f t="shared" si="113"/>
        <v>0</v>
      </c>
      <c r="M285" s="593">
        <f t="shared" si="113"/>
        <v>0</v>
      </c>
      <c r="N285" s="593">
        <f t="shared" si="113"/>
        <v>0</v>
      </c>
      <c r="O285" s="593">
        <f t="shared" si="113"/>
        <v>0</v>
      </c>
      <c r="P285" s="593">
        <f t="shared" si="113"/>
        <v>0</v>
      </c>
      <c r="Q285" s="593">
        <f t="shared" si="113"/>
        <v>0</v>
      </c>
      <c r="R285" s="593">
        <f t="shared" si="113"/>
        <v>0</v>
      </c>
    </row>
    <row r="286" spans="2:18" ht="16" thickBot="1">
      <c r="B286" s="597" t="str">
        <f>B253</f>
        <v>CF actualisés</v>
      </c>
      <c r="C286" s="598">
        <f t="shared" ref="C286:R286" si="114">C283+C284</f>
        <v>-4.6523076923076925</v>
      </c>
      <c r="D286" s="598">
        <f t="shared" si="114"/>
        <v>-16.728024760770847</v>
      </c>
      <c r="E286" s="598">
        <f t="shared" si="114"/>
        <v>-1.2530824794561952</v>
      </c>
      <c r="F286" s="598">
        <f t="shared" si="114"/>
        <v>0</v>
      </c>
      <c r="G286" s="598">
        <f t="shared" si="114"/>
        <v>0</v>
      </c>
      <c r="H286" s="598">
        <f t="shared" si="114"/>
        <v>0</v>
      </c>
      <c r="I286" s="598">
        <f t="shared" si="114"/>
        <v>0</v>
      </c>
      <c r="J286" s="598">
        <f t="shared" si="114"/>
        <v>0</v>
      </c>
      <c r="K286" s="598">
        <f t="shared" si="114"/>
        <v>0</v>
      </c>
      <c r="L286" s="598">
        <f t="shared" si="114"/>
        <v>0</v>
      </c>
      <c r="M286" s="598">
        <f t="shared" si="114"/>
        <v>0</v>
      </c>
      <c r="N286" s="598">
        <f t="shared" si="114"/>
        <v>0</v>
      </c>
      <c r="O286" s="598">
        <f t="shared" si="114"/>
        <v>0</v>
      </c>
      <c r="P286" s="598">
        <f t="shared" si="114"/>
        <v>0</v>
      </c>
      <c r="Q286" s="598">
        <f t="shared" si="114"/>
        <v>0</v>
      </c>
      <c r="R286" s="599">
        <f t="shared" si="114"/>
        <v>0</v>
      </c>
    </row>
    <row r="287" spans="2:18" ht="16" thickBot="1">
      <c r="C287" s="603"/>
      <c r="D287" s="603"/>
      <c r="E287" s="603"/>
      <c r="F287" s="603"/>
      <c r="G287" s="603"/>
      <c r="H287" s="603"/>
      <c r="I287" s="603"/>
      <c r="J287" s="603"/>
      <c r="K287" s="603"/>
      <c r="L287" s="603"/>
      <c r="M287" s="603"/>
      <c r="N287" s="603"/>
      <c r="O287" s="603"/>
      <c r="P287" s="603"/>
      <c r="Q287" s="603"/>
      <c r="R287" s="603"/>
    </row>
    <row r="288" spans="2:18" ht="15.5">
      <c r="B288" s="607"/>
      <c r="C288" s="608">
        <v>2009</v>
      </c>
      <c r="D288" s="608">
        <v>2010</v>
      </c>
      <c r="E288" s="608">
        <v>2011</v>
      </c>
      <c r="F288" s="608">
        <v>2012</v>
      </c>
      <c r="G288" s="608">
        <v>2013</v>
      </c>
      <c r="H288" s="608">
        <v>2014</v>
      </c>
      <c r="I288" s="608">
        <v>2015</v>
      </c>
      <c r="J288" s="608">
        <v>2016</v>
      </c>
      <c r="K288" s="608">
        <v>2017</v>
      </c>
      <c r="L288" s="608">
        <v>2018</v>
      </c>
      <c r="M288" s="608">
        <v>2019</v>
      </c>
      <c r="N288" s="608">
        <v>2020</v>
      </c>
      <c r="O288" s="608">
        <v>2021</v>
      </c>
      <c r="P288" s="608">
        <v>2022</v>
      </c>
      <c r="Q288" s="608">
        <v>2023</v>
      </c>
      <c r="R288" s="609">
        <v>2024</v>
      </c>
    </row>
    <row r="289" spans="2:18" ht="15" thickBot="1">
      <c r="B289" s="610" t="s">
        <v>656</v>
      </c>
      <c r="C289" s="611">
        <f t="shared" ref="C289:R289" si="115">C286+C280+C275</f>
        <v>-314.69730769230767</v>
      </c>
      <c r="D289" s="611">
        <f t="shared" si="115"/>
        <v>-302.25907492279521</v>
      </c>
      <c r="E289" s="611">
        <f t="shared" si="115"/>
        <v>-167.09329016436448</v>
      </c>
      <c r="F289" s="611">
        <f t="shared" si="115"/>
        <v>-154.59311165222334</v>
      </c>
      <c r="G289" s="611">
        <f t="shared" si="115"/>
        <v>29.100587182795515</v>
      </c>
      <c r="H289" s="611">
        <f t="shared" si="115"/>
        <v>21.700307924302827</v>
      </c>
      <c r="I289" s="611">
        <f t="shared" si="115"/>
        <v>99.913405500003492</v>
      </c>
      <c r="J289" s="611">
        <f t="shared" si="115"/>
        <v>219.00246114546559</v>
      </c>
      <c r="K289" s="611">
        <f t="shared" si="115"/>
        <v>193.6250614854593</v>
      </c>
      <c r="L289" s="611">
        <f t="shared" si="115"/>
        <v>171.14043675061046</v>
      </c>
      <c r="M289" s="611">
        <f t="shared" si="115"/>
        <v>151.22306216692328</v>
      </c>
      <c r="N289" s="611">
        <f t="shared" si="115"/>
        <v>134.95582105720152</v>
      </c>
      <c r="O289" s="611">
        <f t="shared" si="115"/>
        <v>120.43211371867228</v>
      </c>
      <c r="P289" s="611">
        <f t="shared" si="115"/>
        <v>107.46567050227674</v>
      </c>
      <c r="Q289" s="611">
        <f t="shared" si="115"/>
        <v>95.890064255820022</v>
      </c>
      <c r="R289" s="612">
        <f t="shared" si="115"/>
        <v>85.55660209265902</v>
      </c>
    </row>
    <row r="290" spans="2:18" ht="15" thickBot="1">
      <c r="B290" s="613" t="str">
        <f>B257</f>
        <v>Trésorerie</v>
      </c>
      <c r="C290" s="614">
        <f>C294+C295+C285+C279+C274</f>
        <v>-63.717307692307656</v>
      </c>
      <c r="D290" s="615">
        <f>C290+D285+D279+D274</f>
        <v>-399.96793846153844</v>
      </c>
      <c r="E290" s="615">
        <f t="shared" ref="E290:R290" si="116">D290+E285+E279+E274</f>
        <v>-606.75650769230765</v>
      </c>
      <c r="F290" s="615">
        <f t="shared" si="116"/>
        <v>-819.59070769230766</v>
      </c>
      <c r="G290" s="615">
        <f t="shared" si="116"/>
        <v>-775.02130769230769</v>
      </c>
      <c r="H290" s="615">
        <f t="shared" si="116"/>
        <v>-738.04830769230773</v>
      </c>
      <c r="I290" s="615">
        <f t="shared" si="116"/>
        <v>-548.67170769230768</v>
      </c>
      <c r="J290" s="615">
        <f t="shared" si="116"/>
        <v>-86.891507692307698</v>
      </c>
      <c r="K290" s="615">
        <f t="shared" si="116"/>
        <v>367.29229230769232</v>
      </c>
      <c r="L290" s="615">
        <f t="shared" si="116"/>
        <v>813.87969230769227</v>
      </c>
      <c r="M290" s="615">
        <f t="shared" si="116"/>
        <v>1252.8706923076923</v>
      </c>
      <c r="N290" s="615">
        <f t="shared" si="116"/>
        <v>1688.6965256410256</v>
      </c>
      <c r="O290" s="615">
        <f t="shared" si="116"/>
        <v>2121.3571923076925</v>
      </c>
      <c r="P290" s="615">
        <f t="shared" si="116"/>
        <v>2550.8526923076925</v>
      </c>
      <c r="Q290" s="615">
        <f t="shared" si="116"/>
        <v>2977.1830256410258</v>
      </c>
      <c r="R290" s="615">
        <f t="shared" si="116"/>
        <v>3400.3481923076924</v>
      </c>
    </row>
    <row r="291" spans="2:18" ht="15" thickBot="1"/>
    <row r="292" spans="2:18">
      <c r="B292" s="1039" t="s">
        <v>658</v>
      </c>
      <c r="C292" s="1040"/>
    </row>
    <row r="293" spans="2:18" ht="15.5">
      <c r="B293" s="569" t="s">
        <v>360</v>
      </c>
      <c r="C293" s="617">
        <f>SUM(C289:R289)</f>
        <v>491.36280935049916</v>
      </c>
    </row>
    <row r="294" spans="2:18" ht="15.5">
      <c r="B294" s="569" t="s">
        <v>659</v>
      </c>
      <c r="C294" s="618">
        <f>155.21</f>
        <v>155.21</v>
      </c>
    </row>
    <row r="295" spans="2:18" ht="15.5">
      <c r="B295" s="569" t="s">
        <v>660</v>
      </c>
      <c r="C295" s="618">
        <f>95.77</f>
        <v>95.77</v>
      </c>
    </row>
    <row r="296" spans="2:18" ht="16" thickBot="1">
      <c r="B296" s="619" t="s">
        <v>661</v>
      </c>
      <c r="C296" s="620">
        <f>SUM(C293:C295)</f>
        <v>742.34280935049912</v>
      </c>
    </row>
    <row r="298" spans="2:18" ht="15.5">
      <c r="B298" s="10" t="s">
        <v>662</v>
      </c>
      <c r="C298" s="621">
        <v>15887450</v>
      </c>
    </row>
    <row r="299" spans="2:18">
      <c r="B299" s="10" t="s">
        <v>663</v>
      </c>
      <c r="C299" s="646">
        <f>(C296/C298)*1000000</f>
        <v>46.725107512564897</v>
      </c>
    </row>
    <row r="301" spans="2:18">
      <c r="B301" s="10" t="s">
        <v>683</v>
      </c>
    </row>
    <row r="302" spans="2:18" ht="15" thickBot="1">
      <c r="B302" s="1043" t="s">
        <v>684</v>
      </c>
      <c r="C302" s="1043"/>
      <c r="D302" s="1043"/>
      <c r="E302" s="1043"/>
      <c r="F302" s="1043"/>
    </row>
    <row r="303" spans="2:18">
      <c r="B303" s="562" t="s">
        <v>638</v>
      </c>
      <c r="C303" s="563">
        <v>2009</v>
      </c>
      <c r="D303" s="563">
        <v>2010</v>
      </c>
      <c r="E303" s="563">
        <v>2011</v>
      </c>
      <c r="F303" s="563">
        <v>2012</v>
      </c>
      <c r="G303" s="563">
        <v>2013</v>
      </c>
      <c r="H303" s="563">
        <v>2014</v>
      </c>
      <c r="I303" s="563">
        <v>2015</v>
      </c>
      <c r="J303" s="563">
        <v>2016</v>
      </c>
      <c r="K303" s="563">
        <v>2017</v>
      </c>
      <c r="L303" s="563">
        <v>2018</v>
      </c>
      <c r="M303" s="563">
        <v>2019</v>
      </c>
      <c r="N303" s="563">
        <v>2020</v>
      </c>
      <c r="O303" s="563">
        <v>2021</v>
      </c>
      <c r="P303" s="563">
        <v>2022</v>
      </c>
      <c r="Q303" s="563">
        <v>2023</v>
      </c>
      <c r="R303" s="564">
        <v>2024</v>
      </c>
    </row>
    <row r="304" spans="2:18">
      <c r="B304" s="569" t="s">
        <v>640</v>
      </c>
      <c r="C304" s="570">
        <v>-105</v>
      </c>
      <c r="D304" s="570">
        <v>-105</v>
      </c>
      <c r="E304" s="570">
        <v>-105</v>
      </c>
      <c r="F304" s="570">
        <v>-105</v>
      </c>
      <c r="G304" s="570">
        <v>-95</v>
      </c>
      <c r="H304" s="570">
        <v>-95</v>
      </c>
      <c r="I304" s="570">
        <v>-95</v>
      </c>
      <c r="J304" s="571"/>
      <c r="K304" s="571"/>
      <c r="L304" s="571"/>
      <c r="M304" s="571"/>
      <c r="N304" s="571"/>
      <c r="O304" s="571"/>
      <c r="P304" s="571"/>
      <c r="Q304" s="571"/>
      <c r="R304" s="572"/>
    </row>
    <row r="305" spans="2:18">
      <c r="B305" s="569" t="s">
        <v>642</v>
      </c>
      <c r="C305" s="577" t="s">
        <v>643</v>
      </c>
      <c r="D305" s="577" t="s">
        <v>643</v>
      </c>
      <c r="E305" s="577" t="s">
        <v>643</v>
      </c>
      <c r="F305" s="577" t="s">
        <v>643</v>
      </c>
      <c r="G305" s="577" t="s">
        <v>644</v>
      </c>
      <c r="H305" s="577" t="s">
        <v>644</v>
      </c>
      <c r="I305" s="578"/>
      <c r="J305" s="578"/>
      <c r="K305" s="578"/>
      <c r="L305" s="578"/>
      <c r="M305" s="578"/>
      <c r="N305" s="578"/>
      <c r="O305" s="578"/>
      <c r="P305" s="578"/>
      <c r="Q305" s="578"/>
      <c r="R305" s="579"/>
    </row>
    <row r="306" spans="2:18">
      <c r="B306" s="569" t="s">
        <v>645</v>
      </c>
      <c r="C306" s="577" t="s">
        <v>646</v>
      </c>
      <c r="D306" s="577" t="s">
        <v>646</v>
      </c>
      <c r="E306" s="577" t="s">
        <v>647</v>
      </c>
      <c r="F306" s="577" t="s">
        <v>647</v>
      </c>
      <c r="G306" s="578">
        <v>120</v>
      </c>
      <c r="H306" s="578">
        <v>120</v>
      </c>
      <c r="I306" s="578">
        <v>120</v>
      </c>
      <c r="J306" s="578">
        <v>120</v>
      </c>
      <c r="K306" s="578">
        <v>120</v>
      </c>
      <c r="L306" s="578">
        <v>120</v>
      </c>
      <c r="M306" s="578">
        <v>120</v>
      </c>
      <c r="N306" s="578">
        <v>120</v>
      </c>
      <c r="O306" s="578">
        <v>120</v>
      </c>
      <c r="P306" s="578">
        <v>120</v>
      </c>
      <c r="Q306" s="578">
        <v>120</v>
      </c>
      <c r="R306" s="579">
        <v>120</v>
      </c>
    </row>
    <row r="307" spans="2:18">
      <c r="B307" s="569" t="s">
        <v>648</v>
      </c>
      <c r="C307" s="578">
        <f>C304+C305+C306</f>
        <v>-405</v>
      </c>
      <c r="D307" s="578">
        <f t="shared" ref="D307:R307" si="117">D304+D305+D306</f>
        <v>-405</v>
      </c>
      <c r="E307" s="578">
        <f t="shared" si="117"/>
        <v>-285</v>
      </c>
      <c r="F307" s="578">
        <f t="shared" si="117"/>
        <v>-285</v>
      </c>
      <c r="G307" s="578">
        <f t="shared" si="117"/>
        <v>-20</v>
      </c>
      <c r="H307" s="578">
        <f t="shared" si="117"/>
        <v>-20</v>
      </c>
      <c r="I307" s="578">
        <f t="shared" si="117"/>
        <v>25</v>
      </c>
      <c r="J307" s="578">
        <f t="shared" si="117"/>
        <v>120</v>
      </c>
      <c r="K307" s="578">
        <f t="shared" si="117"/>
        <v>120</v>
      </c>
      <c r="L307" s="578">
        <f t="shared" si="117"/>
        <v>120</v>
      </c>
      <c r="M307" s="578">
        <f t="shared" si="117"/>
        <v>120</v>
      </c>
      <c r="N307" s="578">
        <f t="shared" si="117"/>
        <v>120</v>
      </c>
      <c r="O307" s="578">
        <f t="shared" si="117"/>
        <v>120</v>
      </c>
      <c r="P307" s="578">
        <f t="shared" si="117"/>
        <v>120</v>
      </c>
      <c r="Q307" s="578">
        <f t="shared" si="117"/>
        <v>120</v>
      </c>
      <c r="R307" s="579">
        <f t="shared" si="117"/>
        <v>120</v>
      </c>
    </row>
    <row r="308" spans="2:18" ht="16" thickBot="1">
      <c r="B308" s="580" t="s">
        <v>649</v>
      </c>
      <c r="C308" s="581">
        <f>C307/(1+$C$2)^(C303-$C$3)</f>
        <v>-405</v>
      </c>
      <c r="D308" s="581">
        <f>D307/(1+$C$2)^(D303-$C$3)</f>
        <v>-364.05857459266912</v>
      </c>
      <c r="E308" s="581">
        <f t="shared" ref="E308:R308" si="118">E307/(1+$C$2)^(E303-$C$3)</f>
        <v>-230.29119972148825</v>
      </c>
      <c r="F308" s="581">
        <f t="shared" si="118"/>
        <v>-207.01107632553254</v>
      </c>
      <c r="G308" s="581">
        <f t="shared" si="118"/>
        <v>-13.058550118599543</v>
      </c>
      <c r="H308" s="581">
        <f t="shared" si="118"/>
        <v>-11.738462080059948</v>
      </c>
      <c r="I308" s="581">
        <f t="shared" si="118"/>
        <v>13.189777076471366</v>
      </c>
      <c r="J308" s="581">
        <f t="shared" si="118"/>
        <v>56.910831901098987</v>
      </c>
      <c r="K308" s="581">
        <f t="shared" si="118"/>
        <v>51.157719359992846</v>
      </c>
      <c r="L308" s="581">
        <f t="shared" si="118"/>
        <v>45.986188616322934</v>
      </c>
      <c r="M308" s="581">
        <f t="shared" si="118"/>
        <v>41.337447601501609</v>
      </c>
      <c r="N308" s="581">
        <f t="shared" si="118"/>
        <v>37.158647533584748</v>
      </c>
      <c r="O308" s="581">
        <f t="shared" si="118"/>
        <v>33.402282110785833</v>
      </c>
      <c r="P308" s="581">
        <f t="shared" si="118"/>
        <v>30.025647440481237</v>
      </c>
      <c r="Q308" s="581">
        <f t="shared" si="118"/>
        <v>26.990356563959562</v>
      </c>
      <c r="R308" s="582">
        <f t="shared" si="118"/>
        <v>24.261903057834587</v>
      </c>
    </row>
    <row r="309" spans="2:18" ht="15" thickBot="1"/>
    <row r="310" spans="2:18">
      <c r="B310" s="562" t="s">
        <v>650</v>
      </c>
      <c r="C310" s="583">
        <v>2009</v>
      </c>
      <c r="D310" s="583">
        <v>2010</v>
      </c>
      <c r="E310" s="583">
        <v>2011</v>
      </c>
      <c r="F310" s="583">
        <v>2012</v>
      </c>
      <c r="G310" s="583">
        <v>2013</v>
      </c>
      <c r="H310" s="583">
        <v>2014</v>
      </c>
      <c r="I310" s="583">
        <v>2015</v>
      </c>
      <c r="J310" s="583">
        <v>2016</v>
      </c>
      <c r="K310" s="583">
        <v>2017</v>
      </c>
      <c r="L310" s="583">
        <v>2018</v>
      </c>
      <c r="M310" s="583">
        <v>2019</v>
      </c>
      <c r="N310" s="583">
        <v>2020</v>
      </c>
      <c r="O310" s="583">
        <v>2021</v>
      </c>
      <c r="P310" s="583">
        <v>2022</v>
      </c>
      <c r="Q310" s="583">
        <v>2023</v>
      </c>
      <c r="R310" s="584">
        <v>2024</v>
      </c>
    </row>
    <row r="311" spans="2:18">
      <c r="B311" s="569"/>
      <c r="C311" s="578">
        <v>94.954999999999998</v>
      </c>
      <c r="D311" s="578">
        <v>94.954999999999998</v>
      </c>
      <c r="E311" s="578">
        <v>94.954999999999998</v>
      </c>
      <c r="F311" s="578">
        <v>94.954999999999998</v>
      </c>
      <c r="G311" s="578">
        <v>94.954999999999998</v>
      </c>
      <c r="H311" s="578">
        <v>94.954999999999998</v>
      </c>
      <c r="I311" s="578">
        <v>94.954999999999998</v>
      </c>
      <c r="J311" s="578">
        <v>94.954999999999998</v>
      </c>
      <c r="K311" s="578">
        <v>94.954999999999998</v>
      </c>
      <c r="L311" s="578">
        <v>94.954999999999998</v>
      </c>
      <c r="M311" s="578">
        <v>94.954999999999998</v>
      </c>
      <c r="N311" s="578">
        <v>94.954999999999998</v>
      </c>
      <c r="O311" s="578">
        <v>94.954999999999998</v>
      </c>
      <c r="P311" s="578">
        <v>94.954999999999998</v>
      </c>
      <c r="Q311" s="578">
        <v>94.954999999999998</v>
      </c>
      <c r="R311" s="579">
        <v>94.954999999999998</v>
      </c>
    </row>
    <row r="312" spans="2:18">
      <c r="B312" s="569" t="s">
        <v>648</v>
      </c>
      <c r="C312" s="585">
        <f>C246</f>
        <v>94.954999999999998</v>
      </c>
      <c r="D312" s="585">
        <f t="shared" ref="D312:R312" si="119">D246</f>
        <v>87.358599999999996</v>
      </c>
      <c r="E312" s="585">
        <f t="shared" si="119"/>
        <v>79.762199999999993</v>
      </c>
      <c r="F312" s="585">
        <f t="shared" si="119"/>
        <v>72.165800000000004</v>
      </c>
      <c r="G312" s="585">
        <f t="shared" si="119"/>
        <v>64.569399999999987</v>
      </c>
      <c r="H312" s="585">
        <f t="shared" si="119"/>
        <v>56.972999999999999</v>
      </c>
      <c r="I312" s="585">
        <f t="shared" si="119"/>
        <v>49.376600000000003</v>
      </c>
      <c r="J312" s="585">
        <f t="shared" si="119"/>
        <v>41.780199999999994</v>
      </c>
      <c r="K312" s="585">
        <f t="shared" si="119"/>
        <v>34.183799999999998</v>
      </c>
      <c r="L312" s="585">
        <f t="shared" si="119"/>
        <v>26.587400000000002</v>
      </c>
      <c r="M312" s="585">
        <f t="shared" si="119"/>
        <v>18.990999999999996</v>
      </c>
      <c r="N312" s="585">
        <f t="shared" si="119"/>
        <v>15.82583333333333</v>
      </c>
      <c r="O312" s="585">
        <f t="shared" si="119"/>
        <v>12.660666666666664</v>
      </c>
      <c r="P312" s="585">
        <f t="shared" si="119"/>
        <v>9.4954999999999981</v>
      </c>
      <c r="Q312" s="585">
        <f t="shared" si="119"/>
        <v>6.330333333333332</v>
      </c>
      <c r="R312" s="585">
        <f t="shared" si="119"/>
        <v>3.165166666666666</v>
      </c>
    </row>
    <row r="313" spans="2:18" ht="16" thickBot="1">
      <c r="B313" s="580" t="s">
        <v>651</v>
      </c>
      <c r="C313" s="581">
        <f>C312/(1+$C$2)^(C310-$C$3)</f>
        <v>94.954999999999998</v>
      </c>
      <c r="D313" s="581">
        <f t="shared" ref="D313:R313" si="120">D312/(1+$C$2)^(D310-$C$3)</f>
        <v>78.527524430644789</v>
      </c>
      <c r="E313" s="581">
        <f t="shared" si="120"/>
        <v>64.450992036579962</v>
      </c>
      <c r="F313" s="581">
        <f t="shared" si="120"/>
        <v>52.417964673309186</v>
      </c>
      <c r="G313" s="581">
        <f t="shared" si="120"/>
        <v>42.159137301395056</v>
      </c>
      <c r="H313" s="581">
        <f t="shared" si="120"/>
        <v>33.438770004362773</v>
      </c>
      <c r="I313" s="581">
        <f t="shared" si="120"/>
        <v>26.050653871763842</v>
      </c>
      <c r="J313" s="581">
        <f t="shared" si="120"/>
        <v>19.814549491619132</v>
      </c>
      <c r="K313" s="581">
        <f t="shared" si="120"/>
        <v>14.573043725484361</v>
      </c>
      <c r="L313" s="581">
        <f t="shared" si="120"/>
        <v>10.188776593480203</v>
      </c>
      <c r="M313" s="581">
        <f t="shared" si="120"/>
        <v>6.5419955616676413</v>
      </c>
      <c r="N313" s="581">
        <f t="shared" si="120"/>
        <v>4.900554689654915</v>
      </c>
      <c r="O313" s="581">
        <f t="shared" si="120"/>
        <v>3.5241263309218538</v>
      </c>
      <c r="P313" s="581">
        <f t="shared" si="120"/>
        <v>2.3759044605924129</v>
      </c>
      <c r="Q313" s="581">
        <f t="shared" si="120"/>
        <v>1.4238162819615443</v>
      </c>
      <c r="R313" s="582">
        <f t="shared" si="120"/>
        <v>0.63994139023796737</v>
      </c>
    </row>
    <row r="314" spans="2:18" ht="15" thickBot="1">
      <c r="C314" s="587"/>
      <c r="D314" s="587"/>
      <c r="E314" s="587"/>
      <c r="F314" s="587"/>
      <c r="G314" s="587"/>
      <c r="H314" s="587"/>
      <c r="I314" s="587"/>
      <c r="J314" s="587"/>
      <c r="K314" s="587"/>
      <c r="L314" s="587"/>
      <c r="M314" s="587"/>
      <c r="N314" s="587"/>
      <c r="O314" s="587"/>
      <c r="P314" s="587"/>
      <c r="Q314" s="587"/>
      <c r="R314" s="587"/>
    </row>
    <row r="315" spans="2:18">
      <c r="B315" s="562" t="s">
        <v>652</v>
      </c>
      <c r="C315" s="583">
        <v>2009</v>
      </c>
      <c r="D315" s="583">
        <v>2010</v>
      </c>
      <c r="E315" s="583">
        <v>2011</v>
      </c>
      <c r="F315" s="583">
        <v>2012</v>
      </c>
      <c r="G315" s="583">
        <v>2013</v>
      </c>
      <c r="H315" s="583">
        <v>2014</v>
      </c>
      <c r="I315" s="583">
        <v>2015</v>
      </c>
      <c r="J315" s="583">
        <v>2016</v>
      </c>
      <c r="K315" s="583">
        <v>2017</v>
      </c>
      <c r="L315" s="583">
        <v>2018</v>
      </c>
      <c r="M315" s="583">
        <v>2019</v>
      </c>
      <c r="N315" s="583">
        <v>2020</v>
      </c>
      <c r="O315" s="583">
        <v>2021</v>
      </c>
      <c r="P315" s="583">
        <v>2022</v>
      </c>
      <c r="Q315" s="583">
        <v>2023</v>
      </c>
      <c r="R315" s="584">
        <v>2024</v>
      </c>
    </row>
    <row r="316" spans="2:18">
      <c r="B316" s="588" t="s">
        <v>653</v>
      </c>
      <c r="C316" s="589">
        <f>'[4]Scénario dossier 5'!C222</f>
        <v>-4.6523076923076925</v>
      </c>
      <c r="D316" s="589">
        <f>'[4]Scénario dossier 5'!D222</f>
        <v>-16.730245121871008</v>
      </c>
      <c r="E316" s="589">
        <f>'[4]Scénario dossier 5'!E222</f>
        <v>-37.470183940449651</v>
      </c>
      <c r="F316" s="589">
        <f>'[4]Scénario dossier 5'!F222</f>
        <v>-29.238147042758506</v>
      </c>
      <c r="G316" s="589">
        <f>'[4]Scénario dossier 5'!G222</f>
        <v>-16.883669865676229</v>
      </c>
      <c r="H316" s="589">
        <f>'[4]Scénario dossier 5'!H222</f>
        <v>5.2717190445193616</v>
      </c>
      <c r="I316" s="589">
        <f>'[4]Scénario dossier 5'!I222</f>
        <v>4.7394302817864542</v>
      </c>
      <c r="J316" s="589">
        <f>'[4]Scénario dossier 5'!J222</f>
        <v>3.4772756366300466</v>
      </c>
      <c r="K316" s="589">
        <f>'[4]Scénario dossier 5'!K222</f>
        <v>1.1888263311787912</v>
      </c>
      <c r="L316" s="589">
        <f>'[4]Scénario dossier 5'!L222</f>
        <v>0</v>
      </c>
      <c r="M316" s="589">
        <f>'[4]Scénario dossier 5'!M222</f>
        <v>0</v>
      </c>
      <c r="N316" s="589">
        <f>'[4]Scénario dossier 5'!N222</f>
        <v>0</v>
      </c>
      <c r="O316" s="589">
        <f>'[4]Scénario dossier 5'!O222</f>
        <v>0</v>
      </c>
      <c r="P316" s="589">
        <f>'[4]Scénario dossier 5'!P222</f>
        <v>0</v>
      </c>
      <c r="Q316" s="589">
        <f>'[4]Scénario dossier 5'!Q222</f>
        <v>0</v>
      </c>
      <c r="R316" s="626">
        <f>'[4]Scénario dossier 5'!R222</f>
        <v>0</v>
      </c>
    </row>
    <row r="317" spans="2:18">
      <c r="B317" s="590" t="s">
        <v>654</v>
      </c>
      <c r="C317" s="589">
        <f>'[4]Scénario dossier 5'!C223</f>
        <v>0</v>
      </c>
      <c r="D317" s="589">
        <f>'[4]Scénario dossier 5'!D223</f>
        <v>0</v>
      </c>
      <c r="E317" s="589">
        <f>'[4]Scénario dossier 5'!E223</f>
        <v>0</v>
      </c>
      <c r="F317" s="589">
        <f>'[4]Scénario dossier 5'!F223</f>
        <v>0</v>
      </c>
      <c r="G317" s="585">
        <f>'[4]Scénario dossier 5'!G223</f>
        <v>-13.369095209150121</v>
      </c>
      <c r="H317" s="585">
        <f>'[4]Scénario dossier 5'!H223</f>
        <v>32.956816369460412</v>
      </c>
      <c r="I317" s="585">
        <f>'[4]Scénario dossier 5'!I223</f>
        <v>30.277725799598755</v>
      </c>
      <c r="J317" s="585">
        <f>'[4]Scénario dossier 5'!J223</f>
        <v>28.391687540845247</v>
      </c>
      <c r="K317" s="585">
        <f>'[4]Scénario dossier 5'!K223</f>
        <v>26.101148770897222</v>
      </c>
      <c r="L317" s="585">
        <f>'[4]Scénario dossier 5'!L223</f>
        <v>24.460546326753949</v>
      </c>
      <c r="M317" s="585">
        <f>'[4]Scénario dossier 5'!M223</f>
        <v>22.501312267636575</v>
      </c>
      <c r="N317" s="585">
        <f>'[4]Scénario dossier 5'!N223</f>
        <v>21.075103955907377</v>
      </c>
      <c r="O317" s="585">
        <f>'[4]Scénario dossier 5'!O223</f>
        <v>19.39852016346715</v>
      </c>
      <c r="P317" s="585">
        <f>'[4]Scénario dossier 5'!P223</f>
        <v>18.159403383341502</v>
      </c>
      <c r="Q317" s="585">
        <f>'[4]Scénario dossier 5'!Q223</f>
        <v>16.724090574031035</v>
      </c>
      <c r="R317" s="586">
        <f>'[4]Scénario dossier 5'!R223</f>
        <v>22.445821416149265</v>
      </c>
    </row>
    <row r="318" spans="2:18">
      <c r="B318" s="592" t="s">
        <v>648</v>
      </c>
      <c r="C318" s="593">
        <f>C21</f>
        <v>-4.6523076923076925</v>
      </c>
      <c r="D318" s="593">
        <f t="shared" ref="D318:R318" si="121">D21</f>
        <v>-18.60923076923077</v>
      </c>
      <c r="E318" s="593">
        <f t="shared" si="121"/>
        <v>-46.359427055702916</v>
      </c>
      <c r="F318" s="593">
        <f t="shared" si="121"/>
        <v>-40.237241379310341</v>
      </c>
      <c r="G318" s="593">
        <f t="shared" si="121"/>
        <v>-46.309447199172403</v>
      </c>
      <c r="H318" s="593">
        <f t="shared" si="121"/>
        <v>65.088544944103347</v>
      </c>
      <c r="I318" s="593">
        <f t="shared" si="121"/>
        <v>65.578759369331152</v>
      </c>
      <c r="J318" s="593">
        <f t="shared" si="121"/>
        <v>67.133085620339997</v>
      </c>
      <c r="K318" s="593">
        <f t="shared" si="121"/>
        <v>63.206131112625229</v>
      </c>
      <c r="L318" s="593">
        <f t="shared" si="121"/>
        <v>63.752081027528938</v>
      </c>
      <c r="M318" s="593">
        <f t="shared" si="121"/>
        <v>64.495474857623719</v>
      </c>
      <c r="N318" s="593">
        <f t="shared" si="121"/>
        <v>67.962227713177342</v>
      </c>
      <c r="O318" s="593">
        <f t="shared" si="121"/>
        <v>68.845303582609034</v>
      </c>
      <c r="P318" s="593">
        <f t="shared" si="121"/>
        <v>72.456426463123023</v>
      </c>
      <c r="Q318" s="593">
        <f t="shared" si="121"/>
        <v>73.488719313247358</v>
      </c>
      <c r="R318" s="593">
        <f t="shared" si="121"/>
        <v>106.26525801361335</v>
      </c>
    </row>
    <row r="319" spans="2:18" ht="16" thickBot="1">
      <c r="B319" s="597" t="str">
        <f>B286</f>
        <v>CF actualisés</v>
      </c>
      <c r="C319" s="598">
        <f t="shared" ref="C319:R319" si="122">C316+C317</f>
        <v>-4.6523076923076925</v>
      </c>
      <c r="D319" s="598">
        <f t="shared" si="122"/>
        <v>-16.730245121871008</v>
      </c>
      <c r="E319" s="598">
        <f t="shared" si="122"/>
        <v>-37.470183940449651</v>
      </c>
      <c r="F319" s="598">
        <f t="shared" si="122"/>
        <v>-29.238147042758506</v>
      </c>
      <c r="G319" s="598">
        <f t="shared" si="122"/>
        <v>-30.25276507482635</v>
      </c>
      <c r="H319" s="598">
        <f t="shared" si="122"/>
        <v>38.22853541397977</v>
      </c>
      <c r="I319" s="598">
        <f t="shared" si="122"/>
        <v>35.01715608138521</v>
      </c>
      <c r="J319" s="598">
        <f t="shared" si="122"/>
        <v>31.868963177475294</v>
      </c>
      <c r="K319" s="598">
        <f t="shared" si="122"/>
        <v>27.289975102076014</v>
      </c>
      <c r="L319" s="598">
        <f t="shared" si="122"/>
        <v>24.460546326753949</v>
      </c>
      <c r="M319" s="598">
        <f t="shared" si="122"/>
        <v>22.501312267636575</v>
      </c>
      <c r="N319" s="598">
        <f t="shared" si="122"/>
        <v>21.075103955907377</v>
      </c>
      <c r="O319" s="598">
        <f t="shared" si="122"/>
        <v>19.39852016346715</v>
      </c>
      <c r="P319" s="598">
        <f t="shared" si="122"/>
        <v>18.159403383341502</v>
      </c>
      <c r="Q319" s="598">
        <f t="shared" si="122"/>
        <v>16.724090574031035</v>
      </c>
      <c r="R319" s="599">
        <f t="shared" si="122"/>
        <v>22.445821416149265</v>
      </c>
    </row>
    <row r="320" spans="2:18" ht="16" thickBot="1">
      <c r="C320" s="603"/>
      <c r="D320" s="603"/>
      <c r="E320" s="603"/>
      <c r="F320" s="603"/>
      <c r="G320" s="603"/>
      <c r="H320" s="603"/>
      <c r="I320" s="603"/>
      <c r="J320" s="603"/>
      <c r="K320" s="603"/>
      <c r="L320" s="603"/>
      <c r="M320" s="603"/>
      <c r="N320" s="603"/>
      <c r="O320" s="603"/>
      <c r="P320" s="603"/>
      <c r="Q320" s="603"/>
      <c r="R320" s="603"/>
    </row>
    <row r="321" spans="2:18" ht="15.5">
      <c r="B321" s="607"/>
      <c r="C321" s="608">
        <v>2009</v>
      </c>
      <c r="D321" s="608">
        <v>2010</v>
      </c>
      <c r="E321" s="608">
        <v>2011</v>
      </c>
      <c r="F321" s="608">
        <v>2012</v>
      </c>
      <c r="G321" s="608">
        <v>2013</v>
      </c>
      <c r="H321" s="608">
        <v>2014</v>
      </c>
      <c r="I321" s="608">
        <v>2015</v>
      </c>
      <c r="J321" s="608">
        <v>2016</v>
      </c>
      <c r="K321" s="608">
        <v>2017</v>
      </c>
      <c r="L321" s="608">
        <v>2018</v>
      </c>
      <c r="M321" s="608">
        <v>2019</v>
      </c>
      <c r="N321" s="608">
        <v>2020</v>
      </c>
      <c r="O321" s="608">
        <v>2021</v>
      </c>
      <c r="P321" s="608">
        <v>2022</v>
      </c>
      <c r="Q321" s="608">
        <v>2023</v>
      </c>
      <c r="R321" s="609">
        <v>2024</v>
      </c>
    </row>
    <row r="322" spans="2:18" ht="15" thickBot="1">
      <c r="B322" s="610" t="s">
        <v>656</v>
      </c>
      <c r="C322" s="611">
        <f t="shared" ref="C322:R322" si="123">C319+C313+C308</f>
        <v>-314.69730769230767</v>
      </c>
      <c r="D322" s="611">
        <f t="shared" si="123"/>
        <v>-302.26129528389532</v>
      </c>
      <c r="E322" s="611">
        <f t="shared" si="123"/>
        <v>-203.31039162535794</v>
      </c>
      <c r="F322" s="611">
        <f t="shared" si="123"/>
        <v>-183.83125869498187</v>
      </c>
      <c r="G322" s="611">
        <f t="shared" si="123"/>
        <v>-1.1521778920308368</v>
      </c>
      <c r="H322" s="611">
        <f t="shared" si="123"/>
        <v>59.928843338282604</v>
      </c>
      <c r="I322" s="611">
        <f t="shared" si="123"/>
        <v>74.257587029620424</v>
      </c>
      <c r="J322" s="611">
        <f t="shared" si="123"/>
        <v>108.59434457019341</v>
      </c>
      <c r="K322" s="611">
        <f t="shared" si="123"/>
        <v>93.020738187553221</v>
      </c>
      <c r="L322" s="611">
        <f t="shared" si="123"/>
        <v>80.63551153655709</v>
      </c>
      <c r="M322" s="611">
        <f t="shared" si="123"/>
        <v>70.38075543080582</v>
      </c>
      <c r="N322" s="611">
        <f t="shared" si="123"/>
        <v>63.134306179147039</v>
      </c>
      <c r="O322" s="611">
        <f t="shared" si="123"/>
        <v>56.324928605174833</v>
      </c>
      <c r="P322" s="611">
        <f t="shared" si="123"/>
        <v>50.560955284415151</v>
      </c>
      <c r="Q322" s="611">
        <f t="shared" si="123"/>
        <v>45.138263419952139</v>
      </c>
      <c r="R322" s="612">
        <f t="shared" si="123"/>
        <v>47.347665864221824</v>
      </c>
    </row>
    <row r="323" spans="2:18" ht="15" thickBot="1">
      <c r="B323" s="613" t="str">
        <f>B290</f>
        <v>Trésorerie</v>
      </c>
      <c r="C323" s="614">
        <f>C327+C328+C318+C312+C307</f>
        <v>-63.717307692307656</v>
      </c>
      <c r="D323" s="615">
        <f>C323+D318+D312+D307</f>
        <v>-399.96793846153844</v>
      </c>
      <c r="E323" s="615">
        <f t="shared" ref="E323:R323" si="124">D323+E318+E312+E307</f>
        <v>-651.56516551724133</v>
      </c>
      <c r="F323" s="615">
        <f t="shared" si="124"/>
        <v>-904.63660689655171</v>
      </c>
      <c r="G323" s="615">
        <f t="shared" si="124"/>
        <v>-906.37665409572412</v>
      </c>
      <c r="H323" s="615">
        <f t="shared" si="124"/>
        <v>-804.31510915162085</v>
      </c>
      <c r="I323" s="615">
        <f t="shared" si="124"/>
        <v>-664.35974978228967</v>
      </c>
      <c r="J323" s="615">
        <f t="shared" si="124"/>
        <v>-435.44646416194962</v>
      </c>
      <c r="K323" s="615">
        <f t="shared" si="124"/>
        <v>-218.05653304932434</v>
      </c>
      <c r="L323" s="615">
        <f t="shared" si="124"/>
        <v>-7.7170520217954106</v>
      </c>
      <c r="M323" s="615">
        <f t="shared" si="124"/>
        <v>195.76942283582832</v>
      </c>
      <c r="N323" s="615">
        <f t="shared" si="124"/>
        <v>399.557483882339</v>
      </c>
      <c r="O323" s="615">
        <f t="shared" si="124"/>
        <v>601.06345413161466</v>
      </c>
      <c r="P323" s="615">
        <f t="shared" si="124"/>
        <v>803.01538059473774</v>
      </c>
      <c r="Q323" s="615">
        <f t="shared" si="124"/>
        <v>1002.8344332413184</v>
      </c>
      <c r="R323" s="615">
        <f t="shared" si="124"/>
        <v>1232.2648579215984</v>
      </c>
    </row>
    <row r="324" spans="2:18" ht="15" thickBot="1"/>
    <row r="325" spans="2:18">
      <c r="B325" s="1039" t="s">
        <v>658</v>
      </c>
      <c r="C325" s="1040"/>
    </row>
    <row r="326" spans="2:18" ht="15.5">
      <c r="B326" s="569" t="s">
        <v>360</v>
      </c>
      <c r="C326" s="617">
        <f>SUM(C322:R322)</f>
        <v>-255.92853174265025</v>
      </c>
    </row>
    <row r="327" spans="2:18" ht="15.5">
      <c r="B327" s="569" t="s">
        <v>659</v>
      </c>
      <c r="C327" s="618">
        <f>155.21</f>
        <v>155.21</v>
      </c>
    </row>
    <row r="328" spans="2:18" ht="15.5">
      <c r="B328" s="569" t="s">
        <v>660</v>
      </c>
      <c r="C328" s="618">
        <f>95.77</f>
        <v>95.77</v>
      </c>
    </row>
    <row r="329" spans="2:18" ht="16" thickBot="1">
      <c r="B329" s="619" t="s">
        <v>661</v>
      </c>
      <c r="C329" s="620">
        <f>SUM(C326:C328)</f>
        <v>-4.9485317426502462</v>
      </c>
    </row>
    <row r="331" spans="2:18" ht="15.5">
      <c r="B331" s="10" t="s">
        <v>662</v>
      </c>
      <c r="C331" s="621">
        <v>15887450</v>
      </c>
    </row>
    <row r="332" spans="2:18">
      <c r="B332" s="10" t="s">
        <v>663</v>
      </c>
      <c r="C332" s="646">
        <f>(C329/C331)*1000000</f>
        <v>-0.31147426066802708</v>
      </c>
    </row>
    <row r="335" spans="2:18" ht="15" thickBot="1">
      <c r="B335" s="1043" t="s">
        <v>685</v>
      </c>
      <c r="C335" s="1043"/>
      <c r="D335" s="1043"/>
      <c r="E335" s="1043"/>
      <c r="F335" s="1043"/>
    </row>
    <row r="336" spans="2:18">
      <c r="B336" s="562" t="s">
        <v>638</v>
      </c>
      <c r="C336" s="563">
        <v>2009</v>
      </c>
      <c r="D336" s="563">
        <v>2010</v>
      </c>
      <c r="E336" s="563">
        <v>2011</v>
      </c>
      <c r="F336" s="563">
        <v>2012</v>
      </c>
      <c r="G336" s="563">
        <v>2013</v>
      </c>
      <c r="H336" s="563">
        <v>2014</v>
      </c>
      <c r="I336" s="563">
        <v>2015</v>
      </c>
      <c r="J336" s="563">
        <v>2016</v>
      </c>
      <c r="K336" s="563">
        <v>2017</v>
      </c>
      <c r="L336" s="563">
        <v>2018</v>
      </c>
      <c r="M336" s="563">
        <v>2019</v>
      </c>
      <c r="N336" s="563">
        <v>2020</v>
      </c>
      <c r="O336" s="563">
        <v>2021</v>
      </c>
      <c r="P336" s="563">
        <v>2022</v>
      </c>
      <c r="Q336" s="563">
        <v>2023</v>
      </c>
      <c r="R336" s="564">
        <v>2024</v>
      </c>
    </row>
    <row r="337" spans="2:18">
      <c r="B337" s="569" t="s">
        <v>640</v>
      </c>
      <c r="C337" s="570">
        <v>-105</v>
      </c>
      <c r="D337" s="570">
        <v>-105</v>
      </c>
      <c r="E337" s="570">
        <v>-105</v>
      </c>
      <c r="F337" s="570">
        <v>-105</v>
      </c>
      <c r="G337" s="570"/>
      <c r="H337" s="570"/>
      <c r="I337" s="570"/>
      <c r="J337" s="571"/>
      <c r="K337" s="571"/>
      <c r="L337" s="571"/>
      <c r="M337" s="571"/>
      <c r="N337" s="571"/>
      <c r="O337" s="571"/>
      <c r="P337" s="571"/>
      <c r="Q337" s="571"/>
      <c r="R337" s="572"/>
    </row>
    <row r="338" spans="2:18">
      <c r="B338" s="569" t="s">
        <v>642</v>
      </c>
      <c r="C338" s="577" t="s">
        <v>643</v>
      </c>
      <c r="D338" s="577" t="s">
        <v>643</v>
      </c>
      <c r="E338" s="577" t="s">
        <v>643</v>
      </c>
      <c r="F338" s="577" t="s">
        <v>643</v>
      </c>
      <c r="G338" s="577" t="s">
        <v>644</v>
      </c>
      <c r="H338" s="577" t="s">
        <v>644</v>
      </c>
      <c r="I338" s="578"/>
      <c r="J338" s="578"/>
      <c r="K338" s="578"/>
      <c r="L338" s="578"/>
      <c r="M338" s="578"/>
      <c r="N338" s="578"/>
      <c r="O338" s="578"/>
      <c r="P338" s="578"/>
      <c r="Q338" s="578"/>
      <c r="R338" s="579"/>
    </row>
    <row r="339" spans="2:18">
      <c r="B339" s="569" t="s">
        <v>645</v>
      </c>
      <c r="C339" s="577" t="s">
        <v>646</v>
      </c>
      <c r="D339" s="577" t="s">
        <v>646</v>
      </c>
      <c r="E339" s="577" t="s">
        <v>647</v>
      </c>
      <c r="F339" s="577" t="s">
        <v>647</v>
      </c>
      <c r="G339" s="578">
        <v>120</v>
      </c>
      <c r="H339" s="578">
        <v>120</v>
      </c>
      <c r="I339" s="578">
        <v>120</v>
      </c>
      <c r="J339" s="578">
        <v>120</v>
      </c>
      <c r="K339" s="578">
        <v>120</v>
      </c>
      <c r="L339" s="578">
        <v>120</v>
      </c>
      <c r="M339" s="578">
        <v>120</v>
      </c>
      <c r="N339" s="578">
        <v>120</v>
      </c>
      <c r="O339" s="578">
        <v>120</v>
      </c>
      <c r="P339" s="578">
        <v>120</v>
      </c>
      <c r="Q339" s="578">
        <v>120</v>
      </c>
      <c r="R339" s="579">
        <v>120</v>
      </c>
    </row>
    <row r="340" spans="2:18">
      <c r="B340" s="569" t="s">
        <v>648</v>
      </c>
      <c r="C340" s="578">
        <f>C337+C338+C339</f>
        <v>-405</v>
      </c>
      <c r="D340" s="578">
        <f t="shared" ref="D340:R340" si="125">D337+D338+D339</f>
        <v>-405</v>
      </c>
      <c r="E340" s="578">
        <f t="shared" si="125"/>
        <v>-285</v>
      </c>
      <c r="F340" s="578">
        <f t="shared" si="125"/>
        <v>-285</v>
      </c>
      <c r="G340" s="578">
        <f t="shared" si="125"/>
        <v>75</v>
      </c>
      <c r="H340" s="578">
        <f t="shared" si="125"/>
        <v>75</v>
      </c>
      <c r="I340" s="578">
        <f t="shared" si="125"/>
        <v>120</v>
      </c>
      <c r="J340" s="578">
        <f t="shared" si="125"/>
        <v>120</v>
      </c>
      <c r="K340" s="578">
        <f t="shared" si="125"/>
        <v>120</v>
      </c>
      <c r="L340" s="578">
        <f t="shared" si="125"/>
        <v>120</v>
      </c>
      <c r="M340" s="578">
        <f t="shared" si="125"/>
        <v>120</v>
      </c>
      <c r="N340" s="578">
        <f t="shared" si="125"/>
        <v>120</v>
      </c>
      <c r="O340" s="578">
        <f t="shared" si="125"/>
        <v>120</v>
      </c>
      <c r="P340" s="578">
        <f t="shared" si="125"/>
        <v>120</v>
      </c>
      <c r="Q340" s="578">
        <f t="shared" si="125"/>
        <v>120</v>
      </c>
      <c r="R340" s="579">
        <f t="shared" si="125"/>
        <v>120</v>
      </c>
    </row>
    <row r="341" spans="2:18" ht="16" thickBot="1">
      <c r="B341" s="580" t="s">
        <v>649</v>
      </c>
      <c r="C341" s="581">
        <f>C340/(1+$C$2)^(C336-$C$3)</f>
        <v>-405</v>
      </c>
      <c r="D341" s="581">
        <f>D340/(1+$C$2)^(D336-$C$3)</f>
        <v>-364.05857459266912</v>
      </c>
      <c r="E341" s="581">
        <f t="shared" ref="E341:R341" si="126">E340/(1+$C$2)^(E336-$C$3)</f>
        <v>-230.29119972148825</v>
      </c>
      <c r="F341" s="581">
        <f t="shared" si="126"/>
        <v>-207.01107632553254</v>
      </c>
      <c r="G341" s="581">
        <f t="shared" si="126"/>
        <v>48.969562944748283</v>
      </c>
      <c r="H341" s="581">
        <f t="shared" si="126"/>
        <v>44.019232800224806</v>
      </c>
      <c r="I341" s="581">
        <f t="shared" si="126"/>
        <v>63.310929967062556</v>
      </c>
      <c r="J341" s="581">
        <f t="shared" si="126"/>
        <v>56.910831901098987</v>
      </c>
      <c r="K341" s="581">
        <f t="shared" si="126"/>
        <v>51.157719359992846</v>
      </c>
      <c r="L341" s="581">
        <f t="shared" si="126"/>
        <v>45.986188616322934</v>
      </c>
      <c r="M341" s="581">
        <f t="shared" si="126"/>
        <v>41.337447601501609</v>
      </c>
      <c r="N341" s="581">
        <f t="shared" si="126"/>
        <v>37.158647533584748</v>
      </c>
      <c r="O341" s="581">
        <f t="shared" si="126"/>
        <v>33.402282110785833</v>
      </c>
      <c r="P341" s="581">
        <f t="shared" si="126"/>
        <v>30.025647440481237</v>
      </c>
      <c r="Q341" s="581">
        <f t="shared" si="126"/>
        <v>26.990356563959562</v>
      </c>
      <c r="R341" s="582">
        <f t="shared" si="126"/>
        <v>24.261903057834587</v>
      </c>
    </row>
    <row r="342" spans="2:18" ht="15" thickBot="1"/>
    <row r="343" spans="2:18">
      <c r="B343" s="562" t="s">
        <v>650</v>
      </c>
      <c r="C343" s="583">
        <v>2009</v>
      </c>
      <c r="D343" s="583">
        <v>2010</v>
      </c>
      <c r="E343" s="583">
        <v>2011</v>
      </c>
      <c r="F343" s="583">
        <v>2012</v>
      </c>
      <c r="G343" s="583">
        <v>2013</v>
      </c>
      <c r="H343" s="583">
        <v>2014</v>
      </c>
      <c r="I343" s="583">
        <v>2015</v>
      </c>
      <c r="J343" s="583">
        <v>2016</v>
      </c>
      <c r="K343" s="583">
        <v>2017</v>
      </c>
      <c r="L343" s="583">
        <v>2018</v>
      </c>
      <c r="M343" s="583">
        <v>2019</v>
      </c>
      <c r="N343" s="583">
        <v>2020</v>
      </c>
      <c r="O343" s="583">
        <v>2021</v>
      </c>
      <c r="P343" s="583">
        <v>2022</v>
      </c>
      <c r="Q343" s="583">
        <v>2023</v>
      </c>
      <c r="R343" s="584">
        <v>2024</v>
      </c>
    </row>
    <row r="344" spans="2:18">
      <c r="B344" s="569"/>
      <c r="C344" s="578">
        <v>94.954999999999998</v>
      </c>
      <c r="D344" s="578">
        <v>94.954999999999998</v>
      </c>
      <c r="E344" s="578">
        <v>94.954999999999998</v>
      </c>
      <c r="F344" s="578">
        <v>94.954999999999998</v>
      </c>
      <c r="G344" s="578">
        <v>94.954999999999998</v>
      </c>
      <c r="H344" s="578">
        <v>94.954999999999998</v>
      </c>
      <c r="I344" s="578">
        <v>94.954999999999998</v>
      </c>
      <c r="J344" s="578">
        <v>94.954999999999998</v>
      </c>
      <c r="K344" s="578">
        <v>94.954999999999998</v>
      </c>
      <c r="L344" s="578">
        <v>94.954999999999998</v>
      </c>
      <c r="M344" s="578">
        <v>94.954999999999998</v>
      </c>
      <c r="N344" s="578">
        <v>94.954999999999998</v>
      </c>
      <c r="O344" s="578">
        <v>94.954999999999998</v>
      </c>
      <c r="P344" s="578">
        <v>94.954999999999998</v>
      </c>
      <c r="Q344" s="578">
        <v>94.954999999999998</v>
      </c>
      <c r="R344" s="579">
        <v>94.954999999999998</v>
      </c>
    </row>
    <row r="345" spans="2:18">
      <c r="B345" s="569" t="s">
        <v>648</v>
      </c>
      <c r="C345" s="585">
        <f>C246</f>
        <v>94.954999999999998</v>
      </c>
      <c r="D345" s="585">
        <f t="shared" ref="D345:R345" si="127">D246</f>
        <v>87.358599999999996</v>
      </c>
      <c r="E345" s="585">
        <f t="shared" si="127"/>
        <v>79.762199999999993</v>
      </c>
      <c r="F345" s="585">
        <f t="shared" si="127"/>
        <v>72.165800000000004</v>
      </c>
      <c r="G345" s="585">
        <f t="shared" si="127"/>
        <v>64.569399999999987</v>
      </c>
      <c r="H345" s="585">
        <f t="shared" si="127"/>
        <v>56.972999999999999</v>
      </c>
      <c r="I345" s="585">
        <f t="shared" si="127"/>
        <v>49.376600000000003</v>
      </c>
      <c r="J345" s="585">
        <f t="shared" si="127"/>
        <v>41.780199999999994</v>
      </c>
      <c r="K345" s="585">
        <f t="shared" si="127"/>
        <v>34.183799999999998</v>
      </c>
      <c r="L345" s="585">
        <f t="shared" si="127"/>
        <v>26.587400000000002</v>
      </c>
      <c r="M345" s="585">
        <f t="shared" si="127"/>
        <v>18.990999999999996</v>
      </c>
      <c r="N345" s="585">
        <f t="shared" si="127"/>
        <v>15.82583333333333</v>
      </c>
      <c r="O345" s="585">
        <f t="shared" si="127"/>
        <v>12.660666666666664</v>
      </c>
      <c r="P345" s="585">
        <f t="shared" si="127"/>
        <v>9.4954999999999981</v>
      </c>
      <c r="Q345" s="585">
        <f t="shared" si="127"/>
        <v>6.330333333333332</v>
      </c>
      <c r="R345" s="585">
        <f t="shared" si="127"/>
        <v>3.165166666666666</v>
      </c>
    </row>
    <row r="346" spans="2:18" ht="16" thickBot="1">
      <c r="B346" s="580" t="s">
        <v>651</v>
      </c>
      <c r="C346" s="581">
        <f>C345/(1+$C$2)^(C343-$C$3)</f>
        <v>94.954999999999998</v>
      </c>
      <c r="D346" s="581">
        <f t="shared" ref="D346:R346" si="128">D345/(1+$C$2)^(D343-$C$3)</f>
        <v>78.527524430644789</v>
      </c>
      <c r="E346" s="581">
        <f t="shared" si="128"/>
        <v>64.450992036579962</v>
      </c>
      <c r="F346" s="581">
        <f t="shared" si="128"/>
        <v>52.417964673309186</v>
      </c>
      <c r="G346" s="581">
        <f t="shared" si="128"/>
        <v>42.159137301395056</v>
      </c>
      <c r="H346" s="581">
        <f t="shared" si="128"/>
        <v>33.438770004362773</v>
      </c>
      <c r="I346" s="581">
        <f t="shared" si="128"/>
        <v>26.050653871763842</v>
      </c>
      <c r="J346" s="581">
        <f t="shared" si="128"/>
        <v>19.814549491619132</v>
      </c>
      <c r="K346" s="581">
        <f t="shared" si="128"/>
        <v>14.573043725484361</v>
      </c>
      <c r="L346" s="581">
        <f t="shared" si="128"/>
        <v>10.188776593480203</v>
      </c>
      <c r="M346" s="581">
        <f t="shared" si="128"/>
        <v>6.5419955616676413</v>
      </c>
      <c r="N346" s="581">
        <f t="shared" si="128"/>
        <v>4.900554689654915</v>
      </c>
      <c r="O346" s="581">
        <f t="shared" si="128"/>
        <v>3.5241263309218538</v>
      </c>
      <c r="P346" s="581">
        <f t="shared" si="128"/>
        <v>2.3759044605924129</v>
      </c>
      <c r="Q346" s="581">
        <f t="shared" si="128"/>
        <v>1.4238162819615443</v>
      </c>
      <c r="R346" s="582">
        <f t="shared" si="128"/>
        <v>0.63994139023796737</v>
      </c>
    </row>
    <row r="347" spans="2:18" ht="15" thickBot="1">
      <c r="C347" s="587"/>
      <c r="D347" s="587"/>
      <c r="E347" s="587"/>
      <c r="F347" s="587"/>
      <c r="G347" s="587"/>
      <c r="H347" s="587"/>
      <c r="I347" s="587"/>
      <c r="J347" s="587"/>
      <c r="K347" s="587"/>
      <c r="L347" s="587"/>
      <c r="M347" s="587"/>
      <c r="N347" s="587"/>
      <c r="O347" s="587"/>
      <c r="P347" s="587"/>
      <c r="Q347" s="587"/>
      <c r="R347" s="587"/>
    </row>
    <row r="348" spans="2:18">
      <c r="B348" s="562" t="s">
        <v>652</v>
      </c>
      <c r="C348" s="583">
        <v>2009</v>
      </c>
      <c r="D348" s="583">
        <v>2010</v>
      </c>
      <c r="E348" s="583">
        <v>2011</v>
      </c>
      <c r="F348" s="583">
        <v>2012</v>
      </c>
      <c r="G348" s="583">
        <v>2013</v>
      </c>
      <c r="H348" s="583">
        <v>2014</v>
      </c>
      <c r="I348" s="583">
        <v>2015</v>
      </c>
      <c r="J348" s="583">
        <v>2016</v>
      </c>
      <c r="K348" s="583">
        <v>2017</v>
      </c>
      <c r="L348" s="583">
        <v>2018</v>
      </c>
      <c r="M348" s="583">
        <v>2019</v>
      </c>
      <c r="N348" s="583">
        <v>2020</v>
      </c>
      <c r="O348" s="583">
        <v>2021</v>
      </c>
      <c r="P348" s="583">
        <v>2022</v>
      </c>
      <c r="Q348" s="583">
        <v>2023</v>
      </c>
      <c r="R348" s="584">
        <v>2024</v>
      </c>
    </row>
    <row r="349" spans="2:18">
      <c r="B349" s="588" t="s">
        <v>653</v>
      </c>
      <c r="C349" s="589">
        <f>'[4]Scénario dossier 5'!C222</f>
        <v>-4.6523076923076925</v>
      </c>
      <c r="D349" s="589">
        <f>'[4]Scénario dossier 5'!D222</f>
        <v>-16.730245121871008</v>
      </c>
      <c r="E349" s="589">
        <f>'[4]Scénario dossier 5'!E222</f>
        <v>-37.470183940449651</v>
      </c>
      <c r="F349" s="589">
        <f>'[4]Scénario dossier 5'!F222</f>
        <v>-29.238147042758506</v>
      </c>
      <c r="G349" s="589">
        <f>'[4]Scénario dossier 5'!G222</f>
        <v>-16.883669865676229</v>
      </c>
      <c r="H349" s="589">
        <f>'[4]Scénario dossier 5'!H222</f>
        <v>5.2717190445193616</v>
      </c>
      <c r="I349" s="589">
        <f>'[4]Scénario dossier 5'!I222</f>
        <v>4.7394302817864542</v>
      </c>
      <c r="J349" s="589">
        <f>'[4]Scénario dossier 5'!J222</f>
        <v>3.4772756366300466</v>
      </c>
      <c r="K349" s="589">
        <f>'[4]Scénario dossier 5'!K222</f>
        <v>1.1888263311787912</v>
      </c>
      <c r="L349" s="589">
        <f>'[4]Scénario dossier 5'!L222</f>
        <v>0</v>
      </c>
      <c r="M349" s="589">
        <f>'[4]Scénario dossier 5'!M222</f>
        <v>0</v>
      </c>
      <c r="N349" s="589">
        <f>'[4]Scénario dossier 5'!N222</f>
        <v>0</v>
      </c>
      <c r="O349" s="589">
        <f>'[4]Scénario dossier 5'!O222</f>
        <v>0</v>
      </c>
      <c r="P349" s="589">
        <f>'[4]Scénario dossier 5'!P222</f>
        <v>0</v>
      </c>
      <c r="Q349" s="589">
        <f>'[4]Scénario dossier 5'!Q222</f>
        <v>0</v>
      </c>
      <c r="R349" s="626">
        <f>'[4]Scénario dossier 5'!R222</f>
        <v>0</v>
      </c>
    </row>
    <row r="350" spans="2:18">
      <c r="B350" s="590" t="s">
        <v>654</v>
      </c>
      <c r="C350" s="589">
        <f>'[4]Scénario dossier 5'!C223</f>
        <v>0</v>
      </c>
      <c r="D350" s="589">
        <f>'[4]Scénario dossier 5'!D223</f>
        <v>0</v>
      </c>
      <c r="E350" s="589">
        <f>'[4]Scénario dossier 5'!E223</f>
        <v>0</v>
      </c>
      <c r="F350" s="589">
        <f>'[4]Scénario dossier 5'!F223</f>
        <v>0</v>
      </c>
      <c r="G350" s="585">
        <f>'[4]Scénario dossier 5'!G223</f>
        <v>-13.369095209150121</v>
      </c>
      <c r="H350" s="585">
        <f>'[4]Scénario dossier 5'!H223</f>
        <v>32.956816369460412</v>
      </c>
      <c r="I350" s="585">
        <f>'[4]Scénario dossier 5'!I223</f>
        <v>30.277725799598755</v>
      </c>
      <c r="J350" s="585">
        <f>'[4]Scénario dossier 5'!J223</f>
        <v>28.391687540845247</v>
      </c>
      <c r="K350" s="585">
        <f>'[4]Scénario dossier 5'!K223</f>
        <v>26.101148770897222</v>
      </c>
      <c r="L350" s="585">
        <f>'[4]Scénario dossier 5'!L223</f>
        <v>24.460546326753949</v>
      </c>
      <c r="M350" s="585">
        <f>'[4]Scénario dossier 5'!M223</f>
        <v>22.501312267636575</v>
      </c>
      <c r="N350" s="585">
        <f>'[4]Scénario dossier 5'!N223</f>
        <v>21.075103955907377</v>
      </c>
      <c r="O350" s="585">
        <f>'[4]Scénario dossier 5'!O223</f>
        <v>19.39852016346715</v>
      </c>
      <c r="P350" s="585">
        <f>'[4]Scénario dossier 5'!P223</f>
        <v>18.159403383341502</v>
      </c>
      <c r="Q350" s="585">
        <f>'[4]Scénario dossier 5'!Q223</f>
        <v>16.724090574031035</v>
      </c>
      <c r="R350" s="586">
        <f>'[4]Scénario dossier 5'!R223</f>
        <v>22.445821416149265</v>
      </c>
    </row>
    <row r="351" spans="2:18">
      <c r="B351" s="592" t="s">
        <v>648</v>
      </c>
      <c r="C351" s="593">
        <f>C21</f>
        <v>-4.6523076923076925</v>
      </c>
      <c r="D351" s="593">
        <f t="shared" ref="D351:R351" si="129">D21</f>
        <v>-18.60923076923077</v>
      </c>
      <c r="E351" s="593">
        <f t="shared" si="129"/>
        <v>-46.359427055702916</v>
      </c>
      <c r="F351" s="593">
        <f t="shared" si="129"/>
        <v>-40.237241379310341</v>
      </c>
      <c r="G351" s="593">
        <f t="shared" si="129"/>
        <v>-46.309447199172403</v>
      </c>
      <c r="H351" s="593">
        <f t="shared" si="129"/>
        <v>65.088544944103347</v>
      </c>
      <c r="I351" s="593">
        <f t="shared" si="129"/>
        <v>65.578759369331152</v>
      </c>
      <c r="J351" s="593">
        <f t="shared" si="129"/>
        <v>67.133085620339997</v>
      </c>
      <c r="K351" s="593">
        <f t="shared" si="129"/>
        <v>63.206131112625229</v>
      </c>
      <c r="L351" s="593">
        <f t="shared" si="129"/>
        <v>63.752081027528938</v>
      </c>
      <c r="M351" s="593">
        <f t="shared" si="129"/>
        <v>64.495474857623719</v>
      </c>
      <c r="N351" s="593">
        <f t="shared" si="129"/>
        <v>67.962227713177342</v>
      </c>
      <c r="O351" s="593">
        <f t="shared" si="129"/>
        <v>68.845303582609034</v>
      </c>
      <c r="P351" s="593">
        <f t="shared" si="129"/>
        <v>72.456426463123023</v>
      </c>
      <c r="Q351" s="593">
        <f t="shared" si="129"/>
        <v>73.488719313247358</v>
      </c>
      <c r="R351" s="593">
        <f t="shared" si="129"/>
        <v>106.26525801361335</v>
      </c>
    </row>
    <row r="352" spans="2:18" ht="16" thickBot="1">
      <c r="B352" s="597" t="str">
        <f>B319</f>
        <v>CF actualisés</v>
      </c>
      <c r="C352" s="598">
        <f t="shared" ref="C352:R352" si="130">C349+C350</f>
        <v>-4.6523076923076925</v>
      </c>
      <c r="D352" s="598">
        <f t="shared" si="130"/>
        <v>-16.730245121871008</v>
      </c>
      <c r="E352" s="598">
        <f t="shared" si="130"/>
        <v>-37.470183940449651</v>
      </c>
      <c r="F352" s="598">
        <f t="shared" si="130"/>
        <v>-29.238147042758506</v>
      </c>
      <c r="G352" s="598">
        <f t="shared" si="130"/>
        <v>-30.25276507482635</v>
      </c>
      <c r="H352" s="598">
        <f t="shared" si="130"/>
        <v>38.22853541397977</v>
      </c>
      <c r="I352" s="598">
        <f t="shared" si="130"/>
        <v>35.01715608138521</v>
      </c>
      <c r="J352" s="598">
        <f t="shared" si="130"/>
        <v>31.868963177475294</v>
      </c>
      <c r="K352" s="598">
        <f t="shared" si="130"/>
        <v>27.289975102076014</v>
      </c>
      <c r="L352" s="598">
        <f t="shared" si="130"/>
        <v>24.460546326753949</v>
      </c>
      <c r="M352" s="598">
        <f t="shared" si="130"/>
        <v>22.501312267636575</v>
      </c>
      <c r="N352" s="598">
        <f t="shared" si="130"/>
        <v>21.075103955907377</v>
      </c>
      <c r="O352" s="598">
        <f t="shared" si="130"/>
        <v>19.39852016346715</v>
      </c>
      <c r="P352" s="598">
        <f t="shared" si="130"/>
        <v>18.159403383341502</v>
      </c>
      <c r="Q352" s="598">
        <f t="shared" si="130"/>
        <v>16.724090574031035</v>
      </c>
      <c r="R352" s="599">
        <f t="shared" si="130"/>
        <v>22.445821416149265</v>
      </c>
    </row>
    <row r="353" spans="2:18" ht="16" thickBot="1">
      <c r="C353" s="603"/>
      <c r="D353" s="603"/>
      <c r="E353" s="603"/>
      <c r="F353" s="603"/>
      <c r="G353" s="603"/>
      <c r="H353" s="603"/>
      <c r="I353" s="603"/>
      <c r="J353" s="603"/>
      <c r="K353" s="603"/>
      <c r="L353" s="603"/>
      <c r="M353" s="603"/>
      <c r="N353" s="603"/>
      <c r="O353" s="603"/>
      <c r="P353" s="603"/>
      <c r="Q353" s="603"/>
      <c r="R353" s="603"/>
    </row>
    <row r="354" spans="2:18" ht="15.5">
      <c r="B354" s="607"/>
      <c r="C354" s="608">
        <v>2009</v>
      </c>
      <c r="D354" s="608">
        <v>2010</v>
      </c>
      <c r="E354" s="608">
        <v>2011</v>
      </c>
      <c r="F354" s="608">
        <v>2012</v>
      </c>
      <c r="G354" s="608">
        <v>2013</v>
      </c>
      <c r="H354" s="608">
        <v>2014</v>
      </c>
      <c r="I354" s="608">
        <v>2015</v>
      </c>
      <c r="J354" s="608">
        <v>2016</v>
      </c>
      <c r="K354" s="608">
        <v>2017</v>
      </c>
      <c r="L354" s="608">
        <v>2018</v>
      </c>
      <c r="M354" s="608">
        <v>2019</v>
      </c>
      <c r="N354" s="608">
        <v>2020</v>
      </c>
      <c r="O354" s="608">
        <v>2021</v>
      </c>
      <c r="P354" s="608">
        <v>2022</v>
      </c>
      <c r="Q354" s="608">
        <v>2023</v>
      </c>
      <c r="R354" s="609">
        <v>2024</v>
      </c>
    </row>
    <row r="355" spans="2:18" ht="15" thickBot="1">
      <c r="B355" s="610" t="s">
        <v>656</v>
      </c>
      <c r="C355" s="611">
        <f t="shared" ref="C355:R355" si="131">C352+C346+C341</f>
        <v>-314.69730769230767</v>
      </c>
      <c r="D355" s="611">
        <f t="shared" si="131"/>
        <v>-302.26129528389532</v>
      </c>
      <c r="E355" s="611">
        <f t="shared" si="131"/>
        <v>-203.31039162535794</v>
      </c>
      <c r="F355" s="611">
        <f t="shared" si="131"/>
        <v>-183.83125869498187</v>
      </c>
      <c r="G355" s="611">
        <f t="shared" si="131"/>
        <v>60.875935171316989</v>
      </c>
      <c r="H355" s="611">
        <f t="shared" si="131"/>
        <v>115.68653821856736</v>
      </c>
      <c r="I355" s="611">
        <f t="shared" si="131"/>
        <v>124.37873992021161</v>
      </c>
      <c r="J355" s="611">
        <f t="shared" si="131"/>
        <v>108.59434457019341</v>
      </c>
      <c r="K355" s="611">
        <f t="shared" si="131"/>
        <v>93.020738187553221</v>
      </c>
      <c r="L355" s="611">
        <f t="shared" si="131"/>
        <v>80.63551153655709</v>
      </c>
      <c r="M355" s="611">
        <f t="shared" si="131"/>
        <v>70.38075543080582</v>
      </c>
      <c r="N355" s="611">
        <f t="shared" si="131"/>
        <v>63.134306179147039</v>
      </c>
      <c r="O355" s="611">
        <f t="shared" si="131"/>
        <v>56.324928605174833</v>
      </c>
      <c r="P355" s="611">
        <f t="shared" si="131"/>
        <v>50.560955284415151</v>
      </c>
      <c r="Q355" s="611">
        <f t="shared" si="131"/>
        <v>45.138263419952139</v>
      </c>
      <c r="R355" s="612">
        <f t="shared" si="131"/>
        <v>47.347665864221824</v>
      </c>
    </row>
    <row r="356" spans="2:18" ht="15" thickBot="1">
      <c r="B356" s="613" t="str">
        <f>B323</f>
        <v>Trésorerie</v>
      </c>
      <c r="C356" s="614">
        <f>C360+C361+C351+C345+C340</f>
        <v>-63.717307692307656</v>
      </c>
      <c r="D356" s="615">
        <f>C356+D351+D345+D340</f>
        <v>-399.96793846153844</v>
      </c>
      <c r="E356" s="615">
        <f t="shared" ref="E356:R356" si="132">D356+E351+E345+E340</f>
        <v>-651.56516551724133</v>
      </c>
      <c r="F356" s="615">
        <f t="shared" si="132"/>
        <v>-904.63660689655171</v>
      </c>
      <c r="G356" s="615">
        <f t="shared" si="132"/>
        <v>-811.37665409572412</v>
      </c>
      <c r="H356" s="615">
        <f t="shared" si="132"/>
        <v>-614.31510915162085</v>
      </c>
      <c r="I356" s="615">
        <f t="shared" si="132"/>
        <v>-379.35974978228973</v>
      </c>
      <c r="J356" s="615">
        <f t="shared" si="132"/>
        <v>-150.44646416194973</v>
      </c>
      <c r="K356" s="615">
        <f t="shared" si="132"/>
        <v>66.943466950675486</v>
      </c>
      <c r="L356" s="615">
        <f t="shared" si="132"/>
        <v>277.28294797820445</v>
      </c>
      <c r="M356" s="615">
        <f t="shared" si="132"/>
        <v>480.76942283582815</v>
      </c>
      <c r="N356" s="615">
        <f t="shared" si="132"/>
        <v>684.55748388233883</v>
      </c>
      <c r="O356" s="615">
        <f t="shared" si="132"/>
        <v>886.06345413161455</v>
      </c>
      <c r="P356" s="615">
        <f t="shared" si="132"/>
        <v>1088.0153805947375</v>
      </c>
      <c r="Q356" s="615">
        <f t="shared" si="132"/>
        <v>1287.8344332413183</v>
      </c>
      <c r="R356" s="615">
        <f t="shared" si="132"/>
        <v>1517.2648579215984</v>
      </c>
    </row>
    <row r="357" spans="2:18" ht="15" thickBot="1"/>
    <row r="358" spans="2:18">
      <c r="B358" s="1039" t="s">
        <v>658</v>
      </c>
      <c r="C358" s="1040"/>
    </row>
    <row r="359" spans="2:18" ht="15.5">
      <c r="B359" s="569" t="s">
        <v>360</v>
      </c>
      <c r="C359" s="617">
        <f>SUM(C355:R355)</f>
        <v>-88.021570908426384</v>
      </c>
    </row>
    <row r="360" spans="2:18" ht="15.5">
      <c r="B360" s="569" t="s">
        <v>659</v>
      </c>
      <c r="C360" s="618">
        <f>155.21</f>
        <v>155.21</v>
      </c>
    </row>
    <row r="361" spans="2:18" ht="15.5">
      <c r="B361" s="569" t="s">
        <v>660</v>
      </c>
      <c r="C361" s="618">
        <f>95.77</f>
        <v>95.77</v>
      </c>
    </row>
    <row r="362" spans="2:18" ht="16" thickBot="1">
      <c r="B362" s="619" t="s">
        <v>661</v>
      </c>
      <c r="C362" s="620">
        <f>SUM(C359:C361)</f>
        <v>162.95842909157363</v>
      </c>
    </row>
    <row r="364" spans="2:18" ht="15.5">
      <c r="B364" s="10" t="s">
        <v>662</v>
      </c>
      <c r="C364" s="621">
        <v>15887450</v>
      </c>
    </row>
    <row r="365" spans="2:18">
      <c r="B365" s="10" t="s">
        <v>663</v>
      </c>
      <c r="C365" s="646">
        <f>(C362/C364)*1000000</f>
        <v>10.257053780913466</v>
      </c>
    </row>
    <row r="368" spans="2:18" ht="15" thickBot="1">
      <c r="B368" s="1043" t="s">
        <v>686</v>
      </c>
      <c r="C368" s="1043"/>
      <c r="D368" s="1043"/>
      <c r="E368" s="1043"/>
      <c r="F368" s="1043"/>
    </row>
    <row r="369" spans="2:18">
      <c r="B369" s="562" t="s">
        <v>638</v>
      </c>
      <c r="C369" s="563">
        <v>2009</v>
      </c>
      <c r="D369" s="563">
        <v>2010</v>
      </c>
      <c r="E369" s="563">
        <v>2011</v>
      </c>
      <c r="F369" s="563">
        <v>2012</v>
      </c>
      <c r="G369" s="563">
        <v>2013</v>
      </c>
      <c r="H369" s="563">
        <v>2014</v>
      </c>
      <c r="I369" s="563">
        <v>2015</v>
      </c>
      <c r="J369" s="563">
        <v>2016</v>
      </c>
      <c r="K369" s="563">
        <v>2017</v>
      </c>
      <c r="L369" s="563">
        <v>2018</v>
      </c>
      <c r="M369" s="563">
        <v>2019</v>
      </c>
      <c r="N369" s="563">
        <v>2020</v>
      </c>
      <c r="O369" s="563">
        <v>2021</v>
      </c>
      <c r="P369" s="563">
        <v>2022</v>
      </c>
      <c r="Q369" s="563">
        <v>2023</v>
      </c>
      <c r="R369" s="564">
        <v>2024</v>
      </c>
    </row>
    <row r="370" spans="2:18">
      <c r="B370" s="569" t="s">
        <v>640</v>
      </c>
      <c r="C370" s="570">
        <v>-105</v>
      </c>
      <c r="D370" s="570">
        <v>-105</v>
      </c>
      <c r="E370" s="570">
        <v>-105</v>
      </c>
      <c r="F370" s="570">
        <v>-105</v>
      </c>
      <c r="G370" s="570">
        <v>-95</v>
      </c>
      <c r="H370" s="570">
        <v>-95</v>
      </c>
      <c r="I370" s="570">
        <v>-95</v>
      </c>
      <c r="J370" s="571"/>
      <c r="K370" s="571"/>
      <c r="L370" s="571"/>
      <c r="M370" s="571"/>
      <c r="N370" s="571"/>
      <c r="O370" s="571"/>
      <c r="P370" s="571"/>
      <c r="Q370" s="571"/>
      <c r="R370" s="572"/>
    </row>
    <row r="371" spans="2:18">
      <c r="B371" s="569" t="s">
        <v>642</v>
      </c>
      <c r="C371" s="577" t="s">
        <v>643</v>
      </c>
      <c r="D371" s="577" t="s">
        <v>643</v>
      </c>
      <c r="E371" s="577" t="s">
        <v>643</v>
      </c>
      <c r="F371" s="577" t="s">
        <v>643</v>
      </c>
      <c r="G371" s="577"/>
      <c r="H371" s="577"/>
      <c r="I371" s="578"/>
      <c r="J371" s="578"/>
      <c r="K371" s="578"/>
      <c r="L371" s="578"/>
      <c r="M371" s="578"/>
      <c r="N371" s="578"/>
      <c r="O371" s="578"/>
      <c r="P371" s="578">
        <v>115</v>
      </c>
      <c r="Q371" s="578">
        <v>115</v>
      </c>
      <c r="R371" s="579">
        <v>115</v>
      </c>
    </row>
    <row r="372" spans="2:18">
      <c r="B372" s="569" t="s">
        <v>645</v>
      </c>
      <c r="C372" s="577" t="s">
        <v>646</v>
      </c>
      <c r="D372" s="577" t="s">
        <v>646</v>
      </c>
      <c r="E372" s="577" t="s">
        <v>647</v>
      </c>
      <c r="F372" s="577" t="s">
        <v>647</v>
      </c>
      <c r="G372" s="578">
        <v>120</v>
      </c>
      <c r="H372" s="578">
        <v>120</v>
      </c>
      <c r="I372" s="578">
        <v>120</v>
      </c>
      <c r="J372" s="578">
        <v>120</v>
      </c>
      <c r="K372" s="578">
        <v>120</v>
      </c>
      <c r="L372" s="578">
        <v>120</v>
      </c>
      <c r="M372" s="578">
        <v>120</v>
      </c>
      <c r="N372" s="578">
        <v>120</v>
      </c>
      <c r="O372" s="578">
        <v>120</v>
      </c>
      <c r="P372" s="578">
        <v>120</v>
      </c>
      <c r="Q372" s="578">
        <v>120</v>
      </c>
      <c r="R372" s="579">
        <v>120</v>
      </c>
    </row>
    <row r="373" spans="2:18">
      <c r="B373" s="569" t="s">
        <v>648</v>
      </c>
      <c r="C373" s="578">
        <f>C370+C371+C372</f>
        <v>-405</v>
      </c>
      <c r="D373" s="578">
        <f t="shared" ref="D373:R373" si="133">D370+D371+D372</f>
        <v>-405</v>
      </c>
      <c r="E373" s="578">
        <f t="shared" si="133"/>
        <v>-285</v>
      </c>
      <c r="F373" s="578">
        <f t="shared" si="133"/>
        <v>-285</v>
      </c>
      <c r="G373" s="578">
        <f t="shared" si="133"/>
        <v>25</v>
      </c>
      <c r="H373" s="578">
        <f t="shared" si="133"/>
        <v>25</v>
      </c>
      <c r="I373" s="578">
        <f t="shared" si="133"/>
        <v>25</v>
      </c>
      <c r="J373" s="578">
        <f t="shared" si="133"/>
        <v>120</v>
      </c>
      <c r="K373" s="578">
        <f t="shared" si="133"/>
        <v>120</v>
      </c>
      <c r="L373" s="578">
        <f t="shared" si="133"/>
        <v>120</v>
      </c>
      <c r="M373" s="578">
        <f t="shared" si="133"/>
        <v>120</v>
      </c>
      <c r="N373" s="578">
        <f t="shared" si="133"/>
        <v>120</v>
      </c>
      <c r="O373" s="578">
        <f t="shared" si="133"/>
        <v>120</v>
      </c>
      <c r="P373" s="578">
        <f t="shared" si="133"/>
        <v>235</v>
      </c>
      <c r="Q373" s="578">
        <f t="shared" si="133"/>
        <v>235</v>
      </c>
      <c r="R373" s="579">
        <f t="shared" si="133"/>
        <v>235</v>
      </c>
    </row>
    <row r="374" spans="2:18" ht="16" thickBot="1">
      <c r="B374" s="580" t="s">
        <v>649</v>
      </c>
      <c r="C374" s="581">
        <f>C373/(1+$C$2)^(C369-$C$3)</f>
        <v>-405</v>
      </c>
      <c r="D374" s="581">
        <f>D373/(1+$C$2)^(D369-$C$3)</f>
        <v>-364.05857459266912</v>
      </c>
      <c r="E374" s="581">
        <f t="shared" ref="E374:R374" si="134">E373/(1+$C$2)^(E369-$C$3)</f>
        <v>-230.29119972148825</v>
      </c>
      <c r="F374" s="581">
        <f t="shared" si="134"/>
        <v>-207.01107632553254</v>
      </c>
      <c r="G374" s="581">
        <f t="shared" si="134"/>
        <v>16.32318764824943</v>
      </c>
      <c r="H374" s="581">
        <f t="shared" si="134"/>
        <v>14.673077600074937</v>
      </c>
      <c r="I374" s="581">
        <f t="shared" si="134"/>
        <v>13.189777076471366</v>
      </c>
      <c r="J374" s="581">
        <f t="shared" si="134"/>
        <v>56.910831901098987</v>
      </c>
      <c r="K374" s="581">
        <f t="shared" si="134"/>
        <v>51.157719359992846</v>
      </c>
      <c r="L374" s="581">
        <f t="shared" si="134"/>
        <v>45.986188616322934</v>
      </c>
      <c r="M374" s="581">
        <f t="shared" si="134"/>
        <v>41.337447601501609</v>
      </c>
      <c r="N374" s="581">
        <f t="shared" si="134"/>
        <v>37.158647533584748</v>
      </c>
      <c r="O374" s="581">
        <f t="shared" si="134"/>
        <v>33.402282110785833</v>
      </c>
      <c r="P374" s="581">
        <f t="shared" si="134"/>
        <v>58.800226237609088</v>
      </c>
      <c r="Q374" s="581">
        <f t="shared" si="134"/>
        <v>52.856114937754143</v>
      </c>
      <c r="R374" s="582">
        <f t="shared" si="134"/>
        <v>47.512893488259401</v>
      </c>
    </row>
    <row r="375" spans="2:18" ht="15" thickBot="1"/>
    <row r="376" spans="2:18">
      <c r="B376" s="562" t="s">
        <v>650</v>
      </c>
      <c r="C376" s="583">
        <v>2009</v>
      </c>
      <c r="D376" s="583">
        <v>2010</v>
      </c>
      <c r="E376" s="583">
        <v>2011</v>
      </c>
      <c r="F376" s="583">
        <v>2012</v>
      </c>
      <c r="G376" s="583">
        <v>2013</v>
      </c>
      <c r="H376" s="583">
        <v>2014</v>
      </c>
      <c r="I376" s="583">
        <v>2015</v>
      </c>
      <c r="J376" s="583">
        <v>2016</v>
      </c>
      <c r="K376" s="583">
        <v>2017</v>
      </c>
      <c r="L376" s="583">
        <v>2018</v>
      </c>
      <c r="M376" s="583">
        <v>2019</v>
      </c>
      <c r="N376" s="583">
        <v>2020</v>
      </c>
      <c r="O376" s="583">
        <v>2021</v>
      </c>
      <c r="P376" s="583">
        <v>2022</v>
      </c>
      <c r="Q376" s="583">
        <v>2023</v>
      </c>
      <c r="R376" s="584">
        <v>2024</v>
      </c>
    </row>
    <row r="377" spans="2:18">
      <c r="B377" s="569"/>
      <c r="C377" s="578">
        <v>94.954999999999998</v>
      </c>
      <c r="D377" s="578">
        <v>94.954999999999998</v>
      </c>
      <c r="E377" s="578">
        <v>94.954999999999998</v>
      </c>
      <c r="F377" s="578">
        <v>94.954999999999998</v>
      </c>
      <c r="G377" s="578">
        <v>94.954999999999998</v>
      </c>
      <c r="H377" s="578">
        <v>94.954999999999998</v>
      </c>
      <c r="I377" s="578">
        <v>94.954999999999998</v>
      </c>
      <c r="J377" s="578">
        <v>94.954999999999998</v>
      </c>
      <c r="K377" s="578">
        <v>94.954999999999998</v>
      </c>
      <c r="L377" s="578">
        <v>94.954999999999998</v>
      </c>
      <c r="M377" s="578">
        <v>94.954999999999998</v>
      </c>
      <c r="N377" s="578">
        <v>94.954999999999998</v>
      </c>
      <c r="O377" s="578">
        <v>94.954999999999998</v>
      </c>
      <c r="P377" s="578">
        <v>94.954999999999998</v>
      </c>
      <c r="Q377" s="578">
        <v>94.954999999999998</v>
      </c>
      <c r="R377" s="579">
        <v>94.954999999999998</v>
      </c>
    </row>
    <row r="378" spans="2:18">
      <c r="B378" s="569" t="s">
        <v>648</v>
      </c>
      <c r="C378" s="585">
        <f>C246</f>
        <v>94.954999999999998</v>
      </c>
      <c r="D378" s="585">
        <f t="shared" ref="D378:R378" si="135">D246</f>
        <v>87.358599999999996</v>
      </c>
      <c r="E378" s="585">
        <f t="shared" si="135"/>
        <v>79.762199999999993</v>
      </c>
      <c r="F378" s="585">
        <f t="shared" si="135"/>
        <v>72.165800000000004</v>
      </c>
      <c r="G378" s="585">
        <f t="shared" si="135"/>
        <v>64.569399999999987</v>
      </c>
      <c r="H378" s="585">
        <f t="shared" si="135"/>
        <v>56.972999999999999</v>
      </c>
      <c r="I378" s="585">
        <f t="shared" si="135"/>
        <v>49.376600000000003</v>
      </c>
      <c r="J378" s="585">
        <f t="shared" si="135"/>
        <v>41.780199999999994</v>
      </c>
      <c r="K378" s="585">
        <f t="shared" si="135"/>
        <v>34.183799999999998</v>
      </c>
      <c r="L378" s="585">
        <f t="shared" si="135"/>
        <v>26.587400000000002</v>
      </c>
      <c r="M378" s="585">
        <f t="shared" si="135"/>
        <v>18.990999999999996</v>
      </c>
      <c r="N378" s="585">
        <f t="shared" si="135"/>
        <v>15.82583333333333</v>
      </c>
      <c r="O378" s="585">
        <f t="shared" si="135"/>
        <v>12.660666666666664</v>
      </c>
      <c r="P378" s="585">
        <f t="shared" si="135"/>
        <v>9.4954999999999981</v>
      </c>
      <c r="Q378" s="585">
        <f t="shared" si="135"/>
        <v>6.330333333333332</v>
      </c>
      <c r="R378" s="585">
        <f t="shared" si="135"/>
        <v>3.165166666666666</v>
      </c>
    </row>
    <row r="379" spans="2:18" ht="16" thickBot="1">
      <c r="B379" s="580" t="s">
        <v>651</v>
      </c>
      <c r="C379" s="581">
        <f>C378/(1+$C$2)^(C376-$C$3)</f>
        <v>94.954999999999998</v>
      </c>
      <c r="D379" s="581">
        <f t="shared" ref="D379:R379" si="136">D378/(1+$C$2)^(D376-$C$3)</f>
        <v>78.527524430644789</v>
      </c>
      <c r="E379" s="581">
        <f t="shared" si="136"/>
        <v>64.450992036579962</v>
      </c>
      <c r="F379" s="581">
        <f t="shared" si="136"/>
        <v>52.417964673309186</v>
      </c>
      <c r="G379" s="581">
        <f t="shared" si="136"/>
        <v>42.159137301395056</v>
      </c>
      <c r="H379" s="581">
        <f t="shared" si="136"/>
        <v>33.438770004362773</v>
      </c>
      <c r="I379" s="581">
        <f t="shared" si="136"/>
        <v>26.050653871763842</v>
      </c>
      <c r="J379" s="581">
        <f t="shared" si="136"/>
        <v>19.814549491619132</v>
      </c>
      <c r="K379" s="581">
        <f t="shared" si="136"/>
        <v>14.573043725484361</v>
      </c>
      <c r="L379" s="581">
        <f t="shared" si="136"/>
        <v>10.188776593480203</v>
      </c>
      <c r="M379" s="581">
        <f t="shared" si="136"/>
        <v>6.5419955616676413</v>
      </c>
      <c r="N379" s="581">
        <f t="shared" si="136"/>
        <v>4.900554689654915</v>
      </c>
      <c r="O379" s="581">
        <f t="shared" si="136"/>
        <v>3.5241263309218538</v>
      </c>
      <c r="P379" s="581">
        <f t="shared" si="136"/>
        <v>2.3759044605924129</v>
      </c>
      <c r="Q379" s="581">
        <f t="shared" si="136"/>
        <v>1.4238162819615443</v>
      </c>
      <c r="R379" s="582">
        <f t="shared" si="136"/>
        <v>0.63994139023796737</v>
      </c>
    </row>
    <row r="380" spans="2:18" ht="15" thickBot="1">
      <c r="C380" s="587"/>
      <c r="D380" s="587"/>
      <c r="E380" s="587"/>
      <c r="F380" s="587"/>
      <c r="G380" s="587"/>
      <c r="H380" s="587"/>
      <c r="I380" s="587"/>
      <c r="J380" s="587"/>
      <c r="K380" s="587"/>
      <c r="L380" s="587"/>
      <c r="M380" s="587"/>
      <c r="N380" s="587"/>
      <c r="O380" s="587"/>
      <c r="P380" s="587"/>
      <c r="Q380" s="587"/>
      <c r="R380" s="587"/>
    </row>
    <row r="381" spans="2:18">
      <c r="B381" s="562" t="s">
        <v>652</v>
      </c>
      <c r="C381" s="583">
        <v>2009</v>
      </c>
      <c r="D381" s="583">
        <v>2010</v>
      </c>
      <c r="E381" s="583">
        <v>2011</v>
      </c>
      <c r="F381" s="583">
        <v>2012</v>
      </c>
      <c r="G381" s="583">
        <v>2013</v>
      </c>
      <c r="H381" s="583">
        <v>2014</v>
      </c>
      <c r="I381" s="583">
        <v>2015</v>
      </c>
      <c r="J381" s="583">
        <v>2016</v>
      </c>
      <c r="K381" s="583">
        <v>2017</v>
      </c>
      <c r="L381" s="583">
        <v>2018</v>
      </c>
      <c r="M381" s="583">
        <v>2019</v>
      </c>
      <c r="N381" s="583">
        <v>2020</v>
      </c>
      <c r="O381" s="583">
        <v>2021</v>
      </c>
      <c r="P381" s="583">
        <v>2022</v>
      </c>
      <c r="Q381" s="583">
        <v>2023</v>
      </c>
      <c r="R381" s="584">
        <v>2024</v>
      </c>
    </row>
    <row r="382" spans="2:18">
      <c r="B382" s="588" t="s">
        <v>653</v>
      </c>
      <c r="C382" s="589">
        <f>'[4]Scénario dossier 5'!C222</f>
        <v>-4.6523076923076925</v>
      </c>
      <c r="D382" s="589">
        <f>'[4]Scénario dossier 5'!D222</f>
        <v>-16.730245121871008</v>
      </c>
      <c r="E382" s="589">
        <f>'[4]Scénario dossier 5'!E222</f>
        <v>-37.470183940449651</v>
      </c>
      <c r="F382" s="589">
        <f>'[4]Scénario dossier 5'!F222</f>
        <v>-29.238147042758506</v>
      </c>
      <c r="G382" s="589">
        <f>'[4]Scénario dossier 5'!G222</f>
        <v>-16.883669865676229</v>
      </c>
      <c r="H382" s="589">
        <f>'[4]Scénario dossier 5'!H222</f>
        <v>5.2717190445193616</v>
      </c>
      <c r="I382" s="589">
        <f>'[4]Scénario dossier 5'!I222</f>
        <v>4.7394302817864542</v>
      </c>
      <c r="J382" s="589">
        <f>'[4]Scénario dossier 5'!J222</f>
        <v>3.4772756366300466</v>
      </c>
      <c r="K382" s="589">
        <f>'[4]Scénario dossier 5'!K222</f>
        <v>1.1888263311787912</v>
      </c>
      <c r="L382" s="589">
        <f>'[4]Scénario dossier 5'!L222</f>
        <v>0</v>
      </c>
      <c r="M382" s="589">
        <f>'[4]Scénario dossier 5'!M222</f>
        <v>0</v>
      </c>
      <c r="N382" s="589">
        <f>'[4]Scénario dossier 5'!N222</f>
        <v>0</v>
      </c>
      <c r="O382" s="589">
        <f>'[4]Scénario dossier 5'!O222</f>
        <v>0</v>
      </c>
      <c r="P382" s="589">
        <f>'[4]Scénario dossier 5'!P222</f>
        <v>0</v>
      </c>
      <c r="Q382" s="589">
        <f>'[4]Scénario dossier 5'!Q222</f>
        <v>0</v>
      </c>
      <c r="R382" s="626">
        <f>'[4]Scénario dossier 5'!R222</f>
        <v>0</v>
      </c>
    </row>
    <row r="383" spans="2:18">
      <c r="B383" s="590" t="s">
        <v>654</v>
      </c>
      <c r="C383" s="589">
        <f>'[4]Scénario dossier 5'!C223</f>
        <v>0</v>
      </c>
      <c r="D383" s="589">
        <f>'[4]Scénario dossier 5'!D223</f>
        <v>0</v>
      </c>
      <c r="E383" s="589">
        <f>'[4]Scénario dossier 5'!E223</f>
        <v>0</v>
      </c>
      <c r="F383" s="589">
        <f>'[4]Scénario dossier 5'!F223</f>
        <v>0</v>
      </c>
      <c r="G383" s="585">
        <f>'[4]Scénario dossier 5'!G223</f>
        <v>-13.369095209150121</v>
      </c>
      <c r="H383" s="585">
        <f>'[4]Scénario dossier 5'!H223</f>
        <v>32.956816369460412</v>
      </c>
      <c r="I383" s="585">
        <f>'[4]Scénario dossier 5'!I223</f>
        <v>30.277725799598755</v>
      </c>
      <c r="J383" s="585">
        <f>'[4]Scénario dossier 5'!J223</f>
        <v>28.391687540845247</v>
      </c>
      <c r="K383" s="585">
        <f>'[4]Scénario dossier 5'!K223</f>
        <v>26.101148770897222</v>
      </c>
      <c r="L383" s="585">
        <f>'[4]Scénario dossier 5'!L223</f>
        <v>24.460546326753949</v>
      </c>
      <c r="M383" s="585">
        <f>'[4]Scénario dossier 5'!M223</f>
        <v>22.501312267636575</v>
      </c>
      <c r="N383" s="585">
        <f>'[4]Scénario dossier 5'!N223</f>
        <v>21.075103955907377</v>
      </c>
      <c r="O383" s="585">
        <f>'[4]Scénario dossier 5'!O223</f>
        <v>19.39852016346715</v>
      </c>
      <c r="P383" s="585">
        <f>'[4]Scénario dossier 5'!P223</f>
        <v>18.159403383341502</v>
      </c>
      <c r="Q383" s="585">
        <f>'[4]Scénario dossier 5'!Q223</f>
        <v>16.724090574031035</v>
      </c>
      <c r="R383" s="586">
        <f>'[4]Scénario dossier 5'!R223</f>
        <v>22.445821416149265</v>
      </c>
    </row>
    <row r="384" spans="2:18">
      <c r="B384" s="592" t="s">
        <v>648</v>
      </c>
      <c r="C384" s="593">
        <f>C21</f>
        <v>-4.6523076923076925</v>
      </c>
      <c r="D384" s="593">
        <f t="shared" ref="D384:R384" si="137">D21</f>
        <v>-18.60923076923077</v>
      </c>
      <c r="E384" s="593">
        <f t="shared" si="137"/>
        <v>-46.359427055702916</v>
      </c>
      <c r="F384" s="593">
        <f t="shared" si="137"/>
        <v>-40.237241379310341</v>
      </c>
      <c r="G384" s="593">
        <f t="shared" si="137"/>
        <v>-46.309447199172403</v>
      </c>
      <c r="H384" s="593">
        <f t="shared" si="137"/>
        <v>65.088544944103347</v>
      </c>
      <c r="I384" s="593">
        <f t="shared" si="137"/>
        <v>65.578759369331152</v>
      </c>
      <c r="J384" s="593">
        <f t="shared" si="137"/>
        <v>67.133085620339997</v>
      </c>
      <c r="K384" s="593">
        <f t="shared" si="137"/>
        <v>63.206131112625229</v>
      </c>
      <c r="L384" s="593">
        <f t="shared" si="137"/>
        <v>63.752081027528938</v>
      </c>
      <c r="M384" s="593">
        <f t="shared" si="137"/>
        <v>64.495474857623719</v>
      </c>
      <c r="N384" s="593">
        <f t="shared" si="137"/>
        <v>67.962227713177342</v>
      </c>
      <c r="O384" s="593">
        <f t="shared" si="137"/>
        <v>68.845303582609034</v>
      </c>
      <c r="P384" s="593">
        <f t="shared" si="137"/>
        <v>72.456426463123023</v>
      </c>
      <c r="Q384" s="593">
        <f t="shared" si="137"/>
        <v>73.488719313247358</v>
      </c>
      <c r="R384" s="593">
        <f t="shared" si="137"/>
        <v>106.26525801361335</v>
      </c>
    </row>
    <row r="385" spans="2:18" ht="16" thickBot="1">
      <c r="B385" s="597" t="str">
        <f>B352</f>
        <v>CF actualisés</v>
      </c>
      <c r="C385" s="598">
        <f t="shared" ref="C385:R385" si="138">C382+C383</f>
        <v>-4.6523076923076925</v>
      </c>
      <c r="D385" s="598">
        <f t="shared" si="138"/>
        <v>-16.730245121871008</v>
      </c>
      <c r="E385" s="598">
        <f t="shared" si="138"/>
        <v>-37.470183940449651</v>
      </c>
      <c r="F385" s="598">
        <f t="shared" si="138"/>
        <v>-29.238147042758506</v>
      </c>
      <c r="G385" s="598">
        <f t="shared" si="138"/>
        <v>-30.25276507482635</v>
      </c>
      <c r="H385" s="598">
        <f t="shared" si="138"/>
        <v>38.22853541397977</v>
      </c>
      <c r="I385" s="598">
        <f t="shared" si="138"/>
        <v>35.01715608138521</v>
      </c>
      <c r="J385" s="598">
        <f t="shared" si="138"/>
        <v>31.868963177475294</v>
      </c>
      <c r="K385" s="598">
        <f t="shared" si="138"/>
        <v>27.289975102076014</v>
      </c>
      <c r="L385" s="598">
        <f t="shared" si="138"/>
        <v>24.460546326753949</v>
      </c>
      <c r="M385" s="598">
        <f t="shared" si="138"/>
        <v>22.501312267636575</v>
      </c>
      <c r="N385" s="598">
        <f t="shared" si="138"/>
        <v>21.075103955907377</v>
      </c>
      <c r="O385" s="598">
        <f t="shared" si="138"/>
        <v>19.39852016346715</v>
      </c>
      <c r="P385" s="598">
        <f t="shared" si="138"/>
        <v>18.159403383341502</v>
      </c>
      <c r="Q385" s="598">
        <f t="shared" si="138"/>
        <v>16.724090574031035</v>
      </c>
      <c r="R385" s="599">
        <f t="shared" si="138"/>
        <v>22.445821416149265</v>
      </c>
    </row>
    <row r="386" spans="2:18" ht="16" thickBot="1">
      <c r="C386" s="603"/>
      <c r="D386" s="603"/>
      <c r="E386" s="603"/>
      <c r="F386" s="603"/>
      <c r="G386" s="603"/>
      <c r="H386" s="603"/>
      <c r="I386" s="603"/>
      <c r="J386" s="603"/>
      <c r="K386" s="603"/>
      <c r="L386" s="603"/>
      <c r="M386" s="603"/>
      <c r="N386" s="603"/>
      <c r="O386" s="603"/>
      <c r="P386" s="603"/>
      <c r="Q386" s="603"/>
      <c r="R386" s="603"/>
    </row>
    <row r="387" spans="2:18" ht="15.5">
      <c r="B387" s="607"/>
      <c r="C387" s="608">
        <v>2009</v>
      </c>
      <c r="D387" s="608">
        <v>2010</v>
      </c>
      <c r="E387" s="608">
        <v>2011</v>
      </c>
      <c r="F387" s="608">
        <v>2012</v>
      </c>
      <c r="G387" s="608">
        <v>2013</v>
      </c>
      <c r="H387" s="608">
        <v>2014</v>
      </c>
      <c r="I387" s="608">
        <v>2015</v>
      </c>
      <c r="J387" s="608">
        <v>2016</v>
      </c>
      <c r="K387" s="608">
        <v>2017</v>
      </c>
      <c r="L387" s="608">
        <v>2018</v>
      </c>
      <c r="M387" s="608">
        <v>2019</v>
      </c>
      <c r="N387" s="608">
        <v>2020</v>
      </c>
      <c r="O387" s="608">
        <v>2021</v>
      </c>
      <c r="P387" s="608">
        <v>2022</v>
      </c>
      <c r="Q387" s="608">
        <v>2023</v>
      </c>
      <c r="R387" s="609">
        <v>2024</v>
      </c>
    </row>
    <row r="388" spans="2:18" ht="15" thickBot="1">
      <c r="B388" s="610" t="s">
        <v>656</v>
      </c>
      <c r="C388" s="611">
        <f t="shared" ref="C388:R388" si="139">C385+C379+C374</f>
        <v>-314.69730769230767</v>
      </c>
      <c r="D388" s="611">
        <f t="shared" si="139"/>
        <v>-302.26129528389532</v>
      </c>
      <c r="E388" s="611">
        <f t="shared" si="139"/>
        <v>-203.31039162535794</v>
      </c>
      <c r="F388" s="611">
        <f t="shared" si="139"/>
        <v>-183.83125869498187</v>
      </c>
      <c r="G388" s="611">
        <f t="shared" si="139"/>
        <v>28.229559874818136</v>
      </c>
      <c r="H388" s="611">
        <f t="shared" si="139"/>
        <v>86.340383018417484</v>
      </c>
      <c r="I388" s="611">
        <f t="shared" si="139"/>
        <v>74.257587029620424</v>
      </c>
      <c r="J388" s="611">
        <f t="shared" si="139"/>
        <v>108.59434457019341</v>
      </c>
      <c r="K388" s="611">
        <f t="shared" si="139"/>
        <v>93.020738187553221</v>
      </c>
      <c r="L388" s="611">
        <f t="shared" si="139"/>
        <v>80.63551153655709</v>
      </c>
      <c r="M388" s="611">
        <f t="shared" si="139"/>
        <v>70.38075543080582</v>
      </c>
      <c r="N388" s="611">
        <f t="shared" si="139"/>
        <v>63.134306179147039</v>
      </c>
      <c r="O388" s="611">
        <f t="shared" si="139"/>
        <v>56.324928605174833</v>
      </c>
      <c r="P388" s="611">
        <f t="shared" si="139"/>
        <v>79.335534081543003</v>
      </c>
      <c r="Q388" s="611">
        <f t="shared" si="139"/>
        <v>71.004021793746716</v>
      </c>
      <c r="R388" s="612">
        <f t="shared" si="139"/>
        <v>70.598656294646631</v>
      </c>
    </row>
    <row r="389" spans="2:18" ht="15" thickBot="1">
      <c r="B389" s="613" t="str">
        <f>B356</f>
        <v>Trésorerie</v>
      </c>
      <c r="C389" s="614">
        <f>C393+C394+C384+C378+C373</f>
        <v>-63.717307692307656</v>
      </c>
      <c r="D389" s="615">
        <f>C389+D384+D378+D373</f>
        <v>-399.96793846153844</v>
      </c>
      <c r="E389" s="615">
        <f t="shared" ref="E389:R389" si="140">D389+E384+E378+E373</f>
        <v>-651.56516551724133</v>
      </c>
      <c r="F389" s="615">
        <f t="shared" si="140"/>
        <v>-904.63660689655171</v>
      </c>
      <c r="G389" s="615">
        <f t="shared" si="140"/>
        <v>-861.37665409572412</v>
      </c>
      <c r="H389" s="615">
        <f t="shared" si="140"/>
        <v>-714.31510915162085</v>
      </c>
      <c r="I389" s="615">
        <f t="shared" si="140"/>
        <v>-574.35974978228967</v>
      </c>
      <c r="J389" s="615">
        <f t="shared" si="140"/>
        <v>-345.44646416194968</v>
      </c>
      <c r="K389" s="615">
        <f t="shared" si="140"/>
        <v>-128.05653304932449</v>
      </c>
      <c r="L389" s="615">
        <f t="shared" si="140"/>
        <v>82.282947978204447</v>
      </c>
      <c r="M389" s="615">
        <f t="shared" si="140"/>
        <v>285.76942283582815</v>
      </c>
      <c r="N389" s="615">
        <f t="shared" si="140"/>
        <v>489.55748388233883</v>
      </c>
      <c r="O389" s="615">
        <f t="shared" si="140"/>
        <v>691.06345413161455</v>
      </c>
      <c r="P389" s="615">
        <f t="shared" si="140"/>
        <v>1008.0153805947375</v>
      </c>
      <c r="Q389" s="615">
        <f t="shared" si="140"/>
        <v>1322.8344332413183</v>
      </c>
      <c r="R389" s="615">
        <f t="shared" si="140"/>
        <v>1667.2648579215984</v>
      </c>
    </row>
    <row r="390" spans="2:18" ht="15" thickBot="1"/>
    <row r="391" spans="2:18">
      <c r="B391" s="1039" t="s">
        <v>658</v>
      </c>
      <c r="C391" s="1040"/>
    </row>
    <row r="392" spans="2:18" ht="15.5">
      <c r="B392" s="569" t="s">
        <v>360</v>
      </c>
      <c r="C392" s="617">
        <f>SUM(C388:R388)</f>
        <v>-122.24392669431911</v>
      </c>
    </row>
    <row r="393" spans="2:18" ht="15.5">
      <c r="B393" s="569" t="s">
        <v>659</v>
      </c>
      <c r="C393" s="618">
        <f>155.21</f>
        <v>155.21</v>
      </c>
    </row>
    <row r="394" spans="2:18" ht="15.5">
      <c r="B394" s="569" t="s">
        <v>660</v>
      </c>
      <c r="C394" s="618">
        <f>95.77</f>
        <v>95.77</v>
      </c>
    </row>
    <row r="395" spans="2:18" ht="16" thickBot="1">
      <c r="B395" s="619" t="s">
        <v>661</v>
      </c>
      <c r="C395" s="620">
        <f>SUM(C392:C394)</f>
        <v>128.73607330568089</v>
      </c>
    </row>
    <row r="397" spans="2:18" ht="15.5">
      <c r="B397" s="10" t="s">
        <v>662</v>
      </c>
      <c r="C397" s="621">
        <v>15887450</v>
      </c>
    </row>
    <row r="398" spans="2:18">
      <c r="B398" s="10" t="s">
        <v>663</v>
      </c>
      <c r="C398" s="646">
        <f>(C395/C397)*1000000</f>
        <v>8.1030041514327902</v>
      </c>
    </row>
    <row r="401" spans="2:18" ht="15" thickBot="1">
      <c r="B401" s="1041" t="s">
        <v>687</v>
      </c>
      <c r="C401" s="1041"/>
      <c r="D401" s="1041"/>
      <c r="E401" s="1041"/>
    </row>
    <row r="402" spans="2:18">
      <c r="B402" s="562" t="s">
        <v>638</v>
      </c>
      <c r="C402" s="563">
        <v>2009</v>
      </c>
      <c r="D402" s="563">
        <v>2010</v>
      </c>
      <c r="E402" s="563">
        <v>2011</v>
      </c>
      <c r="F402" s="563">
        <v>2012</v>
      </c>
      <c r="G402" s="563">
        <v>2013</v>
      </c>
      <c r="H402" s="563">
        <v>2014</v>
      </c>
      <c r="I402" s="563">
        <v>2015</v>
      </c>
      <c r="J402" s="563">
        <v>2016</v>
      </c>
      <c r="K402" s="563">
        <v>2017</v>
      </c>
      <c r="L402" s="563">
        <v>2018</v>
      </c>
      <c r="M402" s="563">
        <v>2019</v>
      </c>
      <c r="N402" s="563">
        <v>2020</v>
      </c>
      <c r="O402" s="563">
        <v>2021</v>
      </c>
      <c r="P402" s="563">
        <v>2022</v>
      </c>
      <c r="Q402" s="563">
        <v>2023</v>
      </c>
      <c r="R402" s="564">
        <v>2024</v>
      </c>
    </row>
    <row r="403" spans="2:18">
      <c r="B403" s="569" t="s">
        <v>640</v>
      </c>
      <c r="C403" s="570">
        <v>-105</v>
      </c>
      <c r="D403" s="570">
        <v>-105</v>
      </c>
      <c r="E403" s="570">
        <v>-105</v>
      </c>
      <c r="F403" s="570">
        <v>-105</v>
      </c>
      <c r="G403" s="570"/>
      <c r="H403" s="570"/>
      <c r="I403" s="570"/>
      <c r="J403" s="571"/>
      <c r="K403" s="571"/>
      <c r="L403" s="571"/>
      <c r="M403" s="571"/>
      <c r="N403" s="571"/>
      <c r="O403" s="571"/>
      <c r="P403" s="571"/>
      <c r="Q403" s="571"/>
      <c r="R403" s="572"/>
    </row>
    <row r="404" spans="2:18">
      <c r="B404" s="569" t="s">
        <v>642</v>
      </c>
      <c r="C404" s="577" t="s">
        <v>643</v>
      </c>
      <c r="D404" s="577" t="s">
        <v>643</v>
      </c>
      <c r="E404" s="577" t="s">
        <v>643</v>
      </c>
      <c r="F404" s="577" t="s">
        <v>643</v>
      </c>
      <c r="G404" s="577"/>
      <c r="H404" s="577"/>
      <c r="I404" s="578"/>
      <c r="J404" s="578"/>
      <c r="K404" s="578"/>
      <c r="L404" s="578"/>
      <c r="M404" s="578"/>
      <c r="N404" s="578"/>
      <c r="O404" s="578"/>
      <c r="P404" s="578"/>
      <c r="Q404" s="578"/>
      <c r="R404" s="579"/>
    </row>
    <row r="405" spans="2:18">
      <c r="B405" s="569" t="s">
        <v>645</v>
      </c>
      <c r="C405" s="577" t="s">
        <v>646</v>
      </c>
      <c r="D405" s="577" t="s">
        <v>646</v>
      </c>
      <c r="E405" s="577" t="s">
        <v>647</v>
      </c>
      <c r="F405" s="577" t="s">
        <v>647</v>
      </c>
      <c r="G405" s="578">
        <v>120</v>
      </c>
      <c r="H405" s="578">
        <v>120</v>
      </c>
      <c r="I405" s="578">
        <v>120</v>
      </c>
      <c r="J405" s="578">
        <v>120</v>
      </c>
      <c r="K405" s="578">
        <v>120</v>
      </c>
      <c r="L405" s="578">
        <v>120</v>
      </c>
      <c r="M405" s="578">
        <v>120</v>
      </c>
      <c r="N405" s="578">
        <v>120</v>
      </c>
      <c r="O405" s="578">
        <v>120</v>
      </c>
      <c r="P405" s="578">
        <v>120</v>
      </c>
      <c r="Q405" s="578">
        <v>120</v>
      </c>
      <c r="R405" s="579">
        <v>120</v>
      </c>
    </row>
    <row r="406" spans="2:18">
      <c r="B406" s="569" t="s">
        <v>648</v>
      </c>
      <c r="C406" s="578">
        <f>C403+C404+C405</f>
        <v>-405</v>
      </c>
      <c r="D406" s="578">
        <f t="shared" ref="D406:R406" si="141">D403+D404+D405</f>
        <v>-405</v>
      </c>
      <c r="E406" s="578">
        <f t="shared" si="141"/>
        <v>-285</v>
      </c>
      <c r="F406" s="578">
        <f t="shared" si="141"/>
        <v>-285</v>
      </c>
      <c r="G406" s="578">
        <f t="shared" si="141"/>
        <v>120</v>
      </c>
      <c r="H406" s="578">
        <f t="shared" si="141"/>
        <v>120</v>
      </c>
      <c r="I406" s="578">
        <f t="shared" si="141"/>
        <v>120</v>
      </c>
      <c r="J406" s="578">
        <f t="shared" si="141"/>
        <v>120</v>
      </c>
      <c r="K406" s="578">
        <f t="shared" si="141"/>
        <v>120</v>
      </c>
      <c r="L406" s="578">
        <f t="shared" si="141"/>
        <v>120</v>
      </c>
      <c r="M406" s="578">
        <f t="shared" si="141"/>
        <v>120</v>
      </c>
      <c r="N406" s="578">
        <f t="shared" si="141"/>
        <v>120</v>
      </c>
      <c r="O406" s="578">
        <f t="shared" si="141"/>
        <v>120</v>
      </c>
      <c r="P406" s="578">
        <f t="shared" si="141"/>
        <v>120</v>
      </c>
      <c r="Q406" s="578">
        <f t="shared" si="141"/>
        <v>120</v>
      </c>
      <c r="R406" s="579">
        <f t="shared" si="141"/>
        <v>120</v>
      </c>
    </row>
    <row r="407" spans="2:18" ht="16" thickBot="1">
      <c r="B407" s="580" t="s">
        <v>649</v>
      </c>
      <c r="C407" s="581">
        <f>C406/(1+$C$2)^(C402-$C$3)</f>
        <v>-405</v>
      </c>
      <c r="D407" s="581">
        <f>D406/(1+$C$2)^(D402-$C$3)</f>
        <v>-364.05857459266912</v>
      </c>
      <c r="E407" s="581">
        <f t="shared" ref="E407:R407" si="142">E406/(1+$C$2)^(E402-$C$3)</f>
        <v>-230.29119972148825</v>
      </c>
      <c r="F407" s="581">
        <f t="shared" si="142"/>
        <v>-207.01107632553254</v>
      </c>
      <c r="G407" s="581">
        <f t="shared" si="142"/>
        <v>78.351300711597261</v>
      </c>
      <c r="H407" s="581">
        <f t="shared" si="142"/>
        <v>70.430772480359693</v>
      </c>
      <c r="I407" s="581">
        <f t="shared" si="142"/>
        <v>63.310929967062556</v>
      </c>
      <c r="J407" s="581">
        <f t="shared" si="142"/>
        <v>56.910831901098987</v>
      </c>
      <c r="K407" s="581">
        <f t="shared" si="142"/>
        <v>51.157719359992846</v>
      </c>
      <c r="L407" s="581">
        <f t="shared" si="142"/>
        <v>45.986188616322934</v>
      </c>
      <c r="M407" s="581">
        <f t="shared" si="142"/>
        <v>41.337447601501609</v>
      </c>
      <c r="N407" s="581">
        <f t="shared" si="142"/>
        <v>37.158647533584748</v>
      </c>
      <c r="O407" s="581">
        <f t="shared" si="142"/>
        <v>33.402282110785833</v>
      </c>
      <c r="P407" s="581">
        <f t="shared" si="142"/>
        <v>30.025647440481237</v>
      </c>
      <c r="Q407" s="581">
        <f t="shared" si="142"/>
        <v>26.990356563959562</v>
      </c>
      <c r="R407" s="582">
        <f t="shared" si="142"/>
        <v>24.261903057834587</v>
      </c>
    </row>
    <row r="408" spans="2:18" ht="15" thickBot="1"/>
    <row r="409" spans="2:18">
      <c r="B409" s="562" t="s">
        <v>650</v>
      </c>
      <c r="C409" s="583">
        <v>2009</v>
      </c>
      <c r="D409" s="583">
        <v>2010</v>
      </c>
      <c r="E409" s="583">
        <v>2011</v>
      </c>
      <c r="F409" s="583">
        <v>2012</v>
      </c>
      <c r="G409" s="583">
        <v>2013</v>
      </c>
      <c r="H409" s="583">
        <v>2014</v>
      </c>
      <c r="I409" s="583">
        <v>2015</v>
      </c>
      <c r="J409" s="583">
        <v>2016</v>
      </c>
      <c r="K409" s="583">
        <v>2017</v>
      </c>
      <c r="L409" s="583">
        <v>2018</v>
      </c>
      <c r="M409" s="583">
        <v>2019</v>
      </c>
      <c r="N409" s="583">
        <v>2020</v>
      </c>
      <c r="O409" s="583">
        <v>2021</v>
      </c>
      <c r="P409" s="583">
        <v>2022</v>
      </c>
      <c r="Q409" s="583">
        <v>2023</v>
      </c>
      <c r="R409" s="584">
        <v>2024</v>
      </c>
    </row>
    <row r="410" spans="2:18">
      <c r="B410" s="569"/>
      <c r="C410" s="578">
        <v>94.954999999999998</v>
      </c>
      <c r="D410" s="578">
        <v>94.954999999999998</v>
      </c>
      <c r="E410" s="578">
        <v>94.954999999999998</v>
      </c>
      <c r="F410" s="578">
        <v>94.954999999999998</v>
      </c>
      <c r="G410" s="578">
        <v>94.954999999999998</v>
      </c>
      <c r="H410" s="578">
        <v>94.954999999999998</v>
      </c>
      <c r="I410" s="578">
        <v>94.954999999999998</v>
      </c>
      <c r="J410" s="578">
        <v>94.954999999999998</v>
      </c>
      <c r="K410" s="578">
        <v>94.954999999999998</v>
      </c>
      <c r="L410" s="578">
        <v>94.954999999999998</v>
      </c>
      <c r="M410" s="578">
        <v>94.954999999999998</v>
      </c>
      <c r="N410" s="578">
        <v>94.954999999999998</v>
      </c>
      <c r="O410" s="578">
        <v>94.954999999999998</v>
      </c>
      <c r="P410" s="578">
        <v>94.954999999999998</v>
      </c>
      <c r="Q410" s="578">
        <v>94.954999999999998</v>
      </c>
      <c r="R410" s="579">
        <v>94.954999999999998</v>
      </c>
    </row>
    <row r="411" spans="2:18">
      <c r="B411" s="569" t="s">
        <v>648</v>
      </c>
      <c r="C411" s="585">
        <f>C246</f>
        <v>94.954999999999998</v>
      </c>
      <c r="D411" s="585">
        <f t="shared" ref="D411:R411" si="143">D246</f>
        <v>87.358599999999996</v>
      </c>
      <c r="E411" s="585">
        <f t="shared" si="143"/>
        <v>79.762199999999993</v>
      </c>
      <c r="F411" s="585">
        <f t="shared" si="143"/>
        <v>72.165800000000004</v>
      </c>
      <c r="G411" s="585">
        <f t="shared" si="143"/>
        <v>64.569399999999987</v>
      </c>
      <c r="H411" s="585">
        <f t="shared" si="143"/>
        <v>56.972999999999999</v>
      </c>
      <c r="I411" s="585">
        <f t="shared" si="143"/>
        <v>49.376600000000003</v>
      </c>
      <c r="J411" s="585">
        <f t="shared" si="143"/>
        <v>41.780199999999994</v>
      </c>
      <c r="K411" s="585">
        <f t="shared" si="143"/>
        <v>34.183799999999998</v>
      </c>
      <c r="L411" s="585">
        <f t="shared" si="143"/>
        <v>26.587400000000002</v>
      </c>
      <c r="M411" s="585">
        <f t="shared" si="143"/>
        <v>18.990999999999996</v>
      </c>
      <c r="N411" s="585">
        <f t="shared" si="143"/>
        <v>15.82583333333333</v>
      </c>
      <c r="O411" s="585">
        <f t="shared" si="143"/>
        <v>12.660666666666664</v>
      </c>
      <c r="P411" s="585">
        <f t="shared" si="143"/>
        <v>9.4954999999999981</v>
      </c>
      <c r="Q411" s="585">
        <f t="shared" si="143"/>
        <v>6.330333333333332</v>
      </c>
      <c r="R411" s="585">
        <f t="shared" si="143"/>
        <v>3.165166666666666</v>
      </c>
    </row>
    <row r="412" spans="2:18" ht="16" thickBot="1">
      <c r="B412" s="580" t="s">
        <v>651</v>
      </c>
      <c r="C412" s="581">
        <f>C411/(1+$C$2)^(C409-$C$3)</f>
        <v>94.954999999999998</v>
      </c>
      <c r="D412" s="581">
        <f t="shared" ref="D412:R412" si="144">D411/(1+$C$2)^(D409-$C$3)</f>
        <v>78.527524430644789</v>
      </c>
      <c r="E412" s="581">
        <f t="shared" si="144"/>
        <v>64.450992036579962</v>
      </c>
      <c r="F412" s="581">
        <f t="shared" si="144"/>
        <v>52.417964673309186</v>
      </c>
      <c r="G412" s="581">
        <f t="shared" si="144"/>
        <v>42.159137301395056</v>
      </c>
      <c r="H412" s="581">
        <f t="shared" si="144"/>
        <v>33.438770004362773</v>
      </c>
      <c r="I412" s="581">
        <f t="shared" si="144"/>
        <v>26.050653871763842</v>
      </c>
      <c r="J412" s="581">
        <f t="shared" si="144"/>
        <v>19.814549491619132</v>
      </c>
      <c r="K412" s="581">
        <f t="shared" si="144"/>
        <v>14.573043725484361</v>
      </c>
      <c r="L412" s="581">
        <f t="shared" si="144"/>
        <v>10.188776593480203</v>
      </c>
      <c r="M412" s="581">
        <f t="shared" si="144"/>
        <v>6.5419955616676413</v>
      </c>
      <c r="N412" s="581">
        <f t="shared" si="144"/>
        <v>4.900554689654915</v>
      </c>
      <c r="O412" s="581">
        <f t="shared" si="144"/>
        <v>3.5241263309218538</v>
      </c>
      <c r="P412" s="581">
        <f t="shared" si="144"/>
        <v>2.3759044605924129</v>
      </c>
      <c r="Q412" s="581">
        <f t="shared" si="144"/>
        <v>1.4238162819615443</v>
      </c>
      <c r="R412" s="582">
        <f t="shared" si="144"/>
        <v>0.63994139023796737</v>
      </c>
    </row>
    <row r="413" spans="2:18" ht="15" thickBot="1">
      <c r="C413" s="587"/>
      <c r="D413" s="587"/>
      <c r="E413" s="587"/>
      <c r="F413" s="587"/>
      <c r="G413" s="587"/>
      <c r="H413" s="587"/>
      <c r="I413" s="587"/>
      <c r="J413" s="587"/>
      <c r="K413" s="587"/>
      <c r="L413" s="587"/>
      <c r="M413" s="587"/>
      <c r="N413" s="587"/>
      <c r="O413" s="587"/>
      <c r="P413" s="587"/>
      <c r="Q413" s="587"/>
      <c r="R413" s="587"/>
    </row>
    <row r="414" spans="2:18">
      <c r="B414" s="562" t="s">
        <v>652</v>
      </c>
      <c r="C414" s="583">
        <v>2009</v>
      </c>
      <c r="D414" s="583">
        <v>2010</v>
      </c>
      <c r="E414" s="583">
        <v>2011</v>
      </c>
      <c r="F414" s="583">
        <v>2012</v>
      </c>
      <c r="G414" s="583">
        <v>2013</v>
      </c>
      <c r="H414" s="583">
        <v>2014</v>
      </c>
      <c r="I414" s="583">
        <v>2015</v>
      </c>
      <c r="J414" s="583">
        <v>2016</v>
      </c>
      <c r="K414" s="583">
        <v>2017</v>
      </c>
      <c r="L414" s="583">
        <v>2018</v>
      </c>
      <c r="M414" s="583">
        <v>2019</v>
      </c>
      <c r="N414" s="583">
        <v>2020</v>
      </c>
      <c r="O414" s="583">
        <v>2021</v>
      </c>
      <c r="P414" s="583">
        <v>2022</v>
      </c>
      <c r="Q414" s="583">
        <v>2023</v>
      </c>
      <c r="R414" s="584">
        <v>2024</v>
      </c>
    </row>
    <row r="415" spans="2:18">
      <c r="B415" s="588" t="s">
        <v>653</v>
      </c>
      <c r="C415" s="589">
        <f>'[4]Scénario dossier 5'!C222</f>
        <v>-4.6523076923076925</v>
      </c>
      <c r="D415" s="589">
        <f>'[4]Scénario dossier 5'!D222</f>
        <v>-16.730245121871008</v>
      </c>
      <c r="E415" s="589">
        <f>'[4]Scénario dossier 5'!E222</f>
        <v>-37.470183940449651</v>
      </c>
      <c r="F415" s="589">
        <f>'[4]Scénario dossier 5'!F222</f>
        <v>-29.238147042758506</v>
      </c>
      <c r="G415" s="589">
        <f>'[4]Scénario dossier 5'!G222</f>
        <v>-16.883669865676229</v>
      </c>
      <c r="H415" s="589">
        <f>'[4]Scénario dossier 5'!H222</f>
        <v>5.2717190445193616</v>
      </c>
      <c r="I415" s="589">
        <f>'[4]Scénario dossier 5'!I222</f>
        <v>4.7394302817864542</v>
      </c>
      <c r="J415" s="589">
        <f>'[4]Scénario dossier 5'!J222</f>
        <v>3.4772756366300466</v>
      </c>
      <c r="K415" s="589">
        <f>'[4]Scénario dossier 5'!K222</f>
        <v>1.1888263311787912</v>
      </c>
      <c r="L415" s="589">
        <f>'[4]Scénario dossier 5'!L222</f>
        <v>0</v>
      </c>
      <c r="M415" s="589">
        <f>'[4]Scénario dossier 5'!M222</f>
        <v>0</v>
      </c>
      <c r="N415" s="589">
        <f>'[4]Scénario dossier 5'!N222</f>
        <v>0</v>
      </c>
      <c r="O415" s="589">
        <f>'[4]Scénario dossier 5'!O222</f>
        <v>0</v>
      </c>
      <c r="P415" s="589">
        <f>'[4]Scénario dossier 5'!P222</f>
        <v>0</v>
      </c>
      <c r="Q415" s="589">
        <f>'[4]Scénario dossier 5'!Q222</f>
        <v>0</v>
      </c>
      <c r="R415" s="626">
        <f>'[4]Scénario dossier 5'!R222</f>
        <v>0</v>
      </c>
    </row>
    <row r="416" spans="2:18">
      <c r="B416" s="590" t="s">
        <v>654</v>
      </c>
      <c r="C416" s="589">
        <f>'[4]Scénario dossier 5'!C223</f>
        <v>0</v>
      </c>
      <c r="D416" s="589">
        <f>'[4]Scénario dossier 5'!D223</f>
        <v>0</v>
      </c>
      <c r="E416" s="589">
        <f>'[4]Scénario dossier 5'!E223</f>
        <v>0</v>
      </c>
      <c r="F416" s="589">
        <f>'[4]Scénario dossier 5'!F223</f>
        <v>0</v>
      </c>
      <c r="G416" s="585">
        <f>'[4]Scénario dossier 5'!G223</f>
        <v>-13.369095209150121</v>
      </c>
      <c r="H416" s="585">
        <f>'[4]Scénario dossier 5'!H223</f>
        <v>32.956816369460412</v>
      </c>
      <c r="I416" s="585">
        <f>'[4]Scénario dossier 5'!I223</f>
        <v>30.277725799598755</v>
      </c>
      <c r="J416" s="585">
        <f>'[4]Scénario dossier 5'!J223</f>
        <v>28.391687540845247</v>
      </c>
      <c r="K416" s="585">
        <f>'[4]Scénario dossier 5'!K223</f>
        <v>26.101148770897222</v>
      </c>
      <c r="L416" s="585">
        <f>'[4]Scénario dossier 5'!L223</f>
        <v>24.460546326753949</v>
      </c>
      <c r="M416" s="585">
        <f>'[4]Scénario dossier 5'!M223</f>
        <v>22.501312267636575</v>
      </c>
      <c r="N416" s="585">
        <f>'[4]Scénario dossier 5'!N223</f>
        <v>21.075103955907377</v>
      </c>
      <c r="O416" s="585">
        <f>'[4]Scénario dossier 5'!O223</f>
        <v>19.39852016346715</v>
      </c>
      <c r="P416" s="585">
        <f>'[4]Scénario dossier 5'!P223</f>
        <v>18.159403383341502</v>
      </c>
      <c r="Q416" s="585">
        <f>'[4]Scénario dossier 5'!Q223</f>
        <v>16.724090574031035</v>
      </c>
      <c r="R416" s="586">
        <f>'[4]Scénario dossier 5'!R223</f>
        <v>22.445821416149265</v>
      </c>
    </row>
    <row r="417" spans="2:18">
      <c r="B417" s="592" t="s">
        <v>648</v>
      </c>
      <c r="C417" s="593">
        <f>C21</f>
        <v>-4.6523076923076925</v>
      </c>
      <c r="D417" s="593">
        <f t="shared" ref="D417:R417" si="145">D21</f>
        <v>-18.60923076923077</v>
      </c>
      <c r="E417" s="593">
        <f t="shared" si="145"/>
        <v>-46.359427055702916</v>
      </c>
      <c r="F417" s="593">
        <f t="shared" si="145"/>
        <v>-40.237241379310341</v>
      </c>
      <c r="G417" s="593">
        <f t="shared" si="145"/>
        <v>-46.309447199172403</v>
      </c>
      <c r="H417" s="593">
        <f t="shared" si="145"/>
        <v>65.088544944103347</v>
      </c>
      <c r="I417" s="593">
        <f t="shared" si="145"/>
        <v>65.578759369331152</v>
      </c>
      <c r="J417" s="593">
        <f t="shared" si="145"/>
        <v>67.133085620339997</v>
      </c>
      <c r="K417" s="593">
        <f t="shared" si="145"/>
        <v>63.206131112625229</v>
      </c>
      <c r="L417" s="593">
        <f t="shared" si="145"/>
        <v>63.752081027528938</v>
      </c>
      <c r="M417" s="593">
        <f t="shared" si="145"/>
        <v>64.495474857623719</v>
      </c>
      <c r="N417" s="593">
        <f t="shared" si="145"/>
        <v>67.962227713177342</v>
      </c>
      <c r="O417" s="593">
        <f t="shared" si="145"/>
        <v>68.845303582609034</v>
      </c>
      <c r="P417" s="593">
        <f t="shared" si="145"/>
        <v>72.456426463123023</v>
      </c>
      <c r="Q417" s="593">
        <f t="shared" si="145"/>
        <v>73.488719313247358</v>
      </c>
      <c r="R417" s="593">
        <f t="shared" si="145"/>
        <v>106.26525801361335</v>
      </c>
    </row>
    <row r="418" spans="2:18" ht="16" thickBot="1">
      <c r="B418" s="597" t="str">
        <f>B385</f>
        <v>CF actualisés</v>
      </c>
      <c r="C418" s="598">
        <f t="shared" ref="C418:R418" si="146">C415+C416</f>
        <v>-4.6523076923076925</v>
      </c>
      <c r="D418" s="598">
        <f t="shared" si="146"/>
        <v>-16.730245121871008</v>
      </c>
      <c r="E418" s="598">
        <f t="shared" si="146"/>
        <v>-37.470183940449651</v>
      </c>
      <c r="F418" s="598">
        <f t="shared" si="146"/>
        <v>-29.238147042758506</v>
      </c>
      <c r="G418" s="598">
        <f t="shared" si="146"/>
        <v>-30.25276507482635</v>
      </c>
      <c r="H418" s="598">
        <f t="shared" si="146"/>
        <v>38.22853541397977</v>
      </c>
      <c r="I418" s="598">
        <f t="shared" si="146"/>
        <v>35.01715608138521</v>
      </c>
      <c r="J418" s="598">
        <f t="shared" si="146"/>
        <v>31.868963177475294</v>
      </c>
      <c r="K418" s="598">
        <f t="shared" si="146"/>
        <v>27.289975102076014</v>
      </c>
      <c r="L418" s="598">
        <f t="shared" si="146"/>
        <v>24.460546326753949</v>
      </c>
      <c r="M418" s="598">
        <f t="shared" si="146"/>
        <v>22.501312267636575</v>
      </c>
      <c r="N418" s="598">
        <f t="shared" si="146"/>
        <v>21.075103955907377</v>
      </c>
      <c r="O418" s="598">
        <f t="shared" si="146"/>
        <v>19.39852016346715</v>
      </c>
      <c r="P418" s="598">
        <f t="shared" si="146"/>
        <v>18.159403383341502</v>
      </c>
      <c r="Q418" s="598">
        <f t="shared" si="146"/>
        <v>16.724090574031035</v>
      </c>
      <c r="R418" s="599">
        <f t="shared" si="146"/>
        <v>22.445821416149265</v>
      </c>
    </row>
    <row r="419" spans="2:18" ht="16" thickBot="1">
      <c r="C419" s="603"/>
      <c r="D419" s="603"/>
      <c r="E419" s="603"/>
      <c r="F419" s="603"/>
      <c r="G419" s="603"/>
      <c r="H419" s="603"/>
      <c r="I419" s="603"/>
      <c r="J419" s="603"/>
      <c r="K419" s="603"/>
      <c r="L419" s="603"/>
      <c r="M419" s="603"/>
      <c r="N419" s="603"/>
      <c r="O419" s="603"/>
      <c r="P419" s="603"/>
      <c r="Q419" s="603"/>
      <c r="R419" s="603"/>
    </row>
    <row r="420" spans="2:18" ht="15.5">
      <c r="B420" s="607"/>
      <c r="C420" s="608">
        <v>2009</v>
      </c>
      <c r="D420" s="608">
        <v>2010</v>
      </c>
      <c r="E420" s="608">
        <v>2011</v>
      </c>
      <c r="F420" s="608">
        <v>2012</v>
      </c>
      <c r="G420" s="608">
        <v>2013</v>
      </c>
      <c r="H420" s="608">
        <v>2014</v>
      </c>
      <c r="I420" s="608">
        <v>2015</v>
      </c>
      <c r="J420" s="608">
        <v>2016</v>
      </c>
      <c r="K420" s="608">
        <v>2017</v>
      </c>
      <c r="L420" s="608">
        <v>2018</v>
      </c>
      <c r="M420" s="608">
        <v>2019</v>
      </c>
      <c r="N420" s="608">
        <v>2020</v>
      </c>
      <c r="O420" s="608">
        <v>2021</v>
      </c>
      <c r="P420" s="608">
        <v>2022</v>
      </c>
      <c r="Q420" s="608">
        <v>2023</v>
      </c>
      <c r="R420" s="609">
        <v>2024</v>
      </c>
    </row>
    <row r="421" spans="2:18" ht="15" thickBot="1">
      <c r="B421" s="610" t="s">
        <v>656</v>
      </c>
      <c r="C421" s="611">
        <f t="shared" ref="C421:R421" si="147">C418+C412+C407</f>
        <v>-314.69730769230767</v>
      </c>
      <c r="D421" s="611">
        <f t="shared" si="147"/>
        <v>-302.26129528389532</v>
      </c>
      <c r="E421" s="611">
        <f t="shared" si="147"/>
        <v>-203.31039162535794</v>
      </c>
      <c r="F421" s="611">
        <f t="shared" si="147"/>
        <v>-183.83125869498187</v>
      </c>
      <c r="G421" s="611">
        <f t="shared" si="147"/>
        <v>90.257672938165967</v>
      </c>
      <c r="H421" s="611">
        <f t="shared" si="147"/>
        <v>142.09807789870223</v>
      </c>
      <c r="I421" s="611">
        <f t="shared" si="147"/>
        <v>124.37873992021161</v>
      </c>
      <c r="J421" s="611">
        <f t="shared" si="147"/>
        <v>108.59434457019341</v>
      </c>
      <c r="K421" s="611">
        <f t="shared" si="147"/>
        <v>93.020738187553221</v>
      </c>
      <c r="L421" s="611">
        <f t="shared" si="147"/>
        <v>80.63551153655709</v>
      </c>
      <c r="M421" s="611">
        <f t="shared" si="147"/>
        <v>70.38075543080582</v>
      </c>
      <c r="N421" s="611">
        <f t="shared" si="147"/>
        <v>63.134306179147039</v>
      </c>
      <c r="O421" s="611">
        <f t="shared" si="147"/>
        <v>56.324928605174833</v>
      </c>
      <c r="P421" s="611">
        <f t="shared" si="147"/>
        <v>50.560955284415151</v>
      </c>
      <c r="Q421" s="611">
        <f t="shared" si="147"/>
        <v>45.138263419952139</v>
      </c>
      <c r="R421" s="612">
        <f t="shared" si="147"/>
        <v>47.347665864221824</v>
      </c>
    </row>
    <row r="422" spans="2:18" ht="15" thickBot="1">
      <c r="B422" s="613" t="str">
        <f>B389</f>
        <v>Trésorerie</v>
      </c>
      <c r="C422" s="614">
        <f>C426+C427+C417+C411+C406</f>
        <v>-63.717307692307656</v>
      </c>
      <c r="D422" s="615">
        <f>C422+D417+D411+D406</f>
        <v>-399.96793846153844</v>
      </c>
      <c r="E422" s="615">
        <f t="shared" ref="E422:R422" si="148">D422+E417+E411+E406</f>
        <v>-651.56516551724133</v>
      </c>
      <c r="F422" s="615">
        <f t="shared" si="148"/>
        <v>-904.63660689655171</v>
      </c>
      <c r="G422" s="615">
        <f t="shared" si="148"/>
        <v>-766.37665409572412</v>
      </c>
      <c r="H422" s="615">
        <f t="shared" si="148"/>
        <v>-524.31510915162085</v>
      </c>
      <c r="I422" s="615">
        <f t="shared" si="148"/>
        <v>-289.35974978228973</v>
      </c>
      <c r="J422" s="615">
        <f t="shared" si="148"/>
        <v>-60.446464161949734</v>
      </c>
      <c r="K422" s="615">
        <f t="shared" si="148"/>
        <v>156.94346695067549</v>
      </c>
      <c r="L422" s="615">
        <f t="shared" si="148"/>
        <v>367.28294797820445</v>
      </c>
      <c r="M422" s="615">
        <f t="shared" si="148"/>
        <v>570.76942283582821</v>
      </c>
      <c r="N422" s="615">
        <f t="shared" si="148"/>
        <v>774.55748388233883</v>
      </c>
      <c r="O422" s="615">
        <f t="shared" si="148"/>
        <v>976.06345413161455</v>
      </c>
      <c r="P422" s="615">
        <f t="shared" si="148"/>
        <v>1178.0153805947375</v>
      </c>
      <c r="Q422" s="615">
        <f t="shared" si="148"/>
        <v>1377.8344332413183</v>
      </c>
      <c r="R422" s="615">
        <f t="shared" si="148"/>
        <v>1607.2648579215984</v>
      </c>
    </row>
    <row r="423" spans="2:18" ht="15" thickBot="1"/>
    <row r="424" spans="2:18">
      <c r="B424" s="1039" t="s">
        <v>658</v>
      </c>
      <c r="C424" s="1040"/>
    </row>
    <row r="425" spans="2:18" ht="15.5">
      <c r="B425" s="569" t="s">
        <v>360</v>
      </c>
      <c r="C425" s="617">
        <f>SUM(C421:R421)</f>
        <v>-32.228293461442448</v>
      </c>
    </row>
    <row r="426" spans="2:18" ht="15.5">
      <c r="B426" s="569" t="s">
        <v>659</v>
      </c>
      <c r="C426" s="618">
        <f>155.21</f>
        <v>155.21</v>
      </c>
    </row>
    <row r="427" spans="2:18" ht="15.5">
      <c r="B427" s="569" t="s">
        <v>660</v>
      </c>
      <c r="C427" s="618">
        <f>95.77</f>
        <v>95.77</v>
      </c>
    </row>
    <row r="428" spans="2:18" ht="16" thickBot="1">
      <c r="B428" s="619" t="s">
        <v>661</v>
      </c>
      <c r="C428" s="620">
        <f>SUM(C425:C427)</f>
        <v>218.75170653855756</v>
      </c>
    </row>
    <row r="430" spans="2:18" ht="15.5">
      <c r="B430" s="10" t="s">
        <v>662</v>
      </c>
      <c r="C430" s="621">
        <v>15887450</v>
      </c>
    </row>
    <row r="431" spans="2:18">
      <c r="B431" s="10" t="s">
        <v>663</v>
      </c>
      <c r="C431" s="646">
        <f>(C428/C430)*1000000</f>
        <v>13.768836820166706</v>
      </c>
    </row>
    <row r="434" spans="2:18" ht="15" thickBot="1">
      <c r="B434" s="1041" t="s">
        <v>688</v>
      </c>
      <c r="C434" s="1041"/>
      <c r="D434" s="1041"/>
      <c r="E434" s="1041"/>
    </row>
    <row r="435" spans="2:18">
      <c r="B435" s="562" t="s">
        <v>638</v>
      </c>
      <c r="C435" s="563">
        <v>2009</v>
      </c>
      <c r="D435" s="563">
        <v>2010</v>
      </c>
      <c r="E435" s="563">
        <v>2011</v>
      </c>
      <c r="F435" s="563">
        <v>2012</v>
      </c>
      <c r="G435" s="563">
        <v>2013</v>
      </c>
      <c r="H435" s="563">
        <v>2014</v>
      </c>
      <c r="I435" s="563">
        <v>2015</v>
      </c>
      <c r="J435" s="563">
        <v>2016</v>
      </c>
      <c r="K435" s="563">
        <v>2017</v>
      </c>
      <c r="L435" s="563">
        <v>2018</v>
      </c>
      <c r="M435" s="563">
        <v>2019</v>
      </c>
      <c r="N435" s="563">
        <v>2020</v>
      </c>
      <c r="O435" s="563">
        <v>2021</v>
      </c>
      <c r="P435" s="563">
        <v>2022</v>
      </c>
      <c r="Q435" s="563">
        <v>2023</v>
      </c>
      <c r="R435" s="564">
        <v>2024</v>
      </c>
    </row>
    <row r="436" spans="2:18">
      <c r="B436" s="569" t="s">
        <v>640</v>
      </c>
      <c r="C436" s="570">
        <v>-105</v>
      </c>
      <c r="D436" s="570">
        <v>-105</v>
      </c>
      <c r="E436" s="570">
        <v>-105</v>
      </c>
      <c r="F436" s="570">
        <v>-105</v>
      </c>
      <c r="G436" s="570">
        <v>-95</v>
      </c>
      <c r="H436" s="570">
        <v>-95</v>
      </c>
      <c r="I436" s="570">
        <v>-95</v>
      </c>
      <c r="J436" s="571"/>
      <c r="K436" s="571"/>
      <c r="L436" s="571"/>
      <c r="M436" s="571"/>
      <c r="N436" s="571"/>
      <c r="O436" s="571"/>
      <c r="P436" s="571"/>
      <c r="Q436" s="571"/>
      <c r="R436" s="572"/>
    </row>
    <row r="437" spans="2:18">
      <c r="B437" s="569" t="s">
        <v>642</v>
      </c>
      <c r="C437" s="577" t="s">
        <v>643</v>
      </c>
      <c r="D437" s="577" t="s">
        <v>643</v>
      </c>
      <c r="E437" s="577" t="s">
        <v>643</v>
      </c>
      <c r="F437" s="577" t="s">
        <v>643</v>
      </c>
      <c r="G437" s="577" t="s">
        <v>644</v>
      </c>
      <c r="H437" s="577" t="s">
        <v>644</v>
      </c>
      <c r="I437" s="578">
        <v>115</v>
      </c>
      <c r="J437" s="578">
        <v>115</v>
      </c>
      <c r="K437" s="578">
        <v>115</v>
      </c>
      <c r="L437" s="578">
        <v>115</v>
      </c>
      <c r="M437" s="578">
        <v>115</v>
      </c>
      <c r="N437" s="578">
        <v>115</v>
      </c>
      <c r="O437" s="578">
        <v>115</v>
      </c>
      <c r="P437" s="578">
        <v>115</v>
      </c>
      <c r="Q437" s="578">
        <v>115</v>
      </c>
      <c r="R437" s="579">
        <v>115</v>
      </c>
    </row>
    <row r="438" spans="2:18">
      <c r="B438" s="569" t="s">
        <v>645</v>
      </c>
      <c r="C438" s="577" t="s">
        <v>646</v>
      </c>
      <c r="D438" s="577" t="s">
        <v>646</v>
      </c>
      <c r="E438" s="577" t="s">
        <v>647</v>
      </c>
      <c r="F438" s="577" t="s">
        <v>647</v>
      </c>
      <c r="G438" s="578"/>
      <c r="H438" s="578"/>
      <c r="I438" s="578"/>
      <c r="J438" s="578"/>
      <c r="K438" s="578"/>
      <c r="L438" s="578"/>
      <c r="M438" s="578"/>
      <c r="N438" s="578"/>
      <c r="O438" s="578"/>
      <c r="P438" s="578"/>
      <c r="Q438" s="578"/>
      <c r="R438" s="579"/>
    </row>
    <row r="439" spans="2:18">
      <c r="B439" s="569" t="s">
        <v>648</v>
      </c>
      <c r="C439" s="578">
        <f>C436+C437+C438</f>
        <v>-405</v>
      </c>
      <c r="D439" s="578">
        <f t="shared" ref="D439:R439" si="149">D436+D437+D438</f>
        <v>-405</v>
      </c>
      <c r="E439" s="578">
        <f t="shared" si="149"/>
        <v>-285</v>
      </c>
      <c r="F439" s="578">
        <f t="shared" si="149"/>
        <v>-285</v>
      </c>
      <c r="G439" s="578">
        <f t="shared" si="149"/>
        <v>-140</v>
      </c>
      <c r="H439" s="578">
        <f t="shared" si="149"/>
        <v>-140</v>
      </c>
      <c r="I439" s="578">
        <f t="shared" si="149"/>
        <v>20</v>
      </c>
      <c r="J439" s="578">
        <f t="shared" si="149"/>
        <v>115</v>
      </c>
      <c r="K439" s="578">
        <f t="shared" si="149"/>
        <v>115</v>
      </c>
      <c r="L439" s="578">
        <f t="shared" si="149"/>
        <v>115</v>
      </c>
      <c r="M439" s="578">
        <f t="shared" si="149"/>
        <v>115</v>
      </c>
      <c r="N439" s="578">
        <f t="shared" si="149"/>
        <v>115</v>
      </c>
      <c r="O439" s="578">
        <f t="shared" si="149"/>
        <v>115</v>
      </c>
      <c r="P439" s="578">
        <f t="shared" si="149"/>
        <v>115</v>
      </c>
      <c r="Q439" s="578">
        <f t="shared" si="149"/>
        <v>115</v>
      </c>
      <c r="R439" s="579">
        <f t="shared" si="149"/>
        <v>115</v>
      </c>
    </row>
    <row r="440" spans="2:18" ht="16" thickBot="1">
      <c r="B440" s="580" t="s">
        <v>649</v>
      </c>
      <c r="C440" s="581">
        <f>C439/(1+$C$2)^(C435-$C$3)</f>
        <v>-405</v>
      </c>
      <c r="D440" s="581">
        <f>D439/(1+$C$2)^(D435-$C$3)</f>
        <v>-364.05857459266912</v>
      </c>
      <c r="E440" s="581">
        <f t="shared" ref="E440:R440" si="150">E439/(1+$C$2)^(E435-$C$3)</f>
        <v>-230.29119972148825</v>
      </c>
      <c r="F440" s="581">
        <f t="shared" si="150"/>
        <v>-207.01107632553254</v>
      </c>
      <c r="G440" s="581">
        <f t="shared" si="150"/>
        <v>-91.409850830196802</v>
      </c>
      <c r="H440" s="581">
        <f t="shared" si="150"/>
        <v>-82.169234560419639</v>
      </c>
      <c r="I440" s="581">
        <f t="shared" si="150"/>
        <v>10.551821661177092</v>
      </c>
      <c r="J440" s="581">
        <f t="shared" si="150"/>
        <v>54.539547238553197</v>
      </c>
      <c r="K440" s="581">
        <f t="shared" si="150"/>
        <v>49.026147719993141</v>
      </c>
      <c r="L440" s="581">
        <f t="shared" si="150"/>
        <v>44.070097423976144</v>
      </c>
      <c r="M440" s="581">
        <f t="shared" si="150"/>
        <v>39.615053951439045</v>
      </c>
      <c r="N440" s="581">
        <f t="shared" si="150"/>
        <v>35.610370553018718</v>
      </c>
      <c r="O440" s="581">
        <f t="shared" si="150"/>
        <v>32.010520356169756</v>
      </c>
      <c r="P440" s="581">
        <f t="shared" si="150"/>
        <v>28.774578797127852</v>
      </c>
      <c r="Q440" s="581">
        <f t="shared" si="150"/>
        <v>25.865758373794581</v>
      </c>
      <c r="R440" s="582">
        <f t="shared" si="150"/>
        <v>23.25099043042481</v>
      </c>
    </row>
    <row r="441" spans="2:18" ht="15" thickBot="1"/>
    <row r="442" spans="2:18">
      <c r="B442" s="562" t="s">
        <v>650</v>
      </c>
      <c r="C442" s="583">
        <v>2009</v>
      </c>
      <c r="D442" s="583">
        <v>2010</v>
      </c>
      <c r="E442" s="583">
        <v>2011</v>
      </c>
      <c r="F442" s="583">
        <v>2012</v>
      </c>
      <c r="G442" s="583">
        <v>2013</v>
      </c>
      <c r="H442" s="583">
        <v>2014</v>
      </c>
      <c r="I442" s="583">
        <v>2015</v>
      </c>
      <c r="J442" s="583">
        <v>2016</v>
      </c>
      <c r="K442" s="583">
        <v>2017</v>
      </c>
      <c r="L442" s="583">
        <v>2018</v>
      </c>
      <c r="M442" s="583">
        <v>2019</v>
      </c>
      <c r="N442" s="583">
        <v>2020</v>
      </c>
      <c r="O442" s="583">
        <v>2021</v>
      </c>
      <c r="P442" s="583">
        <v>2022</v>
      </c>
      <c r="Q442" s="583">
        <v>2023</v>
      </c>
      <c r="R442" s="584">
        <v>2024</v>
      </c>
    </row>
    <row r="443" spans="2:18">
      <c r="B443" s="569"/>
      <c r="C443" s="578">
        <v>94.954999999999998</v>
      </c>
      <c r="D443" s="578">
        <v>94.954999999999998</v>
      </c>
      <c r="E443" s="578">
        <v>94.954999999999998</v>
      </c>
      <c r="F443" s="578">
        <v>94.954999999999998</v>
      </c>
      <c r="G443" s="578">
        <v>94.954999999999998</v>
      </c>
      <c r="H443" s="578">
        <v>94.954999999999998</v>
      </c>
      <c r="I443" s="578">
        <v>94.954999999999998</v>
      </c>
      <c r="J443" s="578">
        <v>94.954999999999998</v>
      </c>
      <c r="K443" s="578">
        <v>94.954999999999998</v>
      </c>
      <c r="L443" s="578">
        <v>94.954999999999998</v>
      </c>
      <c r="M443" s="578">
        <v>94.954999999999998</v>
      </c>
      <c r="N443" s="578">
        <v>94.954999999999998</v>
      </c>
      <c r="O443" s="578">
        <v>94.954999999999998</v>
      </c>
      <c r="P443" s="578">
        <v>94.954999999999998</v>
      </c>
      <c r="Q443" s="578">
        <v>94.954999999999998</v>
      </c>
      <c r="R443" s="579">
        <v>94.954999999999998</v>
      </c>
    </row>
    <row r="444" spans="2:18">
      <c r="B444" s="569" t="s">
        <v>648</v>
      </c>
      <c r="C444" s="585">
        <f>C246</f>
        <v>94.954999999999998</v>
      </c>
      <c r="D444" s="585">
        <f t="shared" ref="D444:R444" si="151">D246</f>
        <v>87.358599999999996</v>
      </c>
      <c r="E444" s="585">
        <f t="shared" si="151"/>
        <v>79.762199999999993</v>
      </c>
      <c r="F444" s="585">
        <f t="shared" si="151"/>
        <v>72.165800000000004</v>
      </c>
      <c r="G444" s="585">
        <f t="shared" si="151"/>
        <v>64.569399999999987</v>
      </c>
      <c r="H444" s="585">
        <f t="shared" si="151"/>
        <v>56.972999999999999</v>
      </c>
      <c r="I444" s="585">
        <f t="shared" si="151"/>
        <v>49.376600000000003</v>
      </c>
      <c r="J444" s="585">
        <f t="shared" si="151"/>
        <v>41.780199999999994</v>
      </c>
      <c r="K444" s="585">
        <f t="shared" si="151"/>
        <v>34.183799999999998</v>
      </c>
      <c r="L444" s="585">
        <f t="shared" si="151"/>
        <v>26.587400000000002</v>
      </c>
      <c r="M444" s="585">
        <f t="shared" si="151"/>
        <v>18.990999999999996</v>
      </c>
      <c r="N444" s="585">
        <f t="shared" si="151"/>
        <v>15.82583333333333</v>
      </c>
      <c r="O444" s="585">
        <f t="shared" si="151"/>
        <v>12.660666666666664</v>
      </c>
      <c r="P444" s="585">
        <f t="shared" si="151"/>
        <v>9.4954999999999981</v>
      </c>
      <c r="Q444" s="585">
        <f t="shared" si="151"/>
        <v>6.330333333333332</v>
      </c>
      <c r="R444" s="585">
        <f t="shared" si="151"/>
        <v>3.165166666666666</v>
      </c>
    </row>
    <row r="445" spans="2:18" ht="16" thickBot="1">
      <c r="B445" s="580" t="s">
        <v>651</v>
      </c>
      <c r="C445" s="581">
        <f>C444/(1+$C$2)^(C442-$C$3)</f>
        <v>94.954999999999998</v>
      </c>
      <c r="D445" s="581">
        <f t="shared" ref="D445:R445" si="152">D444/(1+$C$2)^(D442-$C$3)</f>
        <v>78.527524430644789</v>
      </c>
      <c r="E445" s="581">
        <f t="shared" si="152"/>
        <v>64.450992036579962</v>
      </c>
      <c r="F445" s="581">
        <f t="shared" si="152"/>
        <v>52.417964673309186</v>
      </c>
      <c r="G445" s="581">
        <f t="shared" si="152"/>
        <v>42.159137301395056</v>
      </c>
      <c r="H445" s="581">
        <f t="shared" si="152"/>
        <v>33.438770004362773</v>
      </c>
      <c r="I445" s="581">
        <f t="shared" si="152"/>
        <v>26.050653871763842</v>
      </c>
      <c r="J445" s="581">
        <f t="shared" si="152"/>
        <v>19.814549491619132</v>
      </c>
      <c r="K445" s="581">
        <f t="shared" si="152"/>
        <v>14.573043725484361</v>
      </c>
      <c r="L445" s="581">
        <f t="shared" si="152"/>
        <v>10.188776593480203</v>
      </c>
      <c r="M445" s="581">
        <f t="shared" si="152"/>
        <v>6.5419955616676413</v>
      </c>
      <c r="N445" s="581">
        <f t="shared" si="152"/>
        <v>4.900554689654915</v>
      </c>
      <c r="O445" s="581">
        <f t="shared" si="152"/>
        <v>3.5241263309218538</v>
      </c>
      <c r="P445" s="581">
        <f t="shared" si="152"/>
        <v>2.3759044605924129</v>
      </c>
      <c r="Q445" s="581">
        <f t="shared" si="152"/>
        <v>1.4238162819615443</v>
      </c>
      <c r="R445" s="582">
        <f t="shared" si="152"/>
        <v>0.63994139023796737</v>
      </c>
    </row>
    <row r="446" spans="2:18" ht="15" thickBot="1">
      <c r="C446" s="587"/>
      <c r="D446" s="587"/>
      <c r="E446" s="587"/>
      <c r="F446" s="587"/>
      <c r="G446" s="587"/>
      <c r="H446" s="587"/>
      <c r="I446" s="587"/>
      <c r="J446" s="587"/>
      <c r="K446" s="587"/>
      <c r="L446" s="587"/>
      <c r="M446" s="587"/>
      <c r="N446" s="587"/>
      <c r="O446" s="587"/>
      <c r="P446" s="587"/>
      <c r="Q446" s="587"/>
      <c r="R446" s="587"/>
    </row>
    <row r="447" spans="2:18">
      <c r="B447" s="562" t="s">
        <v>652</v>
      </c>
      <c r="C447" s="583">
        <v>2009</v>
      </c>
      <c r="D447" s="583">
        <v>2010</v>
      </c>
      <c r="E447" s="583">
        <v>2011</v>
      </c>
      <c r="F447" s="583">
        <v>2012</v>
      </c>
      <c r="G447" s="583">
        <v>2013</v>
      </c>
      <c r="H447" s="583">
        <v>2014</v>
      </c>
      <c r="I447" s="583">
        <v>2015</v>
      </c>
      <c r="J447" s="583">
        <v>2016</v>
      </c>
      <c r="K447" s="583">
        <v>2017</v>
      </c>
      <c r="L447" s="583">
        <v>2018</v>
      </c>
      <c r="M447" s="583">
        <v>2019</v>
      </c>
      <c r="N447" s="583">
        <v>2020</v>
      </c>
      <c r="O447" s="583">
        <v>2021</v>
      </c>
      <c r="P447" s="583">
        <v>2022</v>
      </c>
      <c r="Q447" s="583">
        <v>2023</v>
      </c>
      <c r="R447" s="584">
        <v>2024</v>
      </c>
    </row>
    <row r="448" spans="2:18">
      <c r="B448" s="588" t="s">
        <v>653</v>
      </c>
      <c r="C448" s="589">
        <f>'[4]Scénario dossier 5'!C222</f>
        <v>-4.6523076923076925</v>
      </c>
      <c r="D448" s="589">
        <f>'[4]Scénario dossier 5'!D222</f>
        <v>-16.730245121871008</v>
      </c>
      <c r="E448" s="589">
        <f>'[4]Scénario dossier 5'!E222</f>
        <v>-37.470183940449651</v>
      </c>
      <c r="F448" s="589">
        <f>'[4]Scénario dossier 5'!F222</f>
        <v>-29.238147042758506</v>
      </c>
      <c r="G448" s="589">
        <f>'[4]Scénario dossier 5'!G222</f>
        <v>-16.883669865676229</v>
      </c>
      <c r="H448" s="589">
        <f>'[4]Scénario dossier 5'!H222</f>
        <v>5.2717190445193616</v>
      </c>
      <c r="I448" s="589">
        <f>'[4]Scénario dossier 5'!I222</f>
        <v>4.7394302817864542</v>
      </c>
      <c r="J448" s="589">
        <f>'[4]Scénario dossier 5'!J222</f>
        <v>3.4772756366300466</v>
      </c>
      <c r="K448" s="589">
        <f>'[4]Scénario dossier 5'!K222</f>
        <v>1.1888263311787912</v>
      </c>
      <c r="L448" s="589">
        <f>'[4]Scénario dossier 5'!L222</f>
        <v>0</v>
      </c>
      <c r="M448" s="589">
        <f>'[4]Scénario dossier 5'!M222</f>
        <v>0</v>
      </c>
      <c r="N448" s="589">
        <f>'[4]Scénario dossier 5'!N222</f>
        <v>0</v>
      </c>
      <c r="O448" s="589">
        <f>'[4]Scénario dossier 5'!O222</f>
        <v>0</v>
      </c>
      <c r="P448" s="589">
        <f>'[4]Scénario dossier 5'!P222</f>
        <v>0</v>
      </c>
      <c r="Q448" s="589">
        <f>'[4]Scénario dossier 5'!Q222</f>
        <v>0</v>
      </c>
      <c r="R448" s="626">
        <f>'[4]Scénario dossier 5'!R222</f>
        <v>0</v>
      </c>
    </row>
    <row r="449" spans="2:18">
      <c r="B449" s="590" t="s">
        <v>654</v>
      </c>
      <c r="C449" s="589">
        <f>'[4]Scénario dossier 5'!C223</f>
        <v>0</v>
      </c>
      <c r="D449" s="589">
        <f>'[4]Scénario dossier 5'!D223</f>
        <v>0</v>
      </c>
      <c r="E449" s="589">
        <f>'[4]Scénario dossier 5'!E223</f>
        <v>0</v>
      </c>
      <c r="F449" s="589">
        <f>'[4]Scénario dossier 5'!F223</f>
        <v>0</v>
      </c>
      <c r="G449" s="585">
        <f>'[4]Scénario dossier 5'!G223</f>
        <v>-13.369095209150121</v>
      </c>
      <c r="H449" s="585">
        <f>'[4]Scénario dossier 5'!H223</f>
        <v>32.956816369460412</v>
      </c>
      <c r="I449" s="585">
        <f>'[4]Scénario dossier 5'!I223</f>
        <v>30.277725799598755</v>
      </c>
      <c r="J449" s="585">
        <f>'[4]Scénario dossier 5'!J223</f>
        <v>28.391687540845247</v>
      </c>
      <c r="K449" s="585">
        <f>'[4]Scénario dossier 5'!K223</f>
        <v>26.101148770897222</v>
      </c>
      <c r="L449" s="585">
        <f>'[4]Scénario dossier 5'!L223</f>
        <v>24.460546326753949</v>
      </c>
      <c r="M449" s="585">
        <f>'[4]Scénario dossier 5'!M223</f>
        <v>22.501312267636575</v>
      </c>
      <c r="N449" s="585">
        <f>'[4]Scénario dossier 5'!N223</f>
        <v>21.075103955907377</v>
      </c>
      <c r="O449" s="585">
        <f>'[4]Scénario dossier 5'!O223</f>
        <v>19.39852016346715</v>
      </c>
      <c r="P449" s="585">
        <f>'[4]Scénario dossier 5'!P223</f>
        <v>18.159403383341502</v>
      </c>
      <c r="Q449" s="585">
        <f>'[4]Scénario dossier 5'!Q223</f>
        <v>16.724090574031035</v>
      </c>
      <c r="R449" s="586">
        <f>'[4]Scénario dossier 5'!R223</f>
        <v>22.445821416149265</v>
      </c>
    </row>
    <row r="450" spans="2:18">
      <c r="B450" s="592" t="s">
        <v>648</v>
      </c>
      <c r="C450" s="593">
        <f>C21</f>
        <v>-4.6523076923076925</v>
      </c>
      <c r="D450" s="593">
        <f t="shared" ref="D450:R450" si="153">D21</f>
        <v>-18.60923076923077</v>
      </c>
      <c r="E450" s="593">
        <f t="shared" si="153"/>
        <v>-46.359427055702916</v>
      </c>
      <c r="F450" s="593">
        <f t="shared" si="153"/>
        <v>-40.237241379310341</v>
      </c>
      <c r="G450" s="593">
        <f t="shared" si="153"/>
        <v>-46.309447199172403</v>
      </c>
      <c r="H450" s="593">
        <f t="shared" si="153"/>
        <v>65.088544944103347</v>
      </c>
      <c r="I450" s="593">
        <f t="shared" si="153"/>
        <v>65.578759369331152</v>
      </c>
      <c r="J450" s="593">
        <f t="shared" si="153"/>
        <v>67.133085620339997</v>
      </c>
      <c r="K450" s="593">
        <f t="shared" si="153"/>
        <v>63.206131112625229</v>
      </c>
      <c r="L450" s="593">
        <f t="shared" si="153"/>
        <v>63.752081027528938</v>
      </c>
      <c r="M450" s="593">
        <f t="shared" si="153"/>
        <v>64.495474857623719</v>
      </c>
      <c r="N450" s="593">
        <f t="shared" si="153"/>
        <v>67.962227713177342</v>
      </c>
      <c r="O450" s="593">
        <f t="shared" si="153"/>
        <v>68.845303582609034</v>
      </c>
      <c r="P450" s="593">
        <f t="shared" si="153"/>
        <v>72.456426463123023</v>
      </c>
      <c r="Q450" s="593">
        <f t="shared" si="153"/>
        <v>73.488719313247358</v>
      </c>
      <c r="R450" s="593">
        <f t="shared" si="153"/>
        <v>106.26525801361335</v>
      </c>
    </row>
    <row r="451" spans="2:18" ht="16" thickBot="1">
      <c r="B451" s="597" t="str">
        <f>B418</f>
        <v>CF actualisés</v>
      </c>
      <c r="C451" s="598">
        <f t="shared" ref="C451:R451" si="154">C448+C449</f>
        <v>-4.6523076923076925</v>
      </c>
      <c r="D451" s="598">
        <f t="shared" si="154"/>
        <v>-16.730245121871008</v>
      </c>
      <c r="E451" s="598">
        <f t="shared" si="154"/>
        <v>-37.470183940449651</v>
      </c>
      <c r="F451" s="598">
        <f t="shared" si="154"/>
        <v>-29.238147042758506</v>
      </c>
      <c r="G451" s="598">
        <f t="shared" si="154"/>
        <v>-30.25276507482635</v>
      </c>
      <c r="H451" s="598">
        <f t="shared" si="154"/>
        <v>38.22853541397977</v>
      </c>
      <c r="I451" s="598">
        <f t="shared" si="154"/>
        <v>35.01715608138521</v>
      </c>
      <c r="J451" s="598">
        <f t="shared" si="154"/>
        <v>31.868963177475294</v>
      </c>
      <c r="K451" s="598">
        <f t="shared" si="154"/>
        <v>27.289975102076014</v>
      </c>
      <c r="L451" s="598">
        <f t="shared" si="154"/>
        <v>24.460546326753949</v>
      </c>
      <c r="M451" s="598">
        <f t="shared" si="154"/>
        <v>22.501312267636575</v>
      </c>
      <c r="N451" s="598">
        <f t="shared" si="154"/>
        <v>21.075103955907377</v>
      </c>
      <c r="O451" s="598">
        <f t="shared" si="154"/>
        <v>19.39852016346715</v>
      </c>
      <c r="P451" s="598">
        <f t="shared" si="154"/>
        <v>18.159403383341502</v>
      </c>
      <c r="Q451" s="598">
        <f t="shared" si="154"/>
        <v>16.724090574031035</v>
      </c>
      <c r="R451" s="599">
        <f t="shared" si="154"/>
        <v>22.445821416149265</v>
      </c>
    </row>
    <row r="452" spans="2:18" ht="16" thickBot="1">
      <c r="C452" s="603"/>
      <c r="D452" s="603"/>
      <c r="E452" s="603"/>
      <c r="F452" s="603"/>
      <c r="G452" s="603"/>
      <c r="H452" s="603"/>
      <c r="I452" s="603"/>
      <c r="J452" s="603"/>
      <c r="K452" s="603"/>
      <c r="L452" s="603"/>
      <c r="M452" s="603"/>
      <c r="N452" s="603"/>
      <c r="O452" s="603"/>
      <c r="P452" s="603"/>
      <c r="Q452" s="603"/>
      <c r="R452" s="603"/>
    </row>
    <row r="453" spans="2:18" ht="15.5">
      <c r="B453" s="607"/>
      <c r="C453" s="608">
        <v>2009</v>
      </c>
      <c r="D453" s="608">
        <v>2010</v>
      </c>
      <c r="E453" s="608">
        <v>2011</v>
      </c>
      <c r="F453" s="608">
        <v>2012</v>
      </c>
      <c r="G453" s="608">
        <v>2013</v>
      </c>
      <c r="H453" s="608">
        <v>2014</v>
      </c>
      <c r="I453" s="608">
        <v>2015</v>
      </c>
      <c r="J453" s="608">
        <v>2016</v>
      </c>
      <c r="K453" s="608">
        <v>2017</v>
      </c>
      <c r="L453" s="608">
        <v>2018</v>
      </c>
      <c r="M453" s="608">
        <v>2019</v>
      </c>
      <c r="N453" s="608">
        <v>2020</v>
      </c>
      <c r="O453" s="608">
        <v>2021</v>
      </c>
      <c r="P453" s="608">
        <v>2022</v>
      </c>
      <c r="Q453" s="608">
        <v>2023</v>
      </c>
      <c r="R453" s="609">
        <v>2024</v>
      </c>
    </row>
    <row r="454" spans="2:18" ht="15" thickBot="1">
      <c r="B454" s="610" t="s">
        <v>656</v>
      </c>
      <c r="C454" s="611">
        <f t="shared" ref="C454:R454" si="155">C451+C445+C440</f>
        <v>-314.69730769230767</v>
      </c>
      <c r="D454" s="611">
        <f t="shared" si="155"/>
        <v>-302.26129528389532</v>
      </c>
      <c r="E454" s="611">
        <f t="shared" si="155"/>
        <v>-203.31039162535794</v>
      </c>
      <c r="F454" s="611">
        <f t="shared" si="155"/>
        <v>-183.83125869498187</v>
      </c>
      <c r="G454" s="611">
        <f t="shared" si="155"/>
        <v>-79.503478603628096</v>
      </c>
      <c r="H454" s="611">
        <f t="shared" si="155"/>
        <v>-10.501929142077088</v>
      </c>
      <c r="I454" s="611">
        <f t="shared" si="155"/>
        <v>71.619631614326138</v>
      </c>
      <c r="J454" s="611">
        <f t="shared" si="155"/>
        <v>106.22305990764762</v>
      </c>
      <c r="K454" s="611">
        <f t="shared" si="155"/>
        <v>90.889166547553515</v>
      </c>
      <c r="L454" s="611">
        <f t="shared" si="155"/>
        <v>78.719420344210306</v>
      </c>
      <c r="M454" s="611">
        <f t="shared" si="155"/>
        <v>68.658361780743263</v>
      </c>
      <c r="N454" s="611">
        <f t="shared" si="155"/>
        <v>61.586029198581009</v>
      </c>
      <c r="O454" s="611">
        <f t="shared" si="155"/>
        <v>54.933166850558763</v>
      </c>
      <c r="P454" s="611">
        <f t="shared" si="155"/>
        <v>49.309886641061766</v>
      </c>
      <c r="Q454" s="611">
        <f t="shared" si="155"/>
        <v>44.013665229787165</v>
      </c>
      <c r="R454" s="612">
        <f t="shared" si="155"/>
        <v>46.336753236812044</v>
      </c>
    </row>
    <row r="455" spans="2:18" ht="15" thickBot="1">
      <c r="B455" s="613" t="str">
        <f>B422</f>
        <v>Trésorerie</v>
      </c>
      <c r="C455" s="614">
        <f>C459+C460+C450+C444+C439</f>
        <v>-63.717307692307656</v>
      </c>
      <c r="D455" s="615">
        <f>C455+D450+D444+D439</f>
        <v>-399.96793846153844</v>
      </c>
      <c r="E455" s="615">
        <f t="shared" ref="E455:R455" si="156">D455+E450+E444+E439</f>
        <v>-651.56516551724133</v>
      </c>
      <c r="F455" s="615">
        <f t="shared" si="156"/>
        <v>-904.63660689655171</v>
      </c>
      <c r="G455" s="615">
        <f t="shared" si="156"/>
        <v>-1026.376654095724</v>
      </c>
      <c r="H455" s="615">
        <f t="shared" si="156"/>
        <v>-1044.3151091516206</v>
      </c>
      <c r="I455" s="615">
        <f t="shared" si="156"/>
        <v>-909.35974978228944</v>
      </c>
      <c r="J455" s="615">
        <f t="shared" si="156"/>
        <v>-685.44646416194939</v>
      </c>
      <c r="K455" s="615">
        <f t="shared" si="156"/>
        <v>-473.05653304932412</v>
      </c>
      <c r="L455" s="615">
        <f t="shared" si="156"/>
        <v>-267.71705202179515</v>
      </c>
      <c r="M455" s="615">
        <f t="shared" si="156"/>
        <v>-69.23057716417145</v>
      </c>
      <c r="N455" s="615">
        <f t="shared" si="156"/>
        <v>129.55748388233923</v>
      </c>
      <c r="O455" s="615">
        <f t="shared" si="156"/>
        <v>326.06345413161489</v>
      </c>
      <c r="P455" s="615">
        <f t="shared" si="156"/>
        <v>523.01538059473796</v>
      </c>
      <c r="Q455" s="615">
        <f t="shared" si="156"/>
        <v>717.83443324131861</v>
      </c>
      <c r="R455" s="615">
        <f t="shared" si="156"/>
        <v>942.2648579215986</v>
      </c>
    </row>
    <row r="456" spans="2:18" ht="15" thickBot="1"/>
    <row r="457" spans="2:18">
      <c r="B457" s="1039" t="s">
        <v>658</v>
      </c>
      <c r="C457" s="1040"/>
    </row>
    <row r="458" spans="2:18" ht="15.5">
      <c r="B458" s="569" t="s">
        <v>360</v>
      </c>
      <c r="C458" s="617">
        <f>SUM(C454:R454)</f>
        <v>-421.81651969096635</v>
      </c>
    </row>
    <row r="459" spans="2:18" ht="15.5">
      <c r="B459" s="569" t="s">
        <v>659</v>
      </c>
      <c r="C459" s="618">
        <f>155.21</f>
        <v>155.21</v>
      </c>
    </row>
    <row r="460" spans="2:18" ht="15.5">
      <c r="B460" s="569" t="s">
        <v>660</v>
      </c>
      <c r="C460" s="618">
        <f>95.77</f>
        <v>95.77</v>
      </c>
    </row>
    <row r="461" spans="2:18" ht="16" thickBot="1">
      <c r="B461" s="619" t="s">
        <v>661</v>
      </c>
      <c r="C461" s="620">
        <f>SUM(C458:C460)</f>
        <v>-170.83651969096638</v>
      </c>
    </row>
    <row r="463" spans="2:18" ht="15.5">
      <c r="B463" s="10" t="s">
        <v>662</v>
      </c>
      <c r="C463" s="621">
        <v>15887450</v>
      </c>
    </row>
    <row r="464" spans="2:18">
      <c r="B464" s="10" t="s">
        <v>663</v>
      </c>
      <c r="C464" s="646">
        <f>(C461/C463)*1000000</f>
        <v>-10.752922570391497</v>
      </c>
    </row>
    <row r="467" spans="2:18" ht="15" thickBot="1">
      <c r="B467" s="1041" t="s">
        <v>689</v>
      </c>
      <c r="C467" s="1041"/>
      <c r="D467" s="1041"/>
      <c r="E467" s="1041"/>
    </row>
    <row r="468" spans="2:18">
      <c r="B468" s="562" t="s">
        <v>638</v>
      </c>
      <c r="C468" s="563">
        <v>2009</v>
      </c>
      <c r="D468" s="563">
        <v>2010</v>
      </c>
      <c r="E468" s="563">
        <v>2011</v>
      </c>
      <c r="F468" s="563">
        <v>2012</v>
      </c>
      <c r="G468" s="563">
        <v>2013</v>
      </c>
      <c r="H468" s="563">
        <v>2014</v>
      </c>
      <c r="I468" s="563">
        <v>2015</v>
      </c>
      <c r="J468" s="563">
        <v>2016</v>
      </c>
      <c r="K468" s="563">
        <v>2017</v>
      </c>
      <c r="L468" s="563">
        <v>2018</v>
      </c>
      <c r="M468" s="563">
        <v>2019</v>
      </c>
      <c r="N468" s="563">
        <v>2020</v>
      </c>
      <c r="O468" s="563">
        <v>2021</v>
      </c>
      <c r="P468" s="563">
        <v>2022</v>
      </c>
      <c r="Q468" s="563">
        <v>2023</v>
      </c>
      <c r="R468" s="564">
        <v>2024</v>
      </c>
    </row>
    <row r="469" spans="2:18">
      <c r="B469" s="569" t="s">
        <v>640</v>
      </c>
      <c r="C469" s="570">
        <v>-105</v>
      </c>
      <c r="D469" s="570">
        <v>-105</v>
      </c>
      <c r="E469" s="570">
        <v>-105</v>
      </c>
      <c r="F469" s="570">
        <v>-105</v>
      </c>
      <c r="G469" s="570"/>
      <c r="H469" s="570"/>
      <c r="I469" s="570"/>
      <c r="J469" s="571"/>
      <c r="K469" s="571"/>
      <c r="L469" s="571"/>
      <c r="M469" s="571"/>
      <c r="N469" s="571"/>
      <c r="O469" s="571"/>
      <c r="P469" s="571"/>
      <c r="Q469" s="571"/>
      <c r="R469" s="572"/>
    </row>
    <row r="470" spans="2:18">
      <c r="B470" s="569" t="s">
        <v>642</v>
      </c>
      <c r="C470" s="577" t="s">
        <v>643</v>
      </c>
      <c r="D470" s="577" t="s">
        <v>643</v>
      </c>
      <c r="E470" s="577" t="s">
        <v>643</v>
      </c>
      <c r="F470" s="577" t="s">
        <v>643</v>
      </c>
      <c r="G470" s="577" t="s">
        <v>644</v>
      </c>
      <c r="H470" s="577" t="s">
        <v>644</v>
      </c>
      <c r="I470" s="578">
        <v>115</v>
      </c>
      <c r="J470" s="578">
        <v>115</v>
      </c>
      <c r="K470" s="578">
        <v>115</v>
      </c>
      <c r="L470" s="578">
        <v>115</v>
      </c>
      <c r="M470" s="578">
        <v>115</v>
      </c>
      <c r="N470" s="578">
        <v>115</v>
      </c>
      <c r="O470" s="578">
        <v>115</v>
      </c>
      <c r="P470" s="578">
        <v>115</v>
      </c>
      <c r="Q470" s="578">
        <v>115</v>
      </c>
      <c r="R470" s="579">
        <v>115</v>
      </c>
    </row>
    <row r="471" spans="2:18">
      <c r="B471" s="569" t="s">
        <v>645</v>
      </c>
      <c r="C471" s="577" t="s">
        <v>646</v>
      </c>
      <c r="D471" s="577" t="s">
        <v>646</v>
      </c>
      <c r="E471" s="577" t="s">
        <v>647</v>
      </c>
      <c r="F471" s="577" t="s">
        <v>647</v>
      </c>
      <c r="G471" s="578"/>
      <c r="H471" s="578"/>
      <c r="I471" s="578"/>
      <c r="J471" s="578"/>
      <c r="K471" s="578"/>
      <c r="L471" s="578"/>
      <c r="M471" s="578"/>
      <c r="N471" s="578"/>
      <c r="O471" s="578"/>
      <c r="P471" s="578"/>
      <c r="Q471" s="578"/>
      <c r="R471" s="579"/>
    </row>
    <row r="472" spans="2:18">
      <c r="B472" s="569" t="s">
        <v>648</v>
      </c>
      <c r="C472" s="578">
        <f>C469+C470+C471</f>
        <v>-405</v>
      </c>
      <c r="D472" s="578">
        <f t="shared" ref="D472:R472" si="157">D469+D470+D471</f>
        <v>-405</v>
      </c>
      <c r="E472" s="578">
        <f t="shared" si="157"/>
        <v>-285</v>
      </c>
      <c r="F472" s="578">
        <f t="shared" si="157"/>
        <v>-285</v>
      </c>
      <c r="G472" s="578">
        <f t="shared" si="157"/>
        <v>-45</v>
      </c>
      <c r="H472" s="578">
        <f t="shared" si="157"/>
        <v>-45</v>
      </c>
      <c r="I472" s="578">
        <f t="shared" si="157"/>
        <v>115</v>
      </c>
      <c r="J472" s="578">
        <f t="shared" si="157"/>
        <v>115</v>
      </c>
      <c r="K472" s="578">
        <f t="shared" si="157"/>
        <v>115</v>
      </c>
      <c r="L472" s="578">
        <f t="shared" si="157"/>
        <v>115</v>
      </c>
      <c r="M472" s="578">
        <f t="shared" si="157"/>
        <v>115</v>
      </c>
      <c r="N472" s="578">
        <f t="shared" si="157"/>
        <v>115</v>
      </c>
      <c r="O472" s="578">
        <f t="shared" si="157"/>
        <v>115</v>
      </c>
      <c r="P472" s="578">
        <f t="shared" si="157"/>
        <v>115</v>
      </c>
      <c r="Q472" s="578">
        <f t="shared" si="157"/>
        <v>115</v>
      </c>
      <c r="R472" s="579">
        <f t="shared" si="157"/>
        <v>115</v>
      </c>
    </row>
    <row r="473" spans="2:18" ht="16" thickBot="1">
      <c r="B473" s="580" t="s">
        <v>649</v>
      </c>
      <c r="C473" s="581">
        <f>C472/(1+$C$2)^(C468-$C$3)</f>
        <v>-405</v>
      </c>
      <c r="D473" s="581">
        <f>D472/(1+$C$2)^(D468-$C$3)</f>
        <v>-364.05857459266912</v>
      </c>
      <c r="E473" s="581">
        <f t="shared" ref="E473:R473" si="158">E472/(1+$C$2)^(E468-$C$3)</f>
        <v>-230.29119972148825</v>
      </c>
      <c r="F473" s="581">
        <f t="shared" si="158"/>
        <v>-207.01107632553254</v>
      </c>
      <c r="G473" s="581">
        <f t="shared" si="158"/>
        <v>-29.381737766848971</v>
      </c>
      <c r="H473" s="581">
        <f t="shared" si="158"/>
        <v>-26.411539680134887</v>
      </c>
      <c r="I473" s="581">
        <f t="shared" si="158"/>
        <v>60.672974551768284</v>
      </c>
      <c r="J473" s="581">
        <f t="shared" si="158"/>
        <v>54.539547238553197</v>
      </c>
      <c r="K473" s="581">
        <f t="shared" si="158"/>
        <v>49.026147719993141</v>
      </c>
      <c r="L473" s="581">
        <f t="shared" si="158"/>
        <v>44.070097423976144</v>
      </c>
      <c r="M473" s="581">
        <f t="shared" si="158"/>
        <v>39.615053951439045</v>
      </c>
      <c r="N473" s="581">
        <f t="shared" si="158"/>
        <v>35.610370553018718</v>
      </c>
      <c r="O473" s="581">
        <f t="shared" si="158"/>
        <v>32.010520356169756</v>
      </c>
      <c r="P473" s="581">
        <f t="shared" si="158"/>
        <v>28.774578797127852</v>
      </c>
      <c r="Q473" s="581">
        <f t="shared" si="158"/>
        <v>25.865758373794581</v>
      </c>
      <c r="R473" s="582">
        <f t="shared" si="158"/>
        <v>23.25099043042481</v>
      </c>
    </row>
    <row r="474" spans="2:18" ht="15" thickBot="1"/>
    <row r="475" spans="2:18">
      <c r="B475" s="562" t="s">
        <v>650</v>
      </c>
      <c r="C475" s="583">
        <v>2009</v>
      </c>
      <c r="D475" s="583">
        <v>2010</v>
      </c>
      <c r="E475" s="583">
        <v>2011</v>
      </c>
      <c r="F475" s="583">
        <v>2012</v>
      </c>
      <c r="G475" s="583">
        <v>2013</v>
      </c>
      <c r="H475" s="583">
        <v>2014</v>
      </c>
      <c r="I475" s="583">
        <v>2015</v>
      </c>
      <c r="J475" s="583">
        <v>2016</v>
      </c>
      <c r="K475" s="583">
        <v>2017</v>
      </c>
      <c r="L475" s="583">
        <v>2018</v>
      </c>
      <c r="M475" s="583">
        <v>2019</v>
      </c>
      <c r="N475" s="583">
        <v>2020</v>
      </c>
      <c r="O475" s="583">
        <v>2021</v>
      </c>
      <c r="P475" s="583">
        <v>2022</v>
      </c>
      <c r="Q475" s="583">
        <v>2023</v>
      </c>
      <c r="R475" s="584">
        <v>2024</v>
      </c>
    </row>
    <row r="476" spans="2:18">
      <c r="B476" s="569"/>
      <c r="C476" s="578">
        <v>94.954999999999998</v>
      </c>
      <c r="D476" s="578">
        <v>94.954999999999998</v>
      </c>
      <c r="E476" s="578">
        <v>94.954999999999998</v>
      </c>
      <c r="F476" s="578">
        <v>94.954999999999998</v>
      </c>
      <c r="G476" s="578">
        <v>94.954999999999998</v>
      </c>
      <c r="H476" s="578">
        <v>94.954999999999998</v>
      </c>
      <c r="I476" s="578">
        <v>94.954999999999998</v>
      </c>
      <c r="J476" s="578">
        <v>94.954999999999998</v>
      </c>
      <c r="K476" s="578">
        <v>94.954999999999998</v>
      </c>
      <c r="L476" s="578">
        <v>94.954999999999998</v>
      </c>
      <c r="M476" s="578">
        <v>94.954999999999998</v>
      </c>
      <c r="N476" s="578">
        <v>94.954999999999998</v>
      </c>
      <c r="O476" s="578">
        <v>94.954999999999998</v>
      </c>
      <c r="P476" s="578">
        <v>94.954999999999998</v>
      </c>
      <c r="Q476" s="578">
        <v>94.954999999999998</v>
      </c>
      <c r="R476" s="579">
        <v>94.954999999999998</v>
      </c>
    </row>
    <row r="477" spans="2:18">
      <c r="B477" s="569" t="s">
        <v>648</v>
      </c>
      <c r="C477" s="585">
        <f>C246</f>
        <v>94.954999999999998</v>
      </c>
      <c r="D477" s="585">
        <f t="shared" ref="D477:R477" si="159">D246</f>
        <v>87.358599999999996</v>
      </c>
      <c r="E477" s="585">
        <f t="shared" si="159"/>
        <v>79.762199999999993</v>
      </c>
      <c r="F477" s="585">
        <f t="shared" si="159"/>
        <v>72.165800000000004</v>
      </c>
      <c r="G477" s="585">
        <f t="shared" si="159"/>
        <v>64.569399999999987</v>
      </c>
      <c r="H477" s="585">
        <f t="shared" si="159"/>
        <v>56.972999999999999</v>
      </c>
      <c r="I477" s="585">
        <f t="shared" si="159"/>
        <v>49.376600000000003</v>
      </c>
      <c r="J477" s="585">
        <f t="shared" si="159"/>
        <v>41.780199999999994</v>
      </c>
      <c r="K477" s="585">
        <f t="shared" si="159"/>
        <v>34.183799999999998</v>
      </c>
      <c r="L477" s="585">
        <f t="shared" si="159"/>
        <v>26.587400000000002</v>
      </c>
      <c r="M477" s="585">
        <f t="shared" si="159"/>
        <v>18.990999999999996</v>
      </c>
      <c r="N477" s="585">
        <f t="shared" si="159"/>
        <v>15.82583333333333</v>
      </c>
      <c r="O477" s="585">
        <f t="shared" si="159"/>
        <v>12.660666666666664</v>
      </c>
      <c r="P477" s="585">
        <f t="shared" si="159"/>
        <v>9.4954999999999981</v>
      </c>
      <c r="Q477" s="585">
        <f t="shared" si="159"/>
        <v>6.330333333333332</v>
      </c>
      <c r="R477" s="585">
        <f t="shared" si="159"/>
        <v>3.165166666666666</v>
      </c>
    </row>
    <row r="478" spans="2:18" ht="16" thickBot="1">
      <c r="B478" s="580" t="s">
        <v>651</v>
      </c>
      <c r="C478" s="581">
        <f>C477/(1+$C$2)^(C475-$C$3)</f>
        <v>94.954999999999998</v>
      </c>
      <c r="D478" s="581">
        <f t="shared" ref="D478:R478" si="160">D477/(1+$C$2)^(D475-$C$3)</f>
        <v>78.527524430644789</v>
      </c>
      <c r="E478" s="581">
        <f t="shared" si="160"/>
        <v>64.450992036579962</v>
      </c>
      <c r="F478" s="581">
        <f t="shared" si="160"/>
        <v>52.417964673309186</v>
      </c>
      <c r="G478" s="581">
        <f t="shared" si="160"/>
        <v>42.159137301395056</v>
      </c>
      <c r="H478" s="581">
        <f t="shared" si="160"/>
        <v>33.438770004362773</v>
      </c>
      <c r="I478" s="581">
        <f t="shared" si="160"/>
        <v>26.050653871763842</v>
      </c>
      <c r="J478" s="581">
        <f t="shared" si="160"/>
        <v>19.814549491619132</v>
      </c>
      <c r="K478" s="581">
        <f t="shared" si="160"/>
        <v>14.573043725484361</v>
      </c>
      <c r="L478" s="581">
        <f t="shared" si="160"/>
        <v>10.188776593480203</v>
      </c>
      <c r="M478" s="581">
        <f t="shared" si="160"/>
        <v>6.5419955616676413</v>
      </c>
      <c r="N478" s="581">
        <f t="shared" si="160"/>
        <v>4.900554689654915</v>
      </c>
      <c r="O478" s="581">
        <f t="shared" si="160"/>
        <v>3.5241263309218538</v>
      </c>
      <c r="P478" s="581">
        <f t="shared" si="160"/>
        <v>2.3759044605924129</v>
      </c>
      <c r="Q478" s="581">
        <f t="shared" si="160"/>
        <v>1.4238162819615443</v>
      </c>
      <c r="R478" s="582">
        <f t="shared" si="160"/>
        <v>0.63994139023796737</v>
      </c>
    </row>
    <row r="479" spans="2:18" ht="15" thickBot="1">
      <c r="C479" s="587"/>
      <c r="D479" s="587"/>
      <c r="E479" s="587"/>
      <c r="F479" s="587"/>
      <c r="G479" s="587"/>
      <c r="H479" s="587"/>
      <c r="I479" s="587"/>
      <c r="J479" s="587"/>
      <c r="K479" s="587"/>
      <c r="L479" s="587"/>
      <c r="M479" s="587"/>
      <c r="N479" s="587"/>
      <c r="O479" s="587"/>
      <c r="P479" s="587"/>
      <c r="Q479" s="587"/>
      <c r="R479" s="587"/>
    </row>
    <row r="480" spans="2:18">
      <c r="B480" s="562" t="s">
        <v>652</v>
      </c>
      <c r="C480" s="583">
        <v>2009</v>
      </c>
      <c r="D480" s="583">
        <v>2010</v>
      </c>
      <c r="E480" s="583">
        <v>2011</v>
      </c>
      <c r="F480" s="583">
        <v>2012</v>
      </c>
      <c r="G480" s="583">
        <v>2013</v>
      </c>
      <c r="H480" s="583">
        <v>2014</v>
      </c>
      <c r="I480" s="583">
        <v>2015</v>
      </c>
      <c r="J480" s="583">
        <v>2016</v>
      </c>
      <c r="K480" s="583">
        <v>2017</v>
      </c>
      <c r="L480" s="583">
        <v>2018</v>
      </c>
      <c r="M480" s="583">
        <v>2019</v>
      </c>
      <c r="N480" s="583">
        <v>2020</v>
      </c>
      <c r="O480" s="583">
        <v>2021</v>
      </c>
      <c r="P480" s="583">
        <v>2022</v>
      </c>
      <c r="Q480" s="583">
        <v>2023</v>
      </c>
      <c r="R480" s="584">
        <v>2024</v>
      </c>
    </row>
    <row r="481" spans="2:18">
      <c r="B481" s="588" t="s">
        <v>653</v>
      </c>
      <c r="C481" s="589">
        <f>'[4]Scénario dossier 5'!C222</f>
        <v>-4.6523076923076925</v>
      </c>
      <c r="D481" s="589">
        <f>'[4]Scénario dossier 5'!D222</f>
        <v>-16.730245121871008</v>
      </c>
      <c r="E481" s="589">
        <f>'[4]Scénario dossier 5'!E222</f>
        <v>-37.470183940449651</v>
      </c>
      <c r="F481" s="589">
        <f>'[4]Scénario dossier 5'!F222</f>
        <v>-29.238147042758506</v>
      </c>
      <c r="G481" s="589">
        <f>'[4]Scénario dossier 5'!G222</f>
        <v>-16.883669865676229</v>
      </c>
      <c r="H481" s="589">
        <f>'[4]Scénario dossier 5'!H222</f>
        <v>5.2717190445193616</v>
      </c>
      <c r="I481" s="589">
        <f>'[4]Scénario dossier 5'!I222</f>
        <v>4.7394302817864542</v>
      </c>
      <c r="J481" s="589">
        <f>'[4]Scénario dossier 5'!J222</f>
        <v>3.4772756366300466</v>
      </c>
      <c r="K481" s="589">
        <f>'[4]Scénario dossier 5'!K222</f>
        <v>1.1888263311787912</v>
      </c>
      <c r="L481" s="589">
        <f>'[4]Scénario dossier 5'!L222</f>
        <v>0</v>
      </c>
      <c r="M481" s="589">
        <f>'[4]Scénario dossier 5'!M222</f>
        <v>0</v>
      </c>
      <c r="N481" s="589">
        <f>'[4]Scénario dossier 5'!N222</f>
        <v>0</v>
      </c>
      <c r="O481" s="589">
        <f>'[4]Scénario dossier 5'!O222</f>
        <v>0</v>
      </c>
      <c r="P481" s="589">
        <f>'[4]Scénario dossier 5'!P222</f>
        <v>0</v>
      </c>
      <c r="Q481" s="589">
        <f>'[4]Scénario dossier 5'!Q222</f>
        <v>0</v>
      </c>
      <c r="R481" s="626">
        <f>'[4]Scénario dossier 5'!R222</f>
        <v>0</v>
      </c>
    </row>
    <row r="482" spans="2:18">
      <c r="B482" s="590" t="s">
        <v>654</v>
      </c>
      <c r="C482" s="589">
        <f>'[4]Scénario dossier 5'!C223</f>
        <v>0</v>
      </c>
      <c r="D482" s="589">
        <f>'[4]Scénario dossier 5'!D223</f>
        <v>0</v>
      </c>
      <c r="E482" s="589">
        <f>'[4]Scénario dossier 5'!E223</f>
        <v>0</v>
      </c>
      <c r="F482" s="589">
        <f>'[4]Scénario dossier 5'!F223</f>
        <v>0</v>
      </c>
      <c r="G482" s="585">
        <f>'[4]Scénario dossier 5'!G223</f>
        <v>-13.369095209150121</v>
      </c>
      <c r="H482" s="585">
        <f>'[4]Scénario dossier 5'!H223</f>
        <v>32.956816369460412</v>
      </c>
      <c r="I482" s="585">
        <f>'[4]Scénario dossier 5'!I223</f>
        <v>30.277725799598755</v>
      </c>
      <c r="J482" s="585">
        <f>'[4]Scénario dossier 5'!J223</f>
        <v>28.391687540845247</v>
      </c>
      <c r="K482" s="585">
        <f>'[4]Scénario dossier 5'!K223</f>
        <v>26.101148770897222</v>
      </c>
      <c r="L482" s="585">
        <f>'[4]Scénario dossier 5'!L223</f>
        <v>24.460546326753949</v>
      </c>
      <c r="M482" s="585">
        <f>'[4]Scénario dossier 5'!M223</f>
        <v>22.501312267636575</v>
      </c>
      <c r="N482" s="585">
        <f>'[4]Scénario dossier 5'!N223</f>
        <v>21.075103955907377</v>
      </c>
      <c r="O482" s="585">
        <f>'[4]Scénario dossier 5'!O223</f>
        <v>19.39852016346715</v>
      </c>
      <c r="P482" s="585">
        <f>'[4]Scénario dossier 5'!P223</f>
        <v>18.159403383341502</v>
      </c>
      <c r="Q482" s="585">
        <f>'[4]Scénario dossier 5'!Q223</f>
        <v>16.724090574031035</v>
      </c>
      <c r="R482" s="586">
        <f>'[4]Scénario dossier 5'!R223</f>
        <v>22.445821416149265</v>
      </c>
    </row>
    <row r="483" spans="2:18">
      <c r="B483" s="592" t="s">
        <v>648</v>
      </c>
      <c r="C483" s="593">
        <f>C21</f>
        <v>-4.6523076923076925</v>
      </c>
      <c r="D483" s="593">
        <f t="shared" ref="D483:R483" si="161">D21</f>
        <v>-18.60923076923077</v>
      </c>
      <c r="E483" s="593">
        <f t="shared" si="161"/>
        <v>-46.359427055702916</v>
      </c>
      <c r="F483" s="593">
        <f t="shared" si="161"/>
        <v>-40.237241379310341</v>
      </c>
      <c r="G483" s="593">
        <f t="shared" si="161"/>
        <v>-46.309447199172403</v>
      </c>
      <c r="H483" s="593">
        <f t="shared" si="161"/>
        <v>65.088544944103347</v>
      </c>
      <c r="I483" s="593">
        <f t="shared" si="161"/>
        <v>65.578759369331152</v>
      </c>
      <c r="J483" s="593">
        <f t="shared" si="161"/>
        <v>67.133085620339997</v>
      </c>
      <c r="K483" s="593">
        <f t="shared" si="161"/>
        <v>63.206131112625229</v>
      </c>
      <c r="L483" s="593">
        <f t="shared" si="161"/>
        <v>63.752081027528938</v>
      </c>
      <c r="M483" s="593">
        <f t="shared" si="161"/>
        <v>64.495474857623719</v>
      </c>
      <c r="N483" s="593">
        <f t="shared" si="161"/>
        <v>67.962227713177342</v>
      </c>
      <c r="O483" s="593">
        <f t="shared" si="161"/>
        <v>68.845303582609034</v>
      </c>
      <c r="P483" s="593">
        <f t="shared" si="161"/>
        <v>72.456426463123023</v>
      </c>
      <c r="Q483" s="593">
        <f t="shared" si="161"/>
        <v>73.488719313247358</v>
      </c>
      <c r="R483" s="593">
        <f t="shared" si="161"/>
        <v>106.26525801361335</v>
      </c>
    </row>
    <row r="484" spans="2:18" ht="16" thickBot="1">
      <c r="B484" s="597" t="str">
        <f>B451</f>
        <v>CF actualisés</v>
      </c>
      <c r="C484" s="598">
        <f t="shared" ref="C484:R484" si="162">C481+C482</f>
        <v>-4.6523076923076925</v>
      </c>
      <c r="D484" s="598">
        <f t="shared" si="162"/>
        <v>-16.730245121871008</v>
      </c>
      <c r="E484" s="598">
        <f t="shared" si="162"/>
        <v>-37.470183940449651</v>
      </c>
      <c r="F484" s="598">
        <f t="shared" si="162"/>
        <v>-29.238147042758506</v>
      </c>
      <c r="G484" s="598">
        <f t="shared" si="162"/>
        <v>-30.25276507482635</v>
      </c>
      <c r="H484" s="598">
        <f t="shared" si="162"/>
        <v>38.22853541397977</v>
      </c>
      <c r="I484" s="598">
        <f t="shared" si="162"/>
        <v>35.01715608138521</v>
      </c>
      <c r="J484" s="598">
        <f t="shared" si="162"/>
        <v>31.868963177475294</v>
      </c>
      <c r="K484" s="598">
        <f t="shared" si="162"/>
        <v>27.289975102076014</v>
      </c>
      <c r="L484" s="598">
        <f t="shared" si="162"/>
        <v>24.460546326753949</v>
      </c>
      <c r="M484" s="598">
        <f t="shared" si="162"/>
        <v>22.501312267636575</v>
      </c>
      <c r="N484" s="598">
        <f t="shared" si="162"/>
        <v>21.075103955907377</v>
      </c>
      <c r="O484" s="598">
        <f t="shared" si="162"/>
        <v>19.39852016346715</v>
      </c>
      <c r="P484" s="598">
        <f t="shared" si="162"/>
        <v>18.159403383341502</v>
      </c>
      <c r="Q484" s="598">
        <f t="shared" si="162"/>
        <v>16.724090574031035</v>
      </c>
      <c r="R484" s="599">
        <f t="shared" si="162"/>
        <v>22.445821416149265</v>
      </c>
    </row>
    <row r="485" spans="2:18" ht="16" thickBot="1">
      <c r="C485" s="603"/>
      <c r="D485" s="603"/>
      <c r="E485" s="603"/>
      <c r="F485" s="603"/>
      <c r="G485" s="603"/>
      <c r="H485" s="603"/>
      <c r="I485" s="603"/>
      <c r="J485" s="603"/>
      <c r="K485" s="603"/>
      <c r="L485" s="603"/>
      <c r="M485" s="603"/>
      <c r="N485" s="603"/>
      <c r="O485" s="603"/>
      <c r="P485" s="603"/>
      <c r="Q485" s="603"/>
      <c r="R485" s="603"/>
    </row>
    <row r="486" spans="2:18" ht="15.5">
      <c r="B486" s="607"/>
      <c r="C486" s="608">
        <v>2009</v>
      </c>
      <c r="D486" s="608">
        <v>2010</v>
      </c>
      <c r="E486" s="608">
        <v>2011</v>
      </c>
      <c r="F486" s="608">
        <v>2012</v>
      </c>
      <c r="G486" s="608">
        <v>2013</v>
      </c>
      <c r="H486" s="608">
        <v>2014</v>
      </c>
      <c r="I486" s="608">
        <v>2015</v>
      </c>
      <c r="J486" s="608">
        <v>2016</v>
      </c>
      <c r="K486" s="608">
        <v>2017</v>
      </c>
      <c r="L486" s="608">
        <v>2018</v>
      </c>
      <c r="M486" s="608">
        <v>2019</v>
      </c>
      <c r="N486" s="608">
        <v>2020</v>
      </c>
      <c r="O486" s="608">
        <v>2021</v>
      </c>
      <c r="P486" s="608">
        <v>2022</v>
      </c>
      <c r="Q486" s="608">
        <v>2023</v>
      </c>
      <c r="R486" s="609">
        <v>2024</v>
      </c>
    </row>
    <row r="487" spans="2:18" ht="15" thickBot="1">
      <c r="B487" s="610" t="s">
        <v>656</v>
      </c>
      <c r="C487" s="611">
        <f t="shared" ref="C487:R487" si="163">C484+C478+C473</f>
        <v>-314.69730769230767</v>
      </c>
      <c r="D487" s="611">
        <f t="shared" si="163"/>
        <v>-302.26129528389532</v>
      </c>
      <c r="E487" s="611">
        <f t="shared" si="163"/>
        <v>-203.31039162535794</v>
      </c>
      <c r="F487" s="611">
        <f t="shared" si="163"/>
        <v>-183.83125869498187</v>
      </c>
      <c r="G487" s="611">
        <f t="shared" si="163"/>
        <v>-17.475365540280265</v>
      </c>
      <c r="H487" s="611">
        <f t="shared" si="163"/>
        <v>45.255765738207664</v>
      </c>
      <c r="I487" s="611">
        <f t="shared" si="163"/>
        <v>121.74078450491734</v>
      </c>
      <c r="J487" s="611">
        <f t="shared" si="163"/>
        <v>106.22305990764762</v>
      </c>
      <c r="K487" s="611">
        <f t="shared" si="163"/>
        <v>90.889166547553515</v>
      </c>
      <c r="L487" s="611">
        <f t="shared" si="163"/>
        <v>78.719420344210306</v>
      </c>
      <c r="M487" s="611">
        <f t="shared" si="163"/>
        <v>68.658361780743263</v>
      </c>
      <c r="N487" s="611">
        <f t="shared" si="163"/>
        <v>61.586029198581009</v>
      </c>
      <c r="O487" s="611">
        <f t="shared" si="163"/>
        <v>54.933166850558763</v>
      </c>
      <c r="P487" s="611">
        <f t="shared" si="163"/>
        <v>49.309886641061766</v>
      </c>
      <c r="Q487" s="611">
        <f t="shared" si="163"/>
        <v>44.013665229787165</v>
      </c>
      <c r="R487" s="612">
        <f t="shared" si="163"/>
        <v>46.336753236812044</v>
      </c>
    </row>
    <row r="488" spans="2:18" ht="15" thickBot="1">
      <c r="B488" s="613" t="str">
        <f>B455</f>
        <v>Trésorerie</v>
      </c>
      <c r="C488" s="614">
        <f>C492+C493+C483+C477+C472</f>
        <v>-63.717307692307656</v>
      </c>
      <c r="D488" s="615">
        <f>C488+D483+D477+D472</f>
        <v>-399.96793846153844</v>
      </c>
      <c r="E488" s="615">
        <f t="shared" ref="E488:R488" si="164">D488+E483+E477+E472</f>
        <v>-651.56516551724133</v>
      </c>
      <c r="F488" s="615">
        <f t="shared" si="164"/>
        <v>-904.63660689655171</v>
      </c>
      <c r="G488" s="615">
        <f t="shared" si="164"/>
        <v>-931.37665409572412</v>
      </c>
      <c r="H488" s="615">
        <f t="shared" si="164"/>
        <v>-854.31510915162085</v>
      </c>
      <c r="I488" s="615">
        <f t="shared" si="164"/>
        <v>-624.35974978228967</v>
      </c>
      <c r="J488" s="615">
        <f t="shared" si="164"/>
        <v>-400.44646416194962</v>
      </c>
      <c r="K488" s="615">
        <f t="shared" si="164"/>
        <v>-188.05653304932434</v>
      </c>
      <c r="L488" s="615">
        <f t="shared" si="164"/>
        <v>17.282947978204589</v>
      </c>
      <c r="M488" s="615">
        <f t="shared" si="164"/>
        <v>215.76942283582832</v>
      </c>
      <c r="N488" s="615">
        <f t="shared" si="164"/>
        <v>414.557483882339</v>
      </c>
      <c r="O488" s="615">
        <f t="shared" si="164"/>
        <v>611.06345413161466</v>
      </c>
      <c r="P488" s="615">
        <f t="shared" si="164"/>
        <v>808.01538059473774</v>
      </c>
      <c r="Q488" s="615">
        <f t="shared" si="164"/>
        <v>1002.8344332413184</v>
      </c>
      <c r="R488" s="615">
        <f t="shared" si="164"/>
        <v>1227.2648579215984</v>
      </c>
    </row>
    <row r="489" spans="2:18" ht="15" thickBot="1"/>
    <row r="490" spans="2:18">
      <c r="B490" s="1039" t="s">
        <v>658</v>
      </c>
      <c r="C490" s="1040"/>
    </row>
    <row r="491" spans="2:18" ht="15.5">
      <c r="B491" s="569" t="s">
        <v>360</v>
      </c>
      <c r="C491" s="617">
        <f>SUM(C487:R487)</f>
        <v>-253.90955885674265</v>
      </c>
    </row>
    <row r="492" spans="2:18" ht="15.5">
      <c r="B492" s="569" t="s">
        <v>659</v>
      </c>
      <c r="C492" s="618">
        <f>155.21</f>
        <v>155.21</v>
      </c>
    </row>
    <row r="493" spans="2:18" ht="15.5">
      <c r="B493" s="569" t="s">
        <v>660</v>
      </c>
      <c r="C493" s="618">
        <f>95.77</f>
        <v>95.77</v>
      </c>
    </row>
    <row r="494" spans="2:18" ht="16" thickBot="1">
      <c r="B494" s="619" t="s">
        <v>661</v>
      </c>
      <c r="C494" s="620">
        <f>SUM(C491:C493)</f>
        <v>-2.9295588567426449</v>
      </c>
    </row>
    <row r="496" spans="2:18" ht="15.5">
      <c r="B496" s="10" t="s">
        <v>662</v>
      </c>
      <c r="C496" s="621">
        <v>15887450</v>
      </c>
    </row>
    <row r="497" spans="2:18">
      <c r="B497" s="10" t="s">
        <v>663</v>
      </c>
      <c r="C497" s="646">
        <f>(C494/C496)*1000000</f>
        <v>-0.18439452881001325</v>
      </c>
    </row>
    <row r="500" spans="2:18" ht="15" thickBot="1">
      <c r="B500" s="1041" t="s">
        <v>690</v>
      </c>
      <c r="C500" s="1041"/>
      <c r="D500" s="1041"/>
      <c r="E500" s="1041"/>
    </row>
    <row r="501" spans="2:18">
      <c r="B501" s="562" t="s">
        <v>638</v>
      </c>
      <c r="C501" s="563">
        <v>2009</v>
      </c>
      <c r="D501" s="563">
        <v>2010</v>
      </c>
      <c r="E501" s="563">
        <v>2011</v>
      </c>
      <c r="F501" s="563">
        <v>2012</v>
      </c>
      <c r="G501" s="563">
        <v>2013</v>
      </c>
      <c r="H501" s="563">
        <v>2014</v>
      </c>
      <c r="I501" s="563">
        <v>2015</v>
      </c>
      <c r="J501" s="563">
        <v>2016</v>
      </c>
      <c r="K501" s="563">
        <v>2017</v>
      </c>
      <c r="L501" s="563">
        <v>2018</v>
      </c>
      <c r="M501" s="563">
        <v>2019</v>
      </c>
      <c r="N501" s="563">
        <v>2020</v>
      </c>
      <c r="O501" s="563">
        <v>2021</v>
      </c>
      <c r="P501" s="563">
        <v>2022</v>
      </c>
      <c r="Q501" s="563">
        <v>2023</v>
      </c>
      <c r="R501" s="564">
        <v>2024</v>
      </c>
    </row>
    <row r="502" spans="2:18">
      <c r="B502" s="569" t="s">
        <v>640</v>
      </c>
      <c r="C502" s="570">
        <v>-105</v>
      </c>
      <c r="D502" s="570">
        <v>-105</v>
      </c>
      <c r="E502" s="570">
        <v>-105</v>
      </c>
      <c r="F502" s="570">
        <v>-105</v>
      </c>
      <c r="G502" s="570">
        <v>-95</v>
      </c>
      <c r="H502" s="570">
        <v>-95</v>
      </c>
      <c r="I502" s="570">
        <v>-95</v>
      </c>
      <c r="J502" s="571">
        <v>185</v>
      </c>
      <c r="K502" s="571">
        <v>185</v>
      </c>
      <c r="L502" s="571">
        <v>185</v>
      </c>
      <c r="M502" s="571">
        <v>185</v>
      </c>
      <c r="N502" s="571">
        <v>185</v>
      </c>
      <c r="O502" s="571">
        <v>185</v>
      </c>
      <c r="P502" s="571">
        <v>185</v>
      </c>
      <c r="Q502" s="571">
        <v>185</v>
      </c>
      <c r="R502" s="572">
        <v>185</v>
      </c>
    </row>
    <row r="503" spans="2:18">
      <c r="B503" s="569" t="s">
        <v>642</v>
      </c>
      <c r="C503" s="577" t="s">
        <v>643</v>
      </c>
      <c r="D503" s="577" t="s">
        <v>643</v>
      </c>
      <c r="E503" s="577" t="s">
        <v>643</v>
      </c>
      <c r="F503" s="577" t="s">
        <v>643</v>
      </c>
      <c r="G503" s="577" t="s">
        <v>644</v>
      </c>
      <c r="H503" s="577" t="s">
        <v>644</v>
      </c>
      <c r="I503" s="578"/>
      <c r="J503" s="578"/>
      <c r="K503" s="578"/>
      <c r="L503" s="578"/>
      <c r="M503" s="578"/>
      <c r="N503" s="578"/>
      <c r="O503" s="578"/>
      <c r="P503" s="578"/>
      <c r="Q503" s="578"/>
      <c r="R503" s="579"/>
    </row>
    <row r="504" spans="2:18">
      <c r="B504" s="569" t="s">
        <v>645</v>
      </c>
      <c r="C504" s="577" t="s">
        <v>646</v>
      </c>
      <c r="D504" s="577" t="s">
        <v>646</v>
      </c>
      <c r="E504" s="577" t="s">
        <v>647</v>
      </c>
      <c r="F504" s="577" t="s">
        <v>647</v>
      </c>
      <c r="G504" s="578"/>
      <c r="H504" s="578"/>
      <c r="I504" s="578"/>
      <c r="J504" s="578"/>
      <c r="K504" s="578"/>
      <c r="L504" s="578"/>
      <c r="M504" s="578"/>
      <c r="N504" s="578"/>
      <c r="O504" s="578"/>
      <c r="P504" s="578"/>
      <c r="Q504" s="578"/>
      <c r="R504" s="579"/>
    </row>
    <row r="505" spans="2:18">
      <c r="B505" s="569" t="s">
        <v>648</v>
      </c>
      <c r="C505" s="578">
        <f>C502+C503+C504</f>
        <v>-405</v>
      </c>
      <c r="D505" s="578">
        <f t="shared" ref="D505:R505" si="165">D502+D503+D504</f>
        <v>-405</v>
      </c>
      <c r="E505" s="578">
        <f t="shared" si="165"/>
        <v>-285</v>
      </c>
      <c r="F505" s="578">
        <f t="shared" si="165"/>
        <v>-285</v>
      </c>
      <c r="G505" s="578">
        <f t="shared" si="165"/>
        <v>-140</v>
      </c>
      <c r="H505" s="578">
        <f t="shared" si="165"/>
        <v>-140</v>
      </c>
      <c r="I505" s="578">
        <f t="shared" si="165"/>
        <v>-95</v>
      </c>
      <c r="J505" s="578">
        <f t="shared" si="165"/>
        <v>185</v>
      </c>
      <c r="K505" s="578">
        <f t="shared" si="165"/>
        <v>185</v>
      </c>
      <c r="L505" s="578">
        <f t="shared" si="165"/>
        <v>185</v>
      </c>
      <c r="M505" s="578">
        <f t="shared" si="165"/>
        <v>185</v>
      </c>
      <c r="N505" s="578">
        <f t="shared" si="165"/>
        <v>185</v>
      </c>
      <c r="O505" s="578">
        <f t="shared" si="165"/>
        <v>185</v>
      </c>
      <c r="P505" s="578">
        <f t="shared" si="165"/>
        <v>185</v>
      </c>
      <c r="Q505" s="578">
        <f t="shared" si="165"/>
        <v>185</v>
      </c>
      <c r="R505" s="579">
        <f t="shared" si="165"/>
        <v>185</v>
      </c>
    </row>
    <row r="506" spans="2:18" ht="16" thickBot="1">
      <c r="B506" s="580" t="s">
        <v>649</v>
      </c>
      <c r="C506" s="581">
        <f>C505/(1+$C$2)^(C501-$C$3)</f>
        <v>-405</v>
      </c>
      <c r="D506" s="581">
        <f>D505/(1+$C$2)^(D501-$C$3)</f>
        <v>-364.05857459266912</v>
      </c>
      <c r="E506" s="581">
        <f t="shared" ref="E506:R506" si="166">E505/(1+$C$2)^(E501-$C$3)</f>
        <v>-230.29119972148825</v>
      </c>
      <c r="F506" s="581">
        <f t="shared" si="166"/>
        <v>-207.01107632553254</v>
      </c>
      <c r="G506" s="581">
        <f t="shared" si="166"/>
        <v>-91.409850830196802</v>
      </c>
      <c r="H506" s="581">
        <f t="shared" si="166"/>
        <v>-82.169234560419639</v>
      </c>
      <c r="I506" s="581">
        <f t="shared" si="166"/>
        <v>-50.12115289059119</v>
      </c>
      <c r="J506" s="581">
        <f t="shared" si="166"/>
        <v>87.737532514194271</v>
      </c>
      <c r="K506" s="581">
        <f t="shared" si="166"/>
        <v>78.868150679988972</v>
      </c>
      <c r="L506" s="581">
        <f t="shared" si="166"/>
        <v>70.895374116831192</v>
      </c>
      <c r="M506" s="581">
        <f t="shared" si="166"/>
        <v>63.728565052314984</v>
      </c>
      <c r="N506" s="581">
        <f t="shared" si="166"/>
        <v>57.286248280943148</v>
      </c>
      <c r="O506" s="581">
        <f t="shared" si="166"/>
        <v>51.495184920794827</v>
      </c>
      <c r="P506" s="581">
        <f t="shared" si="166"/>
        <v>46.28953980407524</v>
      </c>
      <c r="Q506" s="581">
        <f t="shared" si="166"/>
        <v>41.61013303610433</v>
      </c>
      <c r="R506" s="582">
        <f t="shared" si="166"/>
        <v>37.403767214161654</v>
      </c>
    </row>
    <row r="507" spans="2:18" ht="15" thickBot="1"/>
    <row r="508" spans="2:18">
      <c r="B508" s="562" t="s">
        <v>650</v>
      </c>
      <c r="C508" s="583">
        <v>2009</v>
      </c>
      <c r="D508" s="583">
        <v>2010</v>
      </c>
      <c r="E508" s="583">
        <v>2011</v>
      </c>
      <c r="F508" s="583">
        <v>2012</v>
      </c>
      <c r="G508" s="583">
        <v>2013</v>
      </c>
      <c r="H508" s="583">
        <v>2014</v>
      </c>
      <c r="I508" s="583">
        <v>2015</v>
      </c>
      <c r="J508" s="583">
        <v>2016</v>
      </c>
      <c r="K508" s="583">
        <v>2017</v>
      </c>
      <c r="L508" s="583">
        <v>2018</v>
      </c>
      <c r="M508" s="583">
        <v>2019</v>
      </c>
      <c r="N508" s="583">
        <v>2020</v>
      </c>
      <c r="O508" s="583">
        <v>2021</v>
      </c>
      <c r="P508" s="583">
        <v>2022</v>
      </c>
      <c r="Q508" s="583">
        <v>2023</v>
      </c>
      <c r="R508" s="584">
        <v>2024</v>
      </c>
    </row>
    <row r="509" spans="2:18">
      <c r="B509" s="569"/>
      <c r="C509" s="578">
        <v>94.954999999999998</v>
      </c>
      <c r="D509" s="578">
        <v>94.954999999999998</v>
      </c>
      <c r="E509" s="578">
        <v>94.954999999999998</v>
      </c>
      <c r="F509" s="578">
        <v>94.954999999999998</v>
      </c>
      <c r="G509" s="578">
        <v>94.954999999999998</v>
      </c>
      <c r="H509" s="578">
        <v>94.954999999999998</v>
      </c>
      <c r="I509" s="578">
        <v>94.954999999999998</v>
      </c>
      <c r="J509" s="578">
        <v>94.954999999999998</v>
      </c>
      <c r="K509" s="578">
        <v>94.954999999999998</v>
      </c>
      <c r="L509" s="578">
        <v>94.954999999999998</v>
      </c>
      <c r="M509" s="578">
        <v>94.954999999999998</v>
      </c>
      <c r="N509" s="578">
        <v>94.954999999999998</v>
      </c>
      <c r="O509" s="578">
        <v>94.954999999999998</v>
      </c>
      <c r="P509" s="578">
        <v>94.954999999999998</v>
      </c>
      <c r="Q509" s="578">
        <v>94.954999999999998</v>
      </c>
      <c r="R509" s="579">
        <v>94.954999999999998</v>
      </c>
    </row>
    <row r="510" spans="2:18">
      <c r="B510" s="569" t="s">
        <v>648</v>
      </c>
      <c r="C510" s="585">
        <f>C246</f>
        <v>94.954999999999998</v>
      </c>
      <c r="D510" s="585">
        <f t="shared" ref="D510:R510" si="167">D246</f>
        <v>87.358599999999996</v>
      </c>
      <c r="E510" s="585">
        <f t="shared" si="167"/>
        <v>79.762199999999993</v>
      </c>
      <c r="F510" s="585">
        <f t="shared" si="167"/>
        <v>72.165800000000004</v>
      </c>
      <c r="G510" s="585">
        <f t="shared" si="167"/>
        <v>64.569399999999987</v>
      </c>
      <c r="H510" s="585">
        <f t="shared" si="167"/>
        <v>56.972999999999999</v>
      </c>
      <c r="I510" s="585">
        <f t="shared" si="167"/>
        <v>49.376600000000003</v>
      </c>
      <c r="J510" s="585">
        <f t="shared" si="167"/>
        <v>41.780199999999994</v>
      </c>
      <c r="K510" s="585">
        <f t="shared" si="167"/>
        <v>34.183799999999998</v>
      </c>
      <c r="L510" s="585">
        <f t="shared" si="167"/>
        <v>26.587400000000002</v>
      </c>
      <c r="M510" s="585">
        <f t="shared" si="167"/>
        <v>18.990999999999996</v>
      </c>
      <c r="N510" s="585">
        <f t="shared" si="167"/>
        <v>15.82583333333333</v>
      </c>
      <c r="O510" s="585">
        <f t="shared" si="167"/>
        <v>12.660666666666664</v>
      </c>
      <c r="P510" s="585">
        <f t="shared" si="167"/>
        <v>9.4954999999999981</v>
      </c>
      <c r="Q510" s="585">
        <f t="shared" si="167"/>
        <v>6.330333333333332</v>
      </c>
      <c r="R510" s="585">
        <f t="shared" si="167"/>
        <v>3.165166666666666</v>
      </c>
    </row>
    <row r="511" spans="2:18" ht="16" thickBot="1">
      <c r="B511" s="580" t="s">
        <v>651</v>
      </c>
      <c r="C511" s="581">
        <f>C510/(1+$C$2)^(C508-$C$3)</f>
        <v>94.954999999999998</v>
      </c>
      <c r="D511" s="581">
        <f t="shared" ref="D511:R511" si="168">D510/(1+$C$2)^(D508-$C$3)</f>
        <v>78.527524430644789</v>
      </c>
      <c r="E511" s="581">
        <f t="shared" si="168"/>
        <v>64.450992036579962</v>
      </c>
      <c r="F511" s="581">
        <f t="shared" si="168"/>
        <v>52.417964673309186</v>
      </c>
      <c r="G511" s="581">
        <f t="shared" si="168"/>
        <v>42.159137301395056</v>
      </c>
      <c r="H511" s="581">
        <f t="shared" si="168"/>
        <v>33.438770004362773</v>
      </c>
      <c r="I511" s="581">
        <f t="shared" si="168"/>
        <v>26.050653871763842</v>
      </c>
      <c r="J511" s="581">
        <f t="shared" si="168"/>
        <v>19.814549491619132</v>
      </c>
      <c r="K511" s="581">
        <f t="shared" si="168"/>
        <v>14.573043725484361</v>
      </c>
      <c r="L511" s="581">
        <f t="shared" si="168"/>
        <v>10.188776593480203</v>
      </c>
      <c r="M511" s="581">
        <f t="shared" si="168"/>
        <v>6.5419955616676413</v>
      </c>
      <c r="N511" s="581">
        <f t="shared" si="168"/>
        <v>4.900554689654915</v>
      </c>
      <c r="O511" s="581">
        <f t="shared" si="168"/>
        <v>3.5241263309218538</v>
      </c>
      <c r="P511" s="581">
        <f t="shared" si="168"/>
        <v>2.3759044605924129</v>
      </c>
      <c r="Q511" s="581">
        <f t="shared" si="168"/>
        <v>1.4238162819615443</v>
      </c>
      <c r="R511" s="582">
        <f t="shared" si="168"/>
        <v>0.63994139023796737</v>
      </c>
    </row>
    <row r="512" spans="2:18" ht="15" thickBot="1">
      <c r="C512" s="587"/>
      <c r="D512" s="587"/>
      <c r="E512" s="587"/>
      <c r="F512" s="587"/>
      <c r="G512" s="587"/>
      <c r="H512" s="587"/>
      <c r="I512" s="587"/>
      <c r="J512" s="587"/>
      <c r="K512" s="587"/>
      <c r="L512" s="587"/>
      <c r="M512" s="587"/>
      <c r="N512" s="587"/>
      <c r="O512" s="587"/>
      <c r="P512" s="587"/>
      <c r="Q512" s="587"/>
      <c r="R512" s="587"/>
    </row>
    <row r="513" spans="2:18">
      <c r="B513" s="562" t="s">
        <v>652</v>
      </c>
      <c r="C513" s="583">
        <v>2009</v>
      </c>
      <c r="D513" s="583">
        <v>2010</v>
      </c>
      <c r="E513" s="583">
        <v>2011</v>
      </c>
      <c r="F513" s="583">
        <v>2012</v>
      </c>
      <c r="G513" s="583">
        <v>2013</v>
      </c>
      <c r="H513" s="583">
        <v>2014</v>
      </c>
      <c r="I513" s="583">
        <v>2015</v>
      </c>
      <c r="J513" s="583">
        <v>2016</v>
      </c>
      <c r="K513" s="583">
        <v>2017</v>
      </c>
      <c r="L513" s="583">
        <v>2018</v>
      </c>
      <c r="M513" s="583">
        <v>2019</v>
      </c>
      <c r="N513" s="583">
        <v>2020</v>
      </c>
      <c r="O513" s="583">
        <v>2021</v>
      </c>
      <c r="P513" s="583">
        <v>2022</v>
      </c>
      <c r="Q513" s="583">
        <v>2023</v>
      </c>
      <c r="R513" s="584">
        <v>2024</v>
      </c>
    </row>
    <row r="514" spans="2:18">
      <c r="B514" s="588" t="s">
        <v>653</v>
      </c>
      <c r="C514" s="589">
        <f>'[4]Scénario dossier 5'!C222</f>
        <v>-4.6523076923076925</v>
      </c>
      <c r="D514" s="589">
        <f>'[4]Scénario dossier 5'!D222</f>
        <v>-16.730245121871008</v>
      </c>
      <c r="E514" s="589">
        <f>'[4]Scénario dossier 5'!E222</f>
        <v>-37.470183940449651</v>
      </c>
      <c r="F514" s="589">
        <f>'[4]Scénario dossier 5'!F222</f>
        <v>-29.238147042758506</v>
      </c>
      <c r="G514" s="589">
        <f>'[4]Scénario dossier 5'!G222</f>
        <v>-16.883669865676229</v>
      </c>
      <c r="H514" s="589">
        <f>'[4]Scénario dossier 5'!H222</f>
        <v>5.2717190445193616</v>
      </c>
      <c r="I514" s="589">
        <f>'[4]Scénario dossier 5'!I222</f>
        <v>4.7394302817864542</v>
      </c>
      <c r="J514" s="589">
        <f>'[4]Scénario dossier 5'!J222</f>
        <v>3.4772756366300466</v>
      </c>
      <c r="K514" s="589">
        <f>'[4]Scénario dossier 5'!K222</f>
        <v>1.1888263311787912</v>
      </c>
      <c r="L514" s="589">
        <f>'[4]Scénario dossier 5'!L222</f>
        <v>0</v>
      </c>
      <c r="M514" s="589">
        <f>'[4]Scénario dossier 5'!M222</f>
        <v>0</v>
      </c>
      <c r="N514" s="589">
        <f>'[4]Scénario dossier 5'!N222</f>
        <v>0</v>
      </c>
      <c r="O514" s="589">
        <f>'[4]Scénario dossier 5'!O222</f>
        <v>0</v>
      </c>
      <c r="P514" s="589">
        <f>'[4]Scénario dossier 5'!P222</f>
        <v>0</v>
      </c>
      <c r="Q514" s="589">
        <f>'[4]Scénario dossier 5'!Q222</f>
        <v>0</v>
      </c>
      <c r="R514" s="626">
        <f>'[4]Scénario dossier 5'!R222</f>
        <v>0</v>
      </c>
    </row>
    <row r="515" spans="2:18">
      <c r="B515" s="590" t="s">
        <v>654</v>
      </c>
      <c r="C515" s="589">
        <f>'[4]Scénario dossier 5'!C223</f>
        <v>0</v>
      </c>
      <c r="D515" s="589">
        <f>'[4]Scénario dossier 5'!D223</f>
        <v>0</v>
      </c>
      <c r="E515" s="589">
        <f>'[4]Scénario dossier 5'!E223</f>
        <v>0</v>
      </c>
      <c r="F515" s="589">
        <f>'[4]Scénario dossier 5'!F223</f>
        <v>0</v>
      </c>
      <c r="G515" s="585">
        <f>'[4]Scénario dossier 5'!G223</f>
        <v>-13.369095209150121</v>
      </c>
      <c r="H515" s="585">
        <f>'[4]Scénario dossier 5'!H223</f>
        <v>32.956816369460412</v>
      </c>
      <c r="I515" s="585">
        <f>'[4]Scénario dossier 5'!I223</f>
        <v>30.277725799598755</v>
      </c>
      <c r="J515" s="585">
        <f>'[4]Scénario dossier 5'!J223</f>
        <v>28.391687540845247</v>
      </c>
      <c r="K515" s="585">
        <f>'[4]Scénario dossier 5'!K223</f>
        <v>26.101148770897222</v>
      </c>
      <c r="L515" s="585">
        <f>'[4]Scénario dossier 5'!L223</f>
        <v>24.460546326753949</v>
      </c>
      <c r="M515" s="585">
        <f>'[4]Scénario dossier 5'!M223</f>
        <v>22.501312267636575</v>
      </c>
      <c r="N515" s="585">
        <f>'[4]Scénario dossier 5'!N223</f>
        <v>21.075103955907377</v>
      </c>
      <c r="O515" s="585">
        <f>'[4]Scénario dossier 5'!O223</f>
        <v>19.39852016346715</v>
      </c>
      <c r="P515" s="585">
        <f>'[4]Scénario dossier 5'!P223</f>
        <v>18.159403383341502</v>
      </c>
      <c r="Q515" s="585">
        <f>'[4]Scénario dossier 5'!Q223</f>
        <v>16.724090574031035</v>
      </c>
      <c r="R515" s="586">
        <f>'[4]Scénario dossier 5'!R223</f>
        <v>22.445821416149265</v>
      </c>
    </row>
    <row r="516" spans="2:18">
      <c r="B516" s="592" t="s">
        <v>648</v>
      </c>
      <c r="C516" s="593">
        <f>C21</f>
        <v>-4.6523076923076925</v>
      </c>
      <c r="D516" s="593">
        <f t="shared" ref="D516:R516" si="169">D21</f>
        <v>-18.60923076923077</v>
      </c>
      <c r="E516" s="593">
        <f t="shared" si="169"/>
        <v>-46.359427055702916</v>
      </c>
      <c r="F516" s="593">
        <f t="shared" si="169"/>
        <v>-40.237241379310341</v>
      </c>
      <c r="G516" s="593">
        <f t="shared" si="169"/>
        <v>-46.309447199172403</v>
      </c>
      <c r="H516" s="593">
        <f t="shared" si="169"/>
        <v>65.088544944103347</v>
      </c>
      <c r="I516" s="593">
        <f t="shared" si="169"/>
        <v>65.578759369331152</v>
      </c>
      <c r="J516" s="593">
        <f t="shared" si="169"/>
        <v>67.133085620339997</v>
      </c>
      <c r="K516" s="593">
        <f t="shared" si="169"/>
        <v>63.206131112625229</v>
      </c>
      <c r="L516" s="593">
        <f t="shared" si="169"/>
        <v>63.752081027528938</v>
      </c>
      <c r="M516" s="593">
        <f t="shared" si="169"/>
        <v>64.495474857623719</v>
      </c>
      <c r="N516" s="593">
        <f t="shared" si="169"/>
        <v>67.962227713177342</v>
      </c>
      <c r="O516" s="593">
        <f t="shared" si="169"/>
        <v>68.845303582609034</v>
      </c>
      <c r="P516" s="593">
        <f t="shared" si="169"/>
        <v>72.456426463123023</v>
      </c>
      <c r="Q516" s="593">
        <f t="shared" si="169"/>
        <v>73.488719313247358</v>
      </c>
      <c r="R516" s="593">
        <f t="shared" si="169"/>
        <v>106.26525801361335</v>
      </c>
    </row>
    <row r="517" spans="2:18" ht="16" thickBot="1">
      <c r="B517" s="597" t="str">
        <f>B484</f>
        <v>CF actualisés</v>
      </c>
      <c r="C517" s="598">
        <f t="shared" ref="C517:R517" si="170">C514+C515</f>
        <v>-4.6523076923076925</v>
      </c>
      <c r="D517" s="598">
        <f t="shared" si="170"/>
        <v>-16.730245121871008</v>
      </c>
      <c r="E517" s="598">
        <f t="shared" si="170"/>
        <v>-37.470183940449651</v>
      </c>
      <c r="F517" s="598">
        <f t="shared" si="170"/>
        <v>-29.238147042758506</v>
      </c>
      <c r="G517" s="598">
        <f t="shared" si="170"/>
        <v>-30.25276507482635</v>
      </c>
      <c r="H517" s="598">
        <f t="shared" si="170"/>
        <v>38.22853541397977</v>
      </c>
      <c r="I517" s="598">
        <f t="shared" si="170"/>
        <v>35.01715608138521</v>
      </c>
      <c r="J517" s="598">
        <f t="shared" si="170"/>
        <v>31.868963177475294</v>
      </c>
      <c r="K517" s="598">
        <f t="shared" si="170"/>
        <v>27.289975102076014</v>
      </c>
      <c r="L517" s="598">
        <f t="shared" si="170"/>
        <v>24.460546326753949</v>
      </c>
      <c r="M517" s="598">
        <f t="shared" si="170"/>
        <v>22.501312267636575</v>
      </c>
      <c r="N517" s="598">
        <f t="shared" si="170"/>
        <v>21.075103955907377</v>
      </c>
      <c r="O517" s="598">
        <f t="shared" si="170"/>
        <v>19.39852016346715</v>
      </c>
      <c r="P517" s="598">
        <f t="shared" si="170"/>
        <v>18.159403383341502</v>
      </c>
      <c r="Q517" s="598">
        <f t="shared" si="170"/>
        <v>16.724090574031035</v>
      </c>
      <c r="R517" s="599">
        <f t="shared" si="170"/>
        <v>22.445821416149265</v>
      </c>
    </row>
    <row r="518" spans="2:18" ht="16" thickBot="1">
      <c r="C518" s="603"/>
      <c r="D518" s="603"/>
      <c r="E518" s="603"/>
      <c r="F518" s="603"/>
      <c r="G518" s="603"/>
      <c r="H518" s="603"/>
      <c r="I518" s="603"/>
      <c r="J518" s="603"/>
      <c r="K518" s="603"/>
      <c r="L518" s="603"/>
      <c r="M518" s="603"/>
      <c r="N518" s="603"/>
      <c r="O518" s="603"/>
      <c r="P518" s="603"/>
      <c r="Q518" s="603"/>
      <c r="R518" s="603"/>
    </row>
    <row r="519" spans="2:18" ht="15.5">
      <c r="B519" s="607"/>
      <c r="C519" s="608">
        <v>2009</v>
      </c>
      <c r="D519" s="608">
        <v>2010</v>
      </c>
      <c r="E519" s="608">
        <v>2011</v>
      </c>
      <c r="F519" s="608">
        <v>2012</v>
      </c>
      <c r="G519" s="608">
        <v>2013</v>
      </c>
      <c r="H519" s="608">
        <v>2014</v>
      </c>
      <c r="I519" s="608">
        <v>2015</v>
      </c>
      <c r="J519" s="608">
        <v>2016</v>
      </c>
      <c r="K519" s="608">
        <v>2017</v>
      </c>
      <c r="L519" s="608">
        <v>2018</v>
      </c>
      <c r="M519" s="608">
        <v>2019</v>
      </c>
      <c r="N519" s="608">
        <v>2020</v>
      </c>
      <c r="O519" s="608">
        <v>2021</v>
      </c>
      <c r="P519" s="608">
        <v>2022</v>
      </c>
      <c r="Q519" s="608">
        <v>2023</v>
      </c>
      <c r="R519" s="609">
        <v>2024</v>
      </c>
    </row>
    <row r="520" spans="2:18" ht="15" thickBot="1">
      <c r="B520" s="610" t="s">
        <v>656</v>
      </c>
      <c r="C520" s="611">
        <f t="shared" ref="C520:R520" si="171">C517+C511+C506</f>
        <v>-314.69730769230767</v>
      </c>
      <c r="D520" s="611">
        <f t="shared" si="171"/>
        <v>-302.26129528389532</v>
      </c>
      <c r="E520" s="611">
        <f t="shared" si="171"/>
        <v>-203.31039162535794</v>
      </c>
      <c r="F520" s="611">
        <f t="shared" si="171"/>
        <v>-183.83125869498187</v>
      </c>
      <c r="G520" s="611">
        <f t="shared" si="171"/>
        <v>-79.503478603628096</v>
      </c>
      <c r="H520" s="611">
        <f t="shared" si="171"/>
        <v>-10.501929142077088</v>
      </c>
      <c r="I520" s="611">
        <f t="shared" si="171"/>
        <v>10.946657062557861</v>
      </c>
      <c r="J520" s="611">
        <f t="shared" si="171"/>
        <v>139.4210451832887</v>
      </c>
      <c r="K520" s="611">
        <f t="shared" si="171"/>
        <v>120.73116950754934</v>
      </c>
      <c r="L520" s="611">
        <f t="shared" si="171"/>
        <v>105.54469703706535</v>
      </c>
      <c r="M520" s="611">
        <f t="shared" si="171"/>
        <v>92.771872881619203</v>
      </c>
      <c r="N520" s="611">
        <f t="shared" si="171"/>
        <v>83.261906926505446</v>
      </c>
      <c r="O520" s="611">
        <f t="shared" si="171"/>
        <v>74.417831415183826</v>
      </c>
      <c r="P520" s="611">
        <f t="shared" si="171"/>
        <v>66.824847648009154</v>
      </c>
      <c r="Q520" s="611">
        <f t="shared" si="171"/>
        <v>59.75803989209691</v>
      </c>
      <c r="R520" s="612">
        <f t="shared" si="171"/>
        <v>60.489530020548884</v>
      </c>
    </row>
    <row r="521" spans="2:18" ht="15" thickBot="1">
      <c r="B521" s="613" t="str">
        <f>B488</f>
        <v>Trésorerie</v>
      </c>
      <c r="C521" s="614">
        <f>C525+C526+C516+C510+C505</f>
        <v>-63.717307692307656</v>
      </c>
      <c r="D521" s="615">
        <f>C521+D516+D510+D505</f>
        <v>-399.96793846153844</v>
      </c>
      <c r="E521" s="615">
        <f t="shared" ref="E521:R521" si="172">D521+E516+E510+E505</f>
        <v>-651.56516551724133</v>
      </c>
      <c r="F521" s="615">
        <f t="shared" si="172"/>
        <v>-904.63660689655171</v>
      </c>
      <c r="G521" s="615">
        <f t="shared" si="172"/>
        <v>-1026.376654095724</v>
      </c>
      <c r="H521" s="615">
        <f t="shared" si="172"/>
        <v>-1044.3151091516206</v>
      </c>
      <c r="I521" s="615">
        <f t="shared" si="172"/>
        <v>-1024.3597497822893</v>
      </c>
      <c r="J521" s="615">
        <f t="shared" si="172"/>
        <v>-730.44646416194928</v>
      </c>
      <c r="K521" s="615">
        <f t="shared" si="172"/>
        <v>-448.056533049324</v>
      </c>
      <c r="L521" s="615">
        <f t="shared" si="172"/>
        <v>-172.71705202179504</v>
      </c>
      <c r="M521" s="615">
        <f t="shared" si="172"/>
        <v>95.769422835828678</v>
      </c>
      <c r="N521" s="615">
        <f t="shared" si="172"/>
        <v>364.55748388233934</v>
      </c>
      <c r="O521" s="615">
        <f t="shared" si="172"/>
        <v>631.063454131615</v>
      </c>
      <c r="P521" s="615">
        <f t="shared" si="172"/>
        <v>898.01538059473796</v>
      </c>
      <c r="Q521" s="615">
        <f t="shared" si="172"/>
        <v>1162.8344332413185</v>
      </c>
      <c r="R521" s="615">
        <f t="shared" si="172"/>
        <v>1457.2648579215986</v>
      </c>
    </row>
    <row r="522" spans="2:18" ht="15" thickBot="1"/>
    <row r="523" spans="2:18">
      <c r="B523" s="1039" t="s">
        <v>658</v>
      </c>
      <c r="C523" s="1040"/>
    </row>
    <row r="524" spans="2:18" ht="15.5">
      <c r="B524" s="569" t="s">
        <v>360</v>
      </c>
      <c r="C524" s="617">
        <f>SUM(C520:R520)</f>
        <v>-279.93806346782338</v>
      </c>
    </row>
    <row r="525" spans="2:18" ht="15.5">
      <c r="B525" s="569" t="s">
        <v>659</v>
      </c>
      <c r="C525" s="618">
        <f>155.21</f>
        <v>155.21</v>
      </c>
    </row>
    <row r="526" spans="2:18" ht="15.5">
      <c r="B526" s="569" t="s">
        <v>660</v>
      </c>
      <c r="C526" s="618">
        <f>95.77</f>
        <v>95.77</v>
      </c>
    </row>
    <row r="527" spans="2:18" ht="16" thickBot="1">
      <c r="B527" s="619" t="s">
        <v>661</v>
      </c>
      <c r="C527" s="620">
        <f>SUM(C524:C526)</f>
        <v>-28.958063467823379</v>
      </c>
    </row>
    <row r="529" spans="2:18" ht="15.5">
      <c r="B529" s="10" t="s">
        <v>662</v>
      </c>
      <c r="C529" s="621">
        <v>15887450</v>
      </c>
    </row>
    <row r="530" spans="2:18">
      <c r="B530" s="10" t="s">
        <v>663</v>
      </c>
      <c r="C530" s="646">
        <f>(C527/C529)*1000000</f>
        <v>-1.8227005257497824</v>
      </c>
    </row>
    <row r="533" spans="2:18" ht="15" thickBot="1">
      <c r="B533" s="1041" t="s">
        <v>691</v>
      </c>
      <c r="C533" s="1041"/>
      <c r="D533" s="1041"/>
      <c r="E533" s="1041"/>
    </row>
    <row r="534" spans="2:18">
      <c r="B534" s="562" t="s">
        <v>638</v>
      </c>
      <c r="C534" s="563">
        <v>2009</v>
      </c>
      <c r="D534" s="563">
        <v>2010</v>
      </c>
      <c r="E534" s="563">
        <v>2011</v>
      </c>
      <c r="F534" s="563">
        <v>2012</v>
      </c>
      <c r="G534" s="563">
        <v>2013</v>
      </c>
      <c r="H534" s="563">
        <v>2014</v>
      </c>
      <c r="I534" s="563">
        <v>2015</v>
      </c>
      <c r="J534" s="563">
        <v>2016</v>
      </c>
      <c r="K534" s="563">
        <v>2017</v>
      </c>
      <c r="L534" s="563">
        <v>2018</v>
      </c>
      <c r="M534" s="563">
        <v>2019</v>
      </c>
      <c r="N534" s="563">
        <v>2020</v>
      </c>
      <c r="O534" s="563">
        <v>2021</v>
      </c>
      <c r="P534" s="563">
        <v>2022</v>
      </c>
      <c r="Q534" s="563">
        <v>2023</v>
      </c>
      <c r="R534" s="564">
        <v>2024</v>
      </c>
    </row>
    <row r="535" spans="2:18">
      <c r="B535" s="569" t="s">
        <v>640</v>
      </c>
      <c r="C535" s="570">
        <v>-105</v>
      </c>
      <c r="D535" s="570">
        <v>-105</v>
      </c>
      <c r="E535" s="570">
        <v>-105</v>
      </c>
      <c r="F535" s="570">
        <v>-105</v>
      </c>
      <c r="G535" s="570">
        <v>-95</v>
      </c>
      <c r="H535" s="570">
        <v>-95</v>
      </c>
      <c r="I535" s="570">
        <v>-95</v>
      </c>
      <c r="J535" s="571">
        <v>185</v>
      </c>
      <c r="K535" s="571">
        <v>185</v>
      </c>
      <c r="L535" s="571">
        <v>185</v>
      </c>
      <c r="M535" s="571">
        <v>185</v>
      </c>
      <c r="N535" s="571">
        <v>185</v>
      </c>
      <c r="O535" s="571">
        <v>185</v>
      </c>
      <c r="P535" s="571">
        <v>185</v>
      </c>
      <c r="Q535" s="571">
        <v>185</v>
      </c>
      <c r="R535" s="572">
        <v>185</v>
      </c>
    </row>
    <row r="536" spans="2:18">
      <c r="B536" s="569" t="s">
        <v>642</v>
      </c>
      <c r="C536" s="577" t="s">
        <v>643</v>
      </c>
      <c r="D536" s="577" t="s">
        <v>643</v>
      </c>
      <c r="E536" s="577" t="s">
        <v>643</v>
      </c>
      <c r="F536" s="577" t="s">
        <v>643</v>
      </c>
      <c r="G536" s="577"/>
      <c r="H536" s="577"/>
      <c r="I536" s="578"/>
      <c r="J536" s="578"/>
      <c r="K536" s="578"/>
      <c r="L536" s="578"/>
      <c r="M536" s="578"/>
      <c r="N536" s="578"/>
      <c r="O536" s="578"/>
      <c r="P536" s="578"/>
      <c r="Q536" s="578"/>
      <c r="R536" s="579"/>
    </row>
    <row r="537" spans="2:18">
      <c r="B537" s="569" t="s">
        <v>645</v>
      </c>
      <c r="C537" s="577" t="s">
        <v>646</v>
      </c>
      <c r="D537" s="577" t="s">
        <v>646</v>
      </c>
      <c r="E537" s="577" t="s">
        <v>647</v>
      </c>
      <c r="F537" s="577" t="s">
        <v>647</v>
      </c>
      <c r="G537" s="578"/>
      <c r="H537" s="578"/>
      <c r="I537" s="578"/>
      <c r="J537" s="578"/>
      <c r="K537" s="578"/>
      <c r="L537" s="578"/>
      <c r="M537" s="578"/>
      <c r="N537" s="578"/>
      <c r="O537" s="578"/>
      <c r="P537" s="578"/>
      <c r="Q537" s="578"/>
      <c r="R537" s="579"/>
    </row>
    <row r="538" spans="2:18">
      <c r="B538" s="569" t="s">
        <v>648</v>
      </c>
      <c r="C538" s="578">
        <f>C535+C536+C537</f>
        <v>-405</v>
      </c>
      <c r="D538" s="578">
        <f t="shared" ref="D538:R538" si="173">D535+D536+D537</f>
        <v>-405</v>
      </c>
      <c r="E538" s="578">
        <f t="shared" si="173"/>
        <v>-285</v>
      </c>
      <c r="F538" s="578">
        <f t="shared" si="173"/>
        <v>-285</v>
      </c>
      <c r="G538" s="578">
        <f t="shared" si="173"/>
        <v>-95</v>
      </c>
      <c r="H538" s="578">
        <f t="shared" si="173"/>
        <v>-95</v>
      </c>
      <c r="I538" s="578">
        <f t="shared" si="173"/>
        <v>-95</v>
      </c>
      <c r="J538" s="578">
        <f t="shared" si="173"/>
        <v>185</v>
      </c>
      <c r="K538" s="578">
        <f t="shared" si="173"/>
        <v>185</v>
      </c>
      <c r="L538" s="578">
        <f t="shared" si="173"/>
        <v>185</v>
      </c>
      <c r="M538" s="578">
        <f t="shared" si="173"/>
        <v>185</v>
      </c>
      <c r="N538" s="578">
        <f t="shared" si="173"/>
        <v>185</v>
      </c>
      <c r="O538" s="578">
        <f t="shared" si="173"/>
        <v>185</v>
      </c>
      <c r="P538" s="578">
        <f t="shared" si="173"/>
        <v>185</v>
      </c>
      <c r="Q538" s="578">
        <f t="shared" si="173"/>
        <v>185</v>
      </c>
      <c r="R538" s="579">
        <f t="shared" si="173"/>
        <v>185</v>
      </c>
    </row>
    <row r="539" spans="2:18" ht="16" thickBot="1">
      <c r="B539" s="580" t="s">
        <v>649</v>
      </c>
      <c r="C539" s="581">
        <f>C538/(1+$C$2)^(C534-$C$3)</f>
        <v>-405</v>
      </c>
      <c r="D539" s="581">
        <f>D538/(1+$C$2)^(D534-$C$3)</f>
        <v>-364.05857459266912</v>
      </c>
      <c r="E539" s="581">
        <f t="shared" ref="E539:R539" si="174">E538/(1+$C$2)^(E534-$C$3)</f>
        <v>-230.29119972148825</v>
      </c>
      <c r="F539" s="581">
        <f t="shared" si="174"/>
        <v>-207.01107632553254</v>
      </c>
      <c r="G539" s="581">
        <f t="shared" si="174"/>
        <v>-62.028113063347831</v>
      </c>
      <c r="H539" s="581">
        <f t="shared" si="174"/>
        <v>-55.75769488028476</v>
      </c>
      <c r="I539" s="581">
        <f t="shared" si="174"/>
        <v>-50.12115289059119</v>
      </c>
      <c r="J539" s="581">
        <f t="shared" si="174"/>
        <v>87.737532514194271</v>
      </c>
      <c r="K539" s="581">
        <f t="shared" si="174"/>
        <v>78.868150679988972</v>
      </c>
      <c r="L539" s="581">
        <f t="shared" si="174"/>
        <v>70.895374116831192</v>
      </c>
      <c r="M539" s="581">
        <f t="shared" si="174"/>
        <v>63.728565052314984</v>
      </c>
      <c r="N539" s="581">
        <f t="shared" si="174"/>
        <v>57.286248280943148</v>
      </c>
      <c r="O539" s="581">
        <f t="shared" si="174"/>
        <v>51.495184920794827</v>
      </c>
      <c r="P539" s="581">
        <f t="shared" si="174"/>
        <v>46.28953980407524</v>
      </c>
      <c r="Q539" s="581">
        <f t="shared" si="174"/>
        <v>41.61013303610433</v>
      </c>
      <c r="R539" s="582">
        <f t="shared" si="174"/>
        <v>37.403767214161654</v>
      </c>
    </row>
    <row r="540" spans="2:18" ht="15" thickBot="1"/>
    <row r="541" spans="2:18">
      <c r="B541" s="562" t="s">
        <v>650</v>
      </c>
      <c r="C541" s="583">
        <v>2009</v>
      </c>
      <c r="D541" s="583">
        <v>2010</v>
      </c>
      <c r="E541" s="583">
        <v>2011</v>
      </c>
      <c r="F541" s="583">
        <v>2012</v>
      </c>
      <c r="G541" s="583">
        <v>2013</v>
      </c>
      <c r="H541" s="583">
        <v>2014</v>
      </c>
      <c r="I541" s="583">
        <v>2015</v>
      </c>
      <c r="J541" s="583">
        <v>2016</v>
      </c>
      <c r="K541" s="583">
        <v>2017</v>
      </c>
      <c r="L541" s="583">
        <v>2018</v>
      </c>
      <c r="M541" s="583">
        <v>2019</v>
      </c>
      <c r="N541" s="583">
        <v>2020</v>
      </c>
      <c r="O541" s="583">
        <v>2021</v>
      </c>
      <c r="P541" s="583">
        <v>2022</v>
      </c>
      <c r="Q541" s="583">
        <v>2023</v>
      </c>
      <c r="R541" s="584">
        <v>2024</v>
      </c>
    </row>
    <row r="542" spans="2:18">
      <c r="B542" s="569"/>
      <c r="C542" s="578">
        <v>94.954999999999998</v>
      </c>
      <c r="D542" s="578">
        <v>94.954999999999998</v>
      </c>
      <c r="E542" s="578">
        <v>94.954999999999998</v>
      </c>
      <c r="F542" s="578">
        <v>94.954999999999998</v>
      </c>
      <c r="G542" s="578">
        <v>94.954999999999998</v>
      </c>
      <c r="H542" s="578">
        <v>94.954999999999998</v>
      </c>
      <c r="I542" s="578">
        <v>94.954999999999998</v>
      </c>
      <c r="J542" s="578">
        <v>94.954999999999998</v>
      </c>
      <c r="K542" s="578">
        <v>94.954999999999998</v>
      </c>
      <c r="L542" s="578">
        <v>94.954999999999998</v>
      </c>
      <c r="M542" s="578">
        <v>94.954999999999998</v>
      </c>
      <c r="N542" s="578">
        <v>94.954999999999998</v>
      </c>
      <c r="O542" s="578">
        <v>94.954999999999998</v>
      </c>
      <c r="P542" s="578">
        <v>94.954999999999998</v>
      </c>
      <c r="Q542" s="578">
        <v>94.954999999999998</v>
      </c>
      <c r="R542" s="579">
        <v>94.954999999999998</v>
      </c>
    </row>
    <row r="543" spans="2:18">
      <c r="B543" s="569" t="s">
        <v>648</v>
      </c>
      <c r="C543" s="585">
        <f>C246</f>
        <v>94.954999999999998</v>
      </c>
      <c r="D543" s="585">
        <f t="shared" ref="D543:R543" si="175">D246</f>
        <v>87.358599999999996</v>
      </c>
      <c r="E543" s="585">
        <f t="shared" si="175"/>
        <v>79.762199999999993</v>
      </c>
      <c r="F543" s="585">
        <f t="shared" si="175"/>
        <v>72.165800000000004</v>
      </c>
      <c r="G543" s="585">
        <f t="shared" si="175"/>
        <v>64.569399999999987</v>
      </c>
      <c r="H543" s="585">
        <f t="shared" si="175"/>
        <v>56.972999999999999</v>
      </c>
      <c r="I543" s="585">
        <f t="shared" si="175"/>
        <v>49.376600000000003</v>
      </c>
      <c r="J543" s="585">
        <f t="shared" si="175"/>
        <v>41.780199999999994</v>
      </c>
      <c r="K543" s="585">
        <f t="shared" si="175"/>
        <v>34.183799999999998</v>
      </c>
      <c r="L543" s="585">
        <f t="shared" si="175"/>
        <v>26.587400000000002</v>
      </c>
      <c r="M543" s="585">
        <f t="shared" si="175"/>
        <v>18.990999999999996</v>
      </c>
      <c r="N543" s="585">
        <f t="shared" si="175"/>
        <v>15.82583333333333</v>
      </c>
      <c r="O543" s="585">
        <f t="shared" si="175"/>
        <v>12.660666666666664</v>
      </c>
      <c r="P543" s="585">
        <f t="shared" si="175"/>
        <v>9.4954999999999981</v>
      </c>
      <c r="Q543" s="585">
        <f t="shared" si="175"/>
        <v>6.330333333333332</v>
      </c>
      <c r="R543" s="585">
        <f t="shared" si="175"/>
        <v>3.165166666666666</v>
      </c>
    </row>
    <row r="544" spans="2:18" ht="16" thickBot="1">
      <c r="B544" s="580" t="s">
        <v>651</v>
      </c>
      <c r="C544" s="581">
        <f>C543/(1+$C$2)^(C541-$C$3)</f>
        <v>94.954999999999998</v>
      </c>
      <c r="D544" s="581">
        <f t="shared" ref="D544:R544" si="176">D543/(1+$C$2)^(D541-$C$3)</f>
        <v>78.527524430644789</v>
      </c>
      <c r="E544" s="581">
        <f t="shared" si="176"/>
        <v>64.450992036579962</v>
      </c>
      <c r="F544" s="581">
        <f t="shared" si="176"/>
        <v>52.417964673309186</v>
      </c>
      <c r="G544" s="581">
        <f t="shared" si="176"/>
        <v>42.159137301395056</v>
      </c>
      <c r="H544" s="581">
        <f t="shared" si="176"/>
        <v>33.438770004362773</v>
      </c>
      <c r="I544" s="581">
        <f t="shared" si="176"/>
        <v>26.050653871763842</v>
      </c>
      <c r="J544" s="581">
        <f t="shared" si="176"/>
        <v>19.814549491619132</v>
      </c>
      <c r="K544" s="581">
        <f t="shared" si="176"/>
        <v>14.573043725484361</v>
      </c>
      <c r="L544" s="581">
        <f t="shared" si="176"/>
        <v>10.188776593480203</v>
      </c>
      <c r="M544" s="581">
        <f t="shared" si="176"/>
        <v>6.5419955616676413</v>
      </c>
      <c r="N544" s="581">
        <f t="shared" si="176"/>
        <v>4.900554689654915</v>
      </c>
      <c r="O544" s="581">
        <f t="shared" si="176"/>
        <v>3.5241263309218538</v>
      </c>
      <c r="P544" s="581">
        <f t="shared" si="176"/>
        <v>2.3759044605924129</v>
      </c>
      <c r="Q544" s="581">
        <f t="shared" si="176"/>
        <v>1.4238162819615443</v>
      </c>
      <c r="R544" s="582">
        <f t="shared" si="176"/>
        <v>0.63994139023796737</v>
      </c>
    </row>
    <row r="545" spans="2:18" ht="15" thickBot="1">
      <c r="C545" s="587"/>
      <c r="D545" s="587"/>
      <c r="E545" s="587"/>
      <c r="F545" s="587"/>
      <c r="G545" s="587"/>
      <c r="H545" s="587"/>
      <c r="I545" s="587"/>
      <c r="J545" s="587"/>
      <c r="K545" s="587"/>
      <c r="L545" s="587"/>
      <c r="M545" s="587"/>
      <c r="N545" s="587"/>
      <c r="O545" s="587"/>
      <c r="P545" s="587"/>
      <c r="Q545" s="587"/>
      <c r="R545" s="587"/>
    </row>
    <row r="546" spans="2:18">
      <c r="B546" s="562" t="s">
        <v>652</v>
      </c>
      <c r="C546" s="583">
        <v>2009</v>
      </c>
      <c r="D546" s="583">
        <v>2010</v>
      </c>
      <c r="E546" s="583">
        <v>2011</v>
      </c>
      <c r="F546" s="583">
        <v>2012</v>
      </c>
      <c r="G546" s="583">
        <v>2013</v>
      </c>
      <c r="H546" s="583">
        <v>2014</v>
      </c>
      <c r="I546" s="583">
        <v>2015</v>
      </c>
      <c r="J546" s="583">
        <v>2016</v>
      </c>
      <c r="K546" s="583">
        <v>2017</v>
      </c>
      <c r="L546" s="583">
        <v>2018</v>
      </c>
      <c r="M546" s="583">
        <v>2019</v>
      </c>
      <c r="N546" s="583">
        <v>2020</v>
      </c>
      <c r="O546" s="583">
        <v>2021</v>
      </c>
      <c r="P546" s="583">
        <v>2022</v>
      </c>
      <c r="Q546" s="583">
        <v>2023</v>
      </c>
      <c r="R546" s="584">
        <v>2024</v>
      </c>
    </row>
    <row r="547" spans="2:18">
      <c r="B547" s="588" t="s">
        <v>653</v>
      </c>
      <c r="C547" s="589">
        <f>'[4]Scénario dossier 5'!C222</f>
        <v>-4.6523076923076925</v>
      </c>
      <c r="D547" s="589">
        <f>'[4]Scénario dossier 5'!D222</f>
        <v>-16.730245121871008</v>
      </c>
      <c r="E547" s="589">
        <f>'[4]Scénario dossier 5'!E222</f>
        <v>-37.470183940449651</v>
      </c>
      <c r="F547" s="589">
        <f>'[4]Scénario dossier 5'!F222</f>
        <v>-29.238147042758506</v>
      </c>
      <c r="G547" s="589">
        <f>'[4]Scénario dossier 5'!G222</f>
        <v>-16.883669865676229</v>
      </c>
      <c r="H547" s="589">
        <f>'[4]Scénario dossier 5'!H222</f>
        <v>5.2717190445193616</v>
      </c>
      <c r="I547" s="589">
        <f>'[4]Scénario dossier 5'!I222</f>
        <v>4.7394302817864542</v>
      </c>
      <c r="J547" s="589">
        <f>'[4]Scénario dossier 5'!J222</f>
        <v>3.4772756366300466</v>
      </c>
      <c r="K547" s="589">
        <f>'[4]Scénario dossier 5'!K222</f>
        <v>1.1888263311787912</v>
      </c>
      <c r="L547" s="589">
        <f>'[4]Scénario dossier 5'!L222</f>
        <v>0</v>
      </c>
      <c r="M547" s="589">
        <f>'[4]Scénario dossier 5'!M222</f>
        <v>0</v>
      </c>
      <c r="N547" s="589">
        <f>'[4]Scénario dossier 5'!N222</f>
        <v>0</v>
      </c>
      <c r="O547" s="589">
        <f>'[4]Scénario dossier 5'!O222</f>
        <v>0</v>
      </c>
      <c r="P547" s="589">
        <f>'[4]Scénario dossier 5'!P222</f>
        <v>0</v>
      </c>
      <c r="Q547" s="589">
        <f>'[4]Scénario dossier 5'!Q222</f>
        <v>0</v>
      </c>
      <c r="R547" s="626">
        <f>'[4]Scénario dossier 5'!R222</f>
        <v>0</v>
      </c>
    </row>
    <row r="548" spans="2:18">
      <c r="B548" s="590" t="s">
        <v>654</v>
      </c>
      <c r="C548" s="589">
        <f>'[4]Scénario dossier 5'!C223</f>
        <v>0</v>
      </c>
      <c r="D548" s="589">
        <f>'[4]Scénario dossier 5'!D223</f>
        <v>0</v>
      </c>
      <c r="E548" s="589">
        <f>'[4]Scénario dossier 5'!E223</f>
        <v>0</v>
      </c>
      <c r="F548" s="589">
        <f>'[4]Scénario dossier 5'!F223</f>
        <v>0</v>
      </c>
      <c r="G548" s="585">
        <f>'[4]Scénario dossier 5'!G223</f>
        <v>-13.369095209150121</v>
      </c>
      <c r="H548" s="585">
        <f>'[4]Scénario dossier 5'!H223</f>
        <v>32.956816369460412</v>
      </c>
      <c r="I548" s="585">
        <f>'[4]Scénario dossier 5'!I223</f>
        <v>30.277725799598755</v>
      </c>
      <c r="J548" s="585">
        <f>'[4]Scénario dossier 5'!J223</f>
        <v>28.391687540845247</v>
      </c>
      <c r="K548" s="585">
        <f>'[4]Scénario dossier 5'!K223</f>
        <v>26.101148770897222</v>
      </c>
      <c r="L548" s="585">
        <f>'[4]Scénario dossier 5'!L223</f>
        <v>24.460546326753949</v>
      </c>
      <c r="M548" s="585">
        <f>'[4]Scénario dossier 5'!M223</f>
        <v>22.501312267636575</v>
      </c>
      <c r="N548" s="585">
        <f>'[4]Scénario dossier 5'!N223</f>
        <v>21.075103955907377</v>
      </c>
      <c r="O548" s="585">
        <f>'[4]Scénario dossier 5'!O223</f>
        <v>19.39852016346715</v>
      </c>
      <c r="P548" s="585">
        <f>'[4]Scénario dossier 5'!P223</f>
        <v>18.159403383341502</v>
      </c>
      <c r="Q548" s="585">
        <f>'[4]Scénario dossier 5'!Q223</f>
        <v>16.724090574031035</v>
      </c>
      <c r="R548" s="586">
        <f>'[4]Scénario dossier 5'!R223</f>
        <v>22.445821416149265</v>
      </c>
    </row>
    <row r="549" spans="2:18">
      <c r="B549" s="592" t="s">
        <v>648</v>
      </c>
      <c r="C549" s="593">
        <f>C54</f>
        <v>-4.6523076923076925</v>
      </c>
      <c r="D549" s="593">
        <f t="shared" ref="D549:R549" si="177">D54</f>
        <v>-18.60923076923077</v>
      </c>
      <c r="E549" s="593">
        <f t="shared" si="177"/>
        <v>-46.359427055702916</v>
      </c>
      <c r="F549" s="593">
        <f t="shared" si="177"/>
        <v>-40.237241379310341</v>
      </c>
      <c r="G549" s="593">
        <f t="shared" si="177"/>
        <v>-46.309447199172403</v>
      </c>
      <c r="H549" s="593">
        <f t="shared" si="177"/>
        <v>65.088544944103347</v>
      </c>
      <c r="I549" s="593">
        <f t="shared" si="177"/>
        <v>65.578759369331152</v>
      </c>
      <c r="J549" s="593">
        <f t="shared" si="177"/>
        <v>67.133085620339997</v>
      </c>
      <c r="K549" s="593">
        <f t="shared" si="177"/>
        <v>63.206131112625229</v>
      </c>
      <c r="L549" s="593">
        <f t="shared" si="177"/>
        <v>63.752081027528938</v>
      </c>
      <c r="M549" s="593">
        <f t="shared" si="177"/>
        <v>64.495474857623719</v>
      </c>
      <c r="N549" s="593">
        <f t="shared" si="177"/>
        <v>67.962227713177342</v>
      </c>
      <c r="O549" s="593">
        <f t="shared" si="177"/>
        <v>68.845303582609034</v>
      </c>
      <c r="P549" s="593">
        <f t="shared" si="177"/>
        <v>72.456426463123023</v>
      </c>
      <c r="Q549" s="593">
        <f t="shared" si="177"/>
        <v>73.488719313247358</v>
      </c>
      <c r="R549" s="593">
        <f t="shared" si="177"/>
        <v>106.26525801361335</v>
      </c>
    </row>
    <row r="550" spans="2:18" ht="16" thickBot="1">
      <c r="B550" s="597" t="str">
        <f>B517</f>
        <v>CF actualisés</v>
      </c>
      <c r="C550" s="598">
        <f t="shared" ref="C550:R550" si="178">C547+C548</f>
        <v>-4.6523076923076925</v>
      </c>
      <c r="D550" s="598">
        <f t="shared" si="178"/>
        <v>-16.730245121871008</v>
      </c>
      <c r="E550" s="598">
        <f t="shared" si="178"/>
        <v>-37.470183940449651</v>
      </c>
      <c r="F550" s="598">
        <f t="shared" si="178"/>
        <v>-29.238147042758506</v>
      </c>
      <c r="G550" s="598">
        <f t="shared" si="178"/>
        <v>-30.25276507482635</v>
      </c>
      <c r="H550" s="598">
        <f t="shared" si="178"/>
        <v>38.22853541397977</v>
      </c>
      <c r="I550" s="598">
        <f t="shared" si="178"/>
        <v>35.01715608138521</v>
      </c>
      <c r="J550" s="598">
        <f t="shared" si="178"/>
        <v>31.868963177475294</v>
      </c>
      <c r="K550" s="598">
        <f t="shared" si="178"/>
        <v>27.289975102076014</v>
      </c>
      <c r="L550" s="598">
        <f t="shared" si="178"/>
        <v>24.460546326753949</v>
      </c>
      <c r="M550" s="598">
        <f t="shared" si="178"/>
        <v>22.501312267636575</v>
      </c>
      <c r="N550" s="598">
        <f t="shared" si="178"/>
        <v>21.075103955907377</v>
      </c>
      <c r="O550" s="598">
        <f t="shared" si="178"/>
        <v>19.39852016346715</v>
      </c>
      <c r="P550" s="598">
        <f t="shared" si="178"/>
        <v>18.159403383341502</v>
      </c>
      <c r="Q550" s="598">
        <f t="shared" si="178"/>
        <v>16.724090574031035</v>
      </c>
      <c r="R550" s="599">
        <f t="shared" si="178"/>
        <v>22.445821416149265</v>
      </c>
    </row>
    <row r="551" spans="2:18" ht="16" thickBot="1">
      <c r="C551" s="603"/>
      <c r="D551" s="603"/>
      <c r="E551" s="603"/>
      <c r="F551" s="603"/>
      <c r="G551" s="603"/>
      <c r="H551" s="603"/>
      <c r="I551" s="603"/>
      <c r="J551" s="603"/>
      <c r="K551" s="603"/>
      <c r="L551" s="603"/>
      <c r="M551" s="603"/>
      <c r="N551" s="603"/>
      <c r="O551" s="603"/>
      <c r="P551" s="603"/>
      <c r="Q551" s="603"/>
      <c r="R551" s="603"/>
    </row>
    <row r="552" spans="2:18" ht="15.5">
      <c r="B552" s="607"/>
      <c r="C552" s="608">
        <v>2009</v>
      </c>
      <c r="D552" s="608">
        <v>2010</v>
      </c>
      <c r="E552" s="608">
        <v>2011</v>
      </c>
      <c r="F552" s="608">
        <v>2012</v>
      </c>
      <c r="G552" s="608">
        <v>2013</v>
      </c>
      <c r="H552" s="608">
        <v>2014</v>
      </c>
      <c r="I552" s="608">
        <v>2015</v>
      </c>
      <c r="J552" s="608">
        <v>2016</v>
      </c>
      <c r="K552" s="608">
        <v>2017</v>
      </c>
      <c r="L552" s="608">
        <v>2018</v>
      </c>
      <c r="M552" s="608">
        <v>2019</v>
      </c>
      <c r="N552" s="608">
        <v>2020</v>
      </c>
      <c r="O552" s="608">
        <v>2021</v>
      </c>
      <c r="P552" s="608">
        <v>2022</v>
      </c>
      <c r="Q552" s="608">
        <v>2023</v>
      </c>
      <c r="R552" s="609">
        <v>2024</v>
      </c>
    </row>
    <row r="553" spans="2:18" ht="15" thickBot="1">
      <c r="B553" s="610" t="s">
        <v>656</v>
      </c>
      <c r="C553" s="611">
        <f t="shared" ref="C553:R553" si="179">C550+C544+C539</f>
        <v>-314.69730769230767</v>
      </c>
      <c r="D553" s="611">
        <f t="shared" si="179"/>
        <v>-302.26129528389532</v>
      </c>
      <c r="E553" s="611">
        <f t="shared" si="179"/>
        <v>-203.31039162535794</v>
      </c>
      <c r="F553" s="611">
        <f t="shared" si="179"/>
        <v>-183.83125869498187</v>
      </c>
      <c r="G553" s="611">
        <f t="shared" si="179"/>
        <v>-50.121740836779125</v>
      </c>
      <c r="H553" s="611">
        <f t="shared" si="179"/>
        <v>15.909610538057791</v>
      </c>
      <c r="I553" s="611">
        <f t="shared" si="179"/>
        <v>10.946657062557861</v>
      </c>
      <c r="J553" s="611">
        <f t="shared" si="179"/>
        <v>139.4210451832887</v>
      </c>
      <c r="K553" s="611">
        <f t="shared" si="179"/>
        <v>120.73116950754934</v>
      </c>
      <c r="L553" s="611">
        <f t="shared" si="179"/>
        <v>105.54469703706535</v>
      </c>
      <c r="M553" s="611">
        <f t="shared" si="179"/>
        <v>92.771872881619203</v>
      </c>
      <c r="N553" s="611">
        <f t="shared" si="179"/>
        <v>83.261906926505446</v>
      </c>
      <c r="O553" s="611">
        <f t="shared" si="179"/>
        <v>74.417831415183826</v>
      </c>
      <c r="P553" s="611">
        <f t="shared" si="179"/>
        <v>66.824847648009154</v>
      </c>
      <c r="Q553" s="611">
        <f t="shared" si="179"/>
        <v>59.75803989209691</v>
      </c>
      <c r="R553" s="612">
        <f t="shared" si="179"/>
        <v>60.489530020548884</v>
      </c>
    </row>
    <row r="554" spans="2:18" ht="15" thickBot="1">
      <c r="B554" s="613" t="str">
        <f>B521</f>
        <v>Trésorerie</v>
      </c>
      <c r="C554" s="614">
        <f>C558+C559+C549+C543+C538</f>
        <v>-63.717307692307656</v>
      </c>
      <c r="D554" s="615">
        <f>C554+D549+D543+D538</f>
        <v>-399.96793846153844</v>
      </c>
      <c r="E554" s="615">
        <f t="shared" ref="E554:R554" si="180">D554+E549+E543+E538</f>
        <v>-651.56516551724133</v>
      </c>
      <c r="F554" s="615">
        <f t="shared" si="180"/>
        <v>-904.63660689655171</v>
      </c>
      <c r="G554" s="615">
        <f t="shared" si="180"/>
        <v>-981.37665409572412</v>
      </c>
      <c r="H554" s="615">
        <f t="shared" si="180"/>
        <v>-954.31510915162085</v>
      </c>
      <c r="I554" s="615">
        <f t="shared" si="180"/>
        <v>-934.35974978228967</v>
      </c>
      <c r="J554" s="615">
        <f t="shared" si="180"/>
        <v>-640.44646416194962</v>
      </c>
      <c r="K554" s="615">
        <f t="shared" si="180"/>
        <v>-358.05653304932434</v>
      </c>
      <c r="L554" s="615">
        <f t="shared" si="180"/>
        <v>-82.717052021795382</v>
      </c>
      <c r="M554" s="615">
        <f t="shared" si="180"/>
        <v>185.76942283582832</v>
      </c>
      <c r="N554" s="615">
        <f t="shared" si="180"/>
        <v>454.557483882339</v>
      </c>
      <c r="O554" s="615">
        <f t="shared" si="180"/>
        <v>721.06345413161466</v>
      </c>
      <c r="P554" s="615">
        <f t="shared" si="180"/>
        <v>988.01538059473774</v>
      </c>
      <c r="Q554" s="615">
        <f t="shared" si="180"/>
        <v>1252.8344332413185</v>
      </c>
      <c r="R554" s="615">
        <f t="shared" si="180"/>
        <v>1547.2648579215986</v>
      </c>
    </row>
    <row r="555" spans="2:18" ht="15" thickBot="1"/>
    <row r="556" spans="2:18">
      <c r="B556" s="1039" t="s">
        <v>658</v>
      </c>
      <c r="C556" s="1040"/>
    </row>
    <row r="557" spans="2:18" ht="15.5">
      <c r="B557" s="569" t="s">
        <v>360</v>
      </c>
      <c r="C557" s="617">
        <f>SUM(C553:R553)</f>
        <v>-224.14478602083949</v>
      </c>
    </row>
    <row r="558" spans="2:18" ht="15.5">
      <c r="B558" s="569" t="s">
        <v>659</v>
      </c>
      <c r="C558" s="618">
        <f>155.21</f>
        <v>155.21</v>
      </c>
    </row>
    <row r="559" spans="2:18" ht="15.5">
      <c r="B559" s="569" t="s">
        <v>660</v>
      </c>
      <c r="C559" s="618">
        <f>95.77</f>
        <v>95.77</v>
      </c>
    </row>
    <row r="560" spans="2:18" ht="16" thickBot="1">
      <c r="B560" s="619" t="s">
        <v>661</v>
      </c>
      <c r="C560" s="620">
        <f>SUM(C557:C559)</f>
        <v>26.835213979160514</v>
      </c>
    </row>
    <row r="562" spans="2:18" ht="15.5">
      <c r="B562" s="10" t="s">
        <v>662</v>
      </c>
      <c r="C562" s="621">
        <v>15887450</v>
      </c>
    </row>
    <row r="563" spans="2:18">
      <c r="B563" s="10" t="s">
        <v>663</v>
      </c>
      <c r="C563" s="646">
        <f>(C560/C562)*1000000</f>
        <v>1.6890825135034579</v>
      </c>
    </row>
    <row r="566" spans="2:18" ht="15" thickBot="1">
      <c r="B566" s="1041" t="s">
        <v>692</v>
      </c>
      <c r="C566" s="1041"/>
      <c r="D566" s="1041"/>
      <c r="E566" s="1041"/>
    </row>
    <row r="567" spans="2:18">
      <c r="B567" s="562" t="s">
        <v>638</v>
      </c>
      <c r="C567" s="563">
        <v>2009</v>
      </c>
      <c r="D567" s="563">
        <v>2010</v>
      </c>
      <c r="E567" s="563">
        <v>2011</v>
      </c>
      <c r="F567" s="563">
        <v>2012</v>
      </c>
      <c r="G567" s="563">
        <v>2013</v>
      </c>
      <c r="H567" s="563">
        <v>2014</v>
      </c>
      <c r="I567" s="563">
        <v>2015</v>
      </c>
      <c r="J567" s="563">
        <v>2016</v>
      </c>
      <c r="K567" s="563">
        <v>2017</v>
      </c>
      <c r="L567" s="563">
        <v>2018</v>
      </c>
      <c r="M567" s="563">
        <v>2019</v>
      </c>
      <c r="N567" s="563">
        <v>2020</v>
      </c>
      <c r="O567" s="563">
        <v>2021</v>
      </c>
      <c r="P567" s="563">
        <v>2022</v>
      </c>
      <c r="Q567" s="563">
        <v>2023</v>
      </c>
      <c r="R567" s="564">
        <v>2024</v>
      </c>
    </row>
    <row r="568" spans="2:18">
      <c r="B568" s="569" t="s">
        <v>640</v>
      </c>
      <c r="C568" s="570">
        <v>-105</v>
      </c>
      <c r="D568" s="570">
        <v>-105</v>
      </c>
      <c r="E568" s="570">
        <v>-105</v>
      </c>
      <c r="F568" s="570">
        <v>-105</v>
      </c>
      <c r="G568" s="570">
        <v>-95</v>
      </c>
      <c r="H568" s="570">
        <v>-95</v>
      </c>
      <c r="I568" s="570">
        <v>-95</v>
      </c>
      <c r="J568" s="571"/>
      <c r="K568" s="571"/>
      <c r="L568" s="571"/>
      <c r="M568" s="571"/>
      <c r="N568" s="571"/>
      <c r="O568" s="571"/>
      <c r="P568" s="571"/>
      <c r="Q568" s="571"/>
      <c r="R568" s="572"/>
    </row>
    <row r="569" spans="2:18">
      <c r="B569" s="569" t="s">
        <v>642</v>
      </c>
      <c r="C569" s="577" t="s">
        <v>643</v>
      </c>
      <c r="D569" s="577" t="s">
        <v>643</v>
      </c>
      <c r="E569" s="577" t="s">
        <v>643</v>
      </c>
      <c r="F569" s="577" t="s">
        <v>643</v>
      </c>
      <c r="G569" s="577" t="s">
        <v>644</v>
      </c>
      <c r="H569" s="577" t="s">
        <v>644</v>
      </c>
      <c r="I569" s="578">
        <v>115</v>
      </c>
      <c r="J569" s="578">
        <v>115</v>
      </c>
      <c r="K569" s="578">
        <v>115</v>
      </c>
      <c r="L569" s="578">
        <v>115</v>
      </c>
      <c r="M569" s="578">
        <v>115</v>
      </c>
      <c r="N569" s="578">
        <v>115</v>
      </c>
      <c r="O569" s="578">
        <v>115</v>
      </c>
      <c r="P569" s="578">
        <v>115</v>
      </c>
      <c r="Q569" s="578">
        <v>115</v>
      </c>
      <c r="R569" s="579">
        <v>115</v>
      </c>
    </row>
    <row r="570" spans="2:18">
      <c r="B570" s="569" t="s">
        <v>645</v>
      </c>
      <c r="C570" s="577" t="s">
        <v>646</v>
      </c>
      <c r="D570" s="577" t="s">
        <v>646</v>
      </c>
      <c r="E570" s="577"/>
      <c r="F570" s="577"/>
      <c r="G570" s="578"/>
      <c r="H570" s="578"/>
      <c r="I570" s="578"/>
      <c r="J570" s="578"/>
      <c r="K570" s="578"/>
      <c r="L570" s="578"/>
      <c r="M570" s="578"/>
      <c r="N570" s="578"/>
      <c r="O570" s="578"/>
      <c r="P570" s="578"/>
      <c r="Q570" s="578"/>
      <c r="R570" s="579"/>
    </row>
    <row r="571" spans="2:18">
      <c r="B571" s="569" t="s">
        <v>648</v>
      </c>
      <c r="C571" s="578">
        <f>C568+C569+C570</f>
        <v>-405</v>
      </c>
      <c r="D571" s="578">
        <f t="shared" ref="D571:R571" si="181">D568+D569+D570</f>
        <v>-405</v>
      </c>
      <c r="E571" s="578">
        <f t="shared" si="181"/>
        <v>-210</v>
      </c>
      <c r="F571" s="578">
        <f t="shared" si="181"/>
        <v>-210</v>
      </c>
      <c r="G571" s="578">
        <f t="shared" si="181"/>
        <v>-140</v>
      </c>
      <c r="H571" s="578">
        <f t="shared" si="181"/>
        <v>-140</v>
      </c>
      <c r="I571" s="578">
        <f t="shared" si="181"/>
        <v>20</v>
      </c>
      <c r="J571" s="578">
        <f t="shared" si="181"/>
        <v>115</v>
      </c>
      <c r="K571" s="578">
        <f t="shared" si="181"/>
        <v>115</v>
      </c>
      <c r="L571" s="578">
        <f t="shared" si="181"/>
        <v>115</v>
      </c>
      <c r="M571" s="578">
        <f t="shared" si="181"/>
        <v>115</v>
      </c>
      <c r="N571" s="578">
        <f t="shared" si="181"/>
        <v>115</v>
      </c>
      <c r="O571" s="578">
        <f t="shared" si="181"/>
        <v>115</v>
      </c>
      <c r="P571" s="578">
        <f t="shared" si="181"/>
        <v>115</v>
      </c>
      <c r="Q571" s="578">
        <f t="shared" si="181"/>
        <v>115</v>
      </c>
      <c r="R571" s="579">
        <f t="shared" si="181"/>
        <v>115</v>
      </c>
    </row>
    <row r="572" spans="2:18" ht="16" thickBot="1">
      <c r="B572" s="580" t="s">
        <v>649</v>
      </c>
      <c r="C572" s="581">
        <f>C571/(1+$C$2)^(C567-$C$3)</f>
        <v>-405</v>
      </c>
      <c r="D572" s="581">
        <f>D571/(1+$C$2)^(D567-$C$3)</f>
        <v>-364.05857459266912</v>
      </c>
      <c r="E572" s="581">
        <f t="shared" ref="E572:R572" si="182">E571/(1+$C$2)^(E567-$C$3)</f>
        <v>-169.68825242635978</v>
      </c>
      <c r="F572" s="581">
        <f t="shared" si="182"/>
        <v>-152.53447729249768</v>
      </c>
      <c r="G572" s="581">
        <f t="shared" si="182"/>
        <v>-91.409850830196802</v>
      </c>
      <c r="H572" s="581">
        <f t="shared" si="182"/>
        <v>-82.169234560419639</v>
      </c>
      <c r="I572" s="581">
        <f t="shared" si="182"/>
        <v>10.551821661177092</v>
      </c>
      <c r="J572" s="581">
        <f t="shared" si="182"/>
        <v>54.539547238553197</v>
      </c>
      <c r="K572" s="581">
        <f t="shared" si="182"/>
        <v>49.026147719993141</v>
      </c>
      <c r="L572" s="581">
        <f t="shared" si="182"/>
        <v>44.070097423976144</v>
      </c>
      <c r="M572" s="581">
        <f t="shared" si="182"/>
        <v>39.615053951439045</v>
      </c>
      <c r="N572" s="581">
        <f t="shared" si="182"/>
        <v>35.610370553018718</v>
      </c>
      <c r="O572" s="581">
        <f t="shared" si="182"/>
        <v>32.010520356169756</v>
      </c>
      <c r="P572" s="581">
        <f t="shared" si="182"/>
        <v>28.774578797127852</v>
      </c>
      <c r="Q572" s="581">
        <f t="shared" si="182"/>
        <v>25.865758373794581</v>
      </c>
      <c r="R572" s="582">
        <f t="shared" si="182"/>
        <v>23.25099043042481</v>
      </c>
    </row>
    <row r="573" spans="2:18" ht="15" thickBot="1"/>
    <row r="574" spans="2:18">
      <c r="B574" s="562" t="s">
        <v>650</v>
      </c>
      <c r="C574" s="583">
        <v>2009</v>
      </c>
      <c r="D574" s="583">
        <v>2010</v>
      </c>
      <c r="E574" s="583">
        <v>2011</v>
      </c>
      <c r="F574" s="583">
        <v>2012</v>
      </c>
      <c r="G574" s="583">
        <v>2013</v>
      </c>
      <c r="H574" s="583">
        <v>2014</v>
      </c>
      <c r="I574" s="583">
        <v>2015</v>
      </c>
      <c r="J574" s="583">
        <v>2016</v>
      </c>
      <c r="K574" s="583">
        <v>2017</v>
      </c>
      <c r="L574" s="583">
        <v>2018</v>
      </c>
      <c r="M574" s="583">
        <v>2019</v>
      </c>
      <c r="N574" s="583">
        <v>2020</v>
      </c>
      <c r="O574" s="583">
        <v>2021</v>
      </c>
      <c r="P574" s="583">
        <v>2022</v>
      </c>
      <c r="Q574" s="583">
        <v>2023</v>
      </c>
      <c r="R574" s="584">
        <v>2024</v>
      </c>
    </row>
    <row r="575" spans="2:18">
      <c r="B575" s="569"/>
      <c r="C575" s="578">
        <v>94.954999999999998</v>
      </c>
      <c r="D575" s="578">
        <v>94.954999999999998</v>
      </c>
      <c r="E575" s="578">
        <v>94.954999999999998</v>
      </c>
      <c r="F575" s="578">
        <v>94.954999999999998</v>
      </c>
      <c r="G575" s="578">
        <v>94.954999999999998</v>
      </c>
      <c r="H575" s="578">
        <v>94.954999999999998</v>
      </c>
      <c r="I575" s="578">
        <v>94.954999999999998</v>
      </c>
      <c r="J575" s="578">
        <v>94.954999999999998</v>
      </c>
      <c r="K575" s="578">
        <v>94.954999999999998</v>
      </c>
      <c r="L575" s="578">
        <v>94.954999999999998</v>
      </c>
      <c r="M575" s="578">
        <v>94.954999999999998</v>
      </c>
      <c r="N575" s="578">
        <v>94.954999999999998</v>
      </c>
      <c r="O575" s="578">
        <v>94.954999999999998</v>
      </c>
      <c r="P575" s="578">
        <v>94.954999999999998</v>
      </c>
      <c r="Q575" s="578">
        <v>94.954999999999998</v>
      </c>
      <c r="R575" s="579">
        <v>94.954999999999998</v>
      </c>
    </row>
    <row r="576" spans="2:18">
      <c r="B576" s="569" t="s">
        <v>648</v>
      </c>
      <c r="C576" s="585">
        <f>C246</f>
        <v>94.954999999999998</v>
      </c>
      <c r="D576" s="585">
        <f t="shared" ref="D576:R576" si="183">D246</f>
        <v>87.358599999999996</v>
      </c>
      <c r="E576" s="585">
        <f t="shared" si="183"/>
        <v>79.762199999999993</v>
      </c>
      <c r="F576" s="585">
        <f t="shared" si="183"/>
        <v>72.165800000000004</v>
      </c>
      <c r="G576" s="585">
        <f t="shared" si="183"/>
        <v>64.569399999999987</v>
      </c>
      <c r="H576" s="585">
        <f t="shared" si="183"/>
        <v>56.972999999999999</v>
      </c>
      <c r="I576" s="585">
        <f t="shared" si="183"/>
        <v>49.376600000000003</v>
      </c>
      <c r="J576" s="585">
        <f t="shared" si="183"/>
        <v>41.780199999999994</v>
      </c>
      <c r="K576" s="585">
        <f t="shared" si="183"/>
        <v>34.183799999999998</v>
      </c>
      <c r="L576" s="585">
        <f t="shared" si="183"/>
        <v>26.587400000000002</v>
      </c>
      <c r="M576" s="585">
        <f t="shared" si="183"/>
        <v>18.990999999999996</v>
      </c>
      <c r="N576" s="585">
        <f t="shared" si="183"/>
        <v>15.82583333333333</v>
      </c>
      <c r="O576" s="585">
        <f t="shared" si="183"/>
        <v>12.660666666666664</v>
      </c>
      <c r="P576" s="585">
        <f t="shared" si="183"/>
        <v>9.4954999999999981</v>
      </c>
      <c r="Q576" s="585">
        <f t="shared" si="183"/>
        <v>6.330333333333332</v>
      </c>
      <c r="R576" s="585">
        <f t="shared" si="183"/>
        <v>3.165166666666666</v>
      </c>
    </row>
    <row r="577" spans="2:18" ht="16" thickBot="1">
      <c r="B577" s="580" t="s">
        <v>651</v>
      </c>
      <c r="C577" s="581">
        <f>C576/(1+$C$2)^(C574-$C$3)</f>
        <v>94.954999999999998</v>
      </c>
      <c r="D577" s="581">
        <f t="shared" ref="D577:R577" si="184">D576/(1+$C$2)^(D574-$C$3)</f>
        <v>78.527524430644789</v>
      </c>
      <c r="E577" s="581">
        <f t="shared" si="184"/>
        <v>64.450992036579962</v>
      </c>
      <c r="F577" s="581">
        <f t="shared" si="184"/>
        <v>52.417964673309186</v>
      </c>
      <c r="G577" s="581">
        <f t="shared" si="184"/>
        <v>42.159137301395056</v>
      </c>
      <c r="H577" s="581">
        <f t="shared" si="184"/>
        <v>33.438770004362773</v>
      </c>
      <c r="I577" s="581">
        <f t="shared" si="184"/>
        <v>26.050653871763842</v>
      </c>
      <c r="J577" s="581">
        <f t="shared" si="184"/>
        <v>19.814549491619132</v>
      </c>
      <c r="K577" s="581">
        <f t="shared" si="184"/>
        <v>14.573043725484361</v>
      </c>
      <c r="L577" s="581">
        <f t="shared" si="184"/>
        <v>10.188776593480203</v>
      </c>
      <c r="M577" s="581">
        <f t="shared" si="184"/>
        <v>6.5419955616676413</v>
      </c>
      <c r="N577" s="581">
        <f t="shared" si="184"/>
        <v>4.900554689654915</v>
      </c>
      <c r="O577" s="581">
        <f t="shared" si="184"/>
        <v>3.5241263309218538</v>
      </c>
      <c r="P577" s="581">
        <f t="shared" si="184"/>
        <v>2.3759044605924129</v>
      </c>
      <c r="Q577" s="581">
        <f t="shared" si="184"/>
        <v>1.4238162819615443</v>
      </c>
      <c r="R577" s="582">
        <f t="shared" si="184"/>
        <v>0.63994139023796737</v>
      </c>
    </row>
    <row r="578" spans="2:18" ht="15" thickBot="1">
      <c r="C578" s="587"/>
      <c r="D578" s="587"/>
      <c r="E578" s="587"/>
      <c r="F578" s="587"/>
      <c r="G578" s="587"/>
      <c r="H578" s="587"/>
      <c r="I578" s="587"/>
      <c r="J578" s="587"/>
      <c r="K578" s="587"/>
      <c r="L578" s="587"/>
      <c r="M578" s="587"/>
      <c r="N578" s="587"/>
      <c r="O578" s="587"/>
      <c r="P578" s="587"/>
      <c r="Q578" s="587"/>
      <c r="R578" s="587"/>
    </row>
    <row r="579" spans="2:18">
      <c r="B579" s="562" t="s">
        <v>652</v>
      </c>
      <c r="C579" s="583">
        <v>2009</v>
      </c>
      <c r="D579" s="583">
        <v>2010</v>
      </c>
      <c r="E579" s="583">
        <v>2011</v>
      </c>
      <c r="F579" s="583">
        <v>2012</v>
      </c>
      <c r="G579" s="583">
        <v>2013</v>
      </c>
      <c r="H579" s="583">
        <v>2014</v>
      </c>
      <c r="I579" s="583">
        <v>2015</v>
      </c>
      <c r="J579" s="583">
        <v>2016</v>
      </c>
      <c r="K579" s="583">
        <v>2017</v>
      </c>
      <c r="L579" s="583">
        <v>2018</v>
      </c>
      <c r="M579" s="583">
        <v>2019</v>
      </c>
      <c r="N579" s="583">
        <v>2020</v>
      </c>
      <c r="O579" s="583">
        <v>2021</v>
      </c>
      <c r="P579" s="583">
        <v>2022</v>
      </c>
      <c r="Q579" s="583">
        <v>2023</v>
      </c>
      <c r="R579" s="584">
        <v>2024</v>
      </c>
    </row>
    <row r="580" spans="2:18">
      <c r="B580" s="588" t="s">
        <v>653</v>
      </c>
      <c r="C580" s="589">
        <f>'[4]Scénario dossier 5'!C222</f>
        <v>-4.6523076923076925</v>
      </c>
      <c r="D580" s="589">
        <f>'[4]Scénario dossier 5'!D222</f>
        <v>-16.730245121871008</v>
      </c>
      <c r="E580" s="589">
        <f>'[4]Scénario dossier 5'!E222</f>
        <v>-37.470183940449651</v>
      </c>
      <c r="F580" s="589">
        <f>'[4]Scénario dossier 5'!F222</f>
        <v>-29.238147042758506</v>
      </c>
      <c r="G580" s="589">
        <f>'[4]Scénario dossier 5'!G222</f>
        <v>-16.883669865676229</v>
      </c>
      <c r="H580" s="589">
        <f>'[4]Scénario dossier 5'!H222</f>
        <v>5.2717190445193616</v>
      </c>
      <c r="I580" s="589">
        <f>'[4]Scénario dossier 5'!I222</f>
        <v>4.7394302817864542</v>
      </c>
      <c r="J580" s="589">
        <f>'[4]Scénario dossier 5'!J222</f>
        <v>3.4772756366300466</v>
      </c>
      <c r="K580" s="589">
        <f>'[4]Scénario dossier 5'!K222</f>
        <v>1.1888263311787912</v>
      </c>
      <c r="L580" s="589">
        <f>'[4]Scénario dossier 5'!L222</f>
        <v>0</v>
      </c>
      <c r="M580" s="589">
        <f>'[4]Scénario dossier 5'!M222</f>
        <v>0</v>
      </c>
      <c r="N580" s="589">
        <f>'[4]Scénario dossier 5'!N222</f>
        <v>0</v>
      </c>
      <c r="O580" s="589">
        <f>'[4]Scénario dossier 5'!O222</f>
        <v>0</v>
      </c>
      <c r="P580" s="589">
        <f>'[4]Scénario dossier 5'!P222</f>
        <v>0</v>
      </c>
      <c r="Q580" s="589">
        <f>'[4]Scénario dossier 5'!Q222</f>
        <v>0</v>
      </c>
      <c r="R580" s="626">
        <f>'[4]Scénario dossier 5'!R222</f>
        <v>0</v>
      </c>
    </row>
    <row r="581" spans="2:18">
      <c r="B581" s="590" t="s">
        <v>654</v>
      </c>
      <c r="C581" s="589">
        <f>'[4]Scénario dossier 5'!C223</f>
        <v>0</v>
      </c>
      <c r="D581" s="589">
        <f>'[4]Scénario dossier 5'!D223</f>
        <v>0</v>
      </c>
      <c r="E581" s="589">
        <f>'[4]Scénario dossier 5'!E223</f>
        <v>0</v>
      </c>
      <c r="F581" s="589">
        <f>'[4]Scénario dossier 5'!F223</f>
        <v>0</v>
      </c>
      <c r="G581" s="585">
        <f>'[4]Scénario dossier 5'!G223</f>
        <v>-13.369095209150121</v>
      </c>
      <c r="H581" s="585">
        <f>'[4]Scénario dossier 5'!H223</f>
        <v>32.956816369460412</v>
      </c>
      <c r="I581" s="585">
        <f>'[4]Scénario dossier 5'!I223</f>
        <v>30.277725799598755</v>
      </c>
      <c r="J581" s="585">
        <f>'[4]Scénario dossier 5'!J223</f>
        <v>28.391687540845247</v>
      </c>
      <c r="K581" s="585">
        <f>'[4]Scénario dossier 5'!K223</f>
        <v>26.101148770897222</v>
      </c>
      <c r="L581" s="585">
        <f>'[4]Scénario dossier 5'!L223</f>
        <v>24.460546326753949</v>
      </c>
      <c r="M581" s="585">
        <f>'[4]Scénario dossier 5'!M223</f>
        <v>22.501312267636575</v>
      </c>
      <c r="N581" s="585">
        <f>'[4]Scénario dossier 5'!N223</f>
        <v>21.075103955907377</v>
      </c>
      <c r="O581" s="585">
        <f>'[4]Scénario dossier 5'!O223</f>
        <v>19.39852016346715</v>
      </c>
      <c r="P581" s="585">
        <f>'[4]Scénario dossier 5'!P223</f>
        <v>18.159403383341502</v>
      </c>
      <c r="Q581" s="585">
        <f>'[4]Scénario dossier 5'!Q223</f>
        <v>16.724090574031035</v>
      </c>
      <c r="R581" s="586">
        <f>'[4]Scénario dossier 5'!R223</f>
        <v>22.445821416149265</v>
      </c>
    </row>
    <row r="582" spans="2:18">
      <c r="B582" s="592" t="s">
        <v>648</v>
      </c>
      <c r="C582" s="593">
        <f>C21</f>
        <v>-4.6523076923076925</v>
      </c>
      <c r="D582" s="593">
        <f t="shared" ref="D582:R582" si="185">D21</f>
        <v>-18.60923076923077</v>
      </c>
      <c r="E582" s="593">
        <f t="shared" si="185"/>
        <v>-46.359427055702916</v>
      </c>
      <c r="F582" s="593">
        <f t="shared" si="185"/>
        <v>-40.237241379310341</v>
      </c>
      <c r="G582" s="593">
        <f t="shared" si="185"/>
        <v>-46.309447199172403</v>
      </c>
      <c r="H582" s="593">
        <f t="shared" si="185"/>
        <v>65.088544944103347</v>
      </c>
      <c r="I582" s="593">
        <f t="shared" si="185"/>
        <v>65.578759369331152</v>
      </c>
      <c r="J582" s="593">
        <f t="shared" si="185"/>
        <v>67.133085620339997</v>
      </c>
      <c r="K582" s="593">
        <f t="shared" si="185"/>
        <v>63.206131112625229</v>
      </c>
      <c r="L582" s="593">
        <f t="shared" si="185"/>
        <v>63.752081027528938</v>
      </c>
      <c r="M582" s="593">
        <f t="shared" si="185"/>
        <v>64.495474857623719</v>
      </c>
      <c r="N582" s="593">
        <f t="shared" si="185"/>
        <v>67.962227713177342</v>
      </c>
      <c r="O582" s="593">
        <f t="shared" si="185"/>
        <v>68.845303582609034</v>
      </c>
      <c r="P582" s="593">
        <f t="shared" si="185"/>
        <v>72.456426463123023</v>
      </c>
      <c r="Q582" s="593">
        <f t="shared" si="185"/>
        <v>73.488719313247358</v>
      </c>
      <c r="R582" s="593">
        <f t="shared" si="185"/>
        <v>106.26525801361335</v>
      </c>
    </row>
    <row r="583" spans="2:18" ht="16" thickBot="1">
      <c r="B583" s="597" t="str">
        <f>B550</f>
        <v>CF actualisés</v>
      </c>
      <c r="C583" s="598">
        <f t="shared" ref="C583:R583" si="186">C580+C581</f>
        <v>-4.6523076923076925</v>
      </c>
      <c r="D583" s="598">
        <f t="shared" si="186"/>
        <v>-16.730245121871008</v>
      </c>
      <c r="E583" s="598">
        <f t="shared" si="186"/>
        <v>-37.470183940449651</v>
      </c>
      <c r="F583" s="598">
        <f t="shared" si="186"/>
        <v>-29.238147042758506</v>
      </c>
      <c r="G583" s="598">
        <f t="shared" si="186"/>
        <v>-30.25276507482635</v>
      </c>
      <c r="H583" s="598">
        <f t="shared" si="186"/>
        <v>38.22853541397977</v>
      </c>
      <c r="I583" s="598">
        <f t="shared" si="186"/>
        <v>35.01715608138521</v>
      </c>
      <c r="J583" s="598">
        <f t="shared" si="186"/>
        <v>31.868963177475294</v>
      </c>
      <c r="K583" s="598">
        <f t="shared" si="186"/>
        <v>27.289975102076014</v>
      </c>
      <c r="L583" s="598">
        <f t="shared" si="186"/>
        <v>24.460546326753949</v>
      </c>
      <c r="M583" s="598">
        <f t="shared" si="186"/>
        <v>22.501312267636575</v>
      </c>
      <c r="N583" s="598">
        <f t="shared" si="186"/>
        <v>21.075103955907377</v>
      </c>
      <c r="O583" s="598">
        <f t="shared" si="186"/>
        <v>19.39852016346715</v>
      </c>
      <c r="P583" s="598">
        <f t="shared" si="186"/>
        <v>18.159403383341502</v>
      </c>
      <c r="Q583" s="598">
        <f t="shared" si="186"/>
        <v>16.724090574031035</v>
      </c>
      <c r="R583" s="599">
        <f t="shared" si="186"/>
        <v>22.445821416149265</v>
      </c>
    </row>
    <row r="584" spans="2:18" ht="16" thickBot="1">
      <c r="C584" s="603"/>
      <c r="D584" s="603"/>
      <c r="E584" s="603"/>
      <c r="F584" s="603"/>
      <c r="G584" s="603"/>
      <c r="H584" s="603"/>
      <c r="I584" s="603"/>
      <c r="J584" s="603"/>
      <c r="K584" s="603"/>
      <c r="L584" s="603"/>
      <c r="M584" s="603"/>
      <c r="N584" s="603"/>
      <c r="O584" s="603"/>
      <c r="P584" s="603"/>
      <c r="Q584" s="603"/>
      <c r="R584" s="603"/>
    </row>
    <row r="585" spans="2:18" ht="15.5">
      <c r="B585" s="607"/>
      <c r="C585" s="608">
        <v>2009</v>
      </c>
      <c r="D585" s="608">
        <v>2010</v>
      </c>
      <c r="E585" s="608">
        <v>2011</v>
      </c>
      <c r="F585" s="608">
        <v>2012</v>
      </c>
      <c r="G585" s="608">
        <v>2013</v>
      </c>
      <c r="H585" s="608">
        <v>2014</v>
      </c>
      <c r="I585" s="608">
        <v>2015</v>
      </c>
      <c r="J585" s="608">
        <v>2016</v>
      </c>
      <c r="K585" s="608">
        <v>2017</v>
      </c>
      <c r="L585" s="608">
        <v>2018</v>
      </c>
      <c r="M585" s="608">
        <v>2019</v>
      </c>
      <c r="N585" s="608">
        <v>2020</v>
      </c>
      <c r="O585" s="608">
        <v>2021</v>
      </c>
      <c r="P585" s="608">
        <v>2022</v>
      </c>
      <c r="Q585" s="608">
        <v>2023</v>
      </c>
      <c r="R585" s="609">
        <v>2024</v>
      </c>
    </row>
    <row r="586" spans="2:18" ht="15" thickBot="1">
      <c r="B586" s="610" t="s">
        <v>656</v>
      </c>
      <c r="C586" s="611">
        <f t="shared" ref="C586:R586" si="187">C583+C577+C572</f>
        <v>-314.69730769230767</v>
      </c>
      <c r="D586" s="611">
        <f t="shared" si="187"/>
        <v>-302.26129528389532</v>
      </c>
      <c r="E586" s="611">
        <f t="shared" si="187"/>
        <v>-142.70744433022946</v>
      </c>
      <c r="F586" s="611">
        <f t="shared" si="187"/>
        <v>-129.35465966194701</v>
      </c>
      <c r="G586" s="611">
        <f t="shared" si="187"/>
        <v>-79.503478603628096</v>
      </c>
      <c r="H586" s="611">
        <f t="shared" si="187"/>
        <v>-10.501929142077088</v>
      </c>
      <c r="I586" s="611">
        <f t="shared" si="187"/>
        <v>71.619631614326138</v>
      </c>
      <c r="J586" s="611">
        <f t="shared" si="187"/>
        <v>106.22305990764762</v>
      </c>
      <c r="K586" s="611">
        <f t="shared" si="187"/>
        <v>90.889166547553515</v>
      </c>
      <c r="L586" s="611">
        <f t="shared" si="187"/>
        <v>78.719420344210306</v>
      </c>
      <c r="M586" s="611">
        <f t="shared" si="187"/>
        <v>68.658361780743263</v>
      </c>
      <c r="N586" s="611">
        <f t="shared" si="187"/>
        <v>61.586029198581009</v>
      </c>
      <c r="O586" s="611">
        <f t="shared" si="187"/>
        <v>54.933166850558763</v>
      </c>
      <c r="P586" s="611">
        <f t="shared" si="187"/>
        <v>49.309886641061766</v>
      </c>
      <c r="Q586" s="611">
        <f t="shared" si="187"/>
        <v>44.013665229787165</v>
      </c>
      <c r="R586" s="612">
        <f t="shared" si="187"/>
        <v>46.336753236812044</v>
      </c>
    </row>
    <row r="587" spans="2:18" ht="15" thickBot="1">
      <c r="B587" s="613" t="str">
        <f>B554</f>
        <v>Trésorerie</v>
      </c>
      <c r="C587" s="614">
        <f>C591+C592+C582+C576+C571</f>
        <v>-63.717307692307656</v>
      </c>
      <c r="D587" s="615">
        <f>C587+D582+D576+D571</f>
        <v>-399.96793846153844</v>
      </c>
      <c r="E587" s="615">
        <f t="shared" ref="E587:R587" si="188">D587+E581+E575+E570</f>
        <v>-305.01293846153845</v>
      </c>
      <c r="F587" s="615">
        <f t="shared" si="188"/>
        <v>-210.05793846153847</v>
      </c>
      <c r="G587" s="615">
        <f t="shared" si="188"/>
        <v>-128.47203367068857</v>
      </c>
      <c r="H587" s="615">
        <f t="shared" si="188"/>
        <v>-0.56021730122816393</v>
      </c>
      <c r="I587" s="615">
        <f t="shared" si="188"/>
        <v>124.67250849837059</v>
      </c>
      <c r="J587" s="615">
        <f t="shared" si="188"/>
        <v>248.01919603921584</v>
      </c>
      <c r="K587" s="615">
        <f t="shared" si="188"/>
        <v>369.07534481011305</v>
      </c>
      <c r="L587" s="615">
        <f t="shared" si="188"/>
        <v>488.49089113686699</v>
      </c>
      <c r="M587" s="615">
        <f t="shared" si="188"/>
        <v>605.94720340450363</v>
      </c>
      <c r="N587" s="615">
        <f t="shared" si="188"/>
        <v>721.97730736041103</v>
      </c>
      <c r="O587" s="615">
        <f t="shared" si="188"/>
        <v>836.33082752387827</v>
      </c>
      <c r="P587" s="615">
        <f t="shared" si="188"/>
        <v>949.44523090721987</v>
      </c>
      <c r="Q587" s="615">
        <f t="shared" si="188"/>
        <v>1061.1243214812509</v>
      </c>
      <c r="R587" s="616">
        <f t="shared" si="188"/>
        <v>1178.5251428974002</v>
      </c>
    </row>
    <row r="588" spans="2:18" ht="15" thickBot="1"/>
    <row r="589" spans="2:18">
      <c r="B589" s="1039" t="s">
        <v>658</v>
      </c>
      <c r="C589" s="1040"/>
    </row>
    <row r="590" spans="2:18" ht="15.5">
      <c r="B590" s="569" t="s">
        <v>360</v>
      </c>
      <c r="C590" s="617">
        <f>SUM(C586:R586)</f>
        <v>-306.73697336280298</v>
      </c>
    </row>
    <row r="591" spans="2:18" ht="15.5">
      <c r="B591" s="569" t="s">
        <v>659</v>
      </c>
      <c r="C591" s="618">
        <f>155.21</f>
        <v>155.21</v>
      </c>
    </row>
    <row r="592" spans="2:18" ht="15.5">
      <c r="B592" s="569" t="s">
        <v>660</v>
      </c>
      <c r="C592" s="618">
        <f>95.77</f>
        <v>95.77</v>
      </c>
    </row>
    <row r="593" spans="2:18" ht="16" thickBot="1">
      <c r="B593" s="619" t="s">
        <v>661</v>
      </c>
      <c r="C593" s="620">
        <f>SUM(C590:C592)</f>
        <v>-55.756973362802981</v>
      </c>
    </row>
    <row r="595" spans="2:18" ht="15.5">
      <c r="B595" s="10" t="s">
        <v>662</v>
      </c>
      <c r="C595" s="621">
        <v>15887450</v>
      </c>
    </row>
    <row r="596" spans="2:18">
      <c r="B596" s="10" t="s">
        <v>663</v>
      </c>
      <c r="C596" s="646">
        <f>(C593/C595)*1000000</f>
        <v>-3.5094979598867648</v>
      </c>
    </row>
    <row r="599" spans="2:18" ht="15" thickBot="1">
      <c r="B599" s="1041" t="s">
        <v>693</v>
      </c>
      <c r="C599" s="1041"/>
      <c r="D599" s="1041"/>
      <c r="E599" s="1041"/>
    </row>
    <row r="600" spans="2:18">
      <c r="B600" s="562" t="s">
        <v>638</v>
      </c>
      <c r="C600" s="563">
        <v>2009</v>
      </c>
      <c r="D600" s="563">
        <v>2010</v>
      </c>
      <c r="E600" s="563">
        <v>2011</v>
      </c>
      <c r="F600" s="563">
        <v>2012</v>
      </c>
      <c r="G600" s="563">
        <v>2013</v>
      </c>
      <c r="H600" s="563">
        <v>2014</v>
      </c>
      <c r="I600" s="563">
        <v>2015</v>
      </c>
      <c r="J600" s="563">
        <v>2016</v>
      </c>
      <c r="K600" s="563">
        <v>2017</v>
      </c>
      <c r="L600" s="563">
        <v>2018</v>
      </c>
      <c r="M600" s="563">
        <v>2019</v>
      </c>
      <c r="N600" s="563">
        <v>2020</v>
      </c>
      <c r="O600" s="563">
        <v>2021</v>
      </c>
      <c r="P600" s="563">
        <v>2022</v>
      </c>
      <c r="Q600" s="563">
        <v>2023</v>
      </c>
      <c r="R600" s="564">
        <v>2024</v>
      </c>
    </row>
    <row r="601" spans="2:18">
      <c r="B601" s="569" t="s">
        <v>640</v>
      </c>
      <c r="C601" s="570">
        <v>-105</v>
      </c>
      <c r="D601" s="570">
        <v>-105</v>
      </c>
      <c r="E601" s="570">
        <v>-105</v>
      </c>
      <c r="F601" s="570">
        <v>-105</v>
      </c>
      <c r="G601" s="570"/>
      <c r="H601" s="570"/>
      <c r="I601" s="570"/>
      <c r="J601" s="571"/>
      <c r="K601" s="571"/>
      <c r="L601" s="571"/>
      <c r="M601" s="571"/>
      <c r="N601" s="571"/>
      <c r="O601" s="571"/>
      <c r="P601" s="571"/>
      <c r="Q601" s="571"/>
      <c r="R601" s="572"/>
    </row>
    <row r="602" spans="2:18">
      <c r="B602" s="569" t="s">
        <v>642</v>
      </c>
      <c r="C602" s="577" t="s">
        <v>643</v>
      </c>
      <c r="D602" s="577" t="s">
        <v>643</v>
      </c>
      <c r="E602" s="577" t="s">
        <v>643</v>
      </c>
      <c r="F602" s="577" t="s">
        <v>643</v>
      </c>
      <c r="G602" s="577" t="s">
        <v>644</v>
      </c>
      <c r="H602" s="577" t="s">
        <v>644</v>
      </c>
      <c r="I602" s="578">
        <v>115</v>
      </c>
      <c r="J602" s="578">
        <v>115</v>
      </c>
      <c r="K602" s="578">
        <v>115</v>
      </c>
      <c r="L602" s="578">
        <v>115</v>
      </c>
      <c r="M602" s="578">
        <v>115</v>
      </c>
      <c r="N602" s="578">
        <v>115</v>
      </c>
      <c r="O602" s="578">
        <v>115</v>
      </c>
      <c r="P602" s="578">
        <v>115</v>
      </c>
      <c r="Q602" s="578">
        <v>115</v>
      </c>
      <c r="R602" s="579">
        <v>115</v>
      </c>
    </row>
    <row r="603" spans="2:18">
      <c r="B603" s="569" t="s">
        <v>645</v>
      </c>
      <c r="C603" s="577" t="s">
        <v>646</v>
      </c>
      <c r="D603" s="577" t="s">
        <v>646</v>
      </c>
      <c r="E603" s="577"/>
      <c r="F603" s="577"/>
      <c r="G603" s="578"/>
      <c r="H603" s="578"/>
      <c r="I603" s="578"/>
      <c r="J603" s="578"/>
      <c r="K603" s="578"/>
      <c r="L603" s="578"/>
      <c r="M603" s="578"/>
      <c r="N603" s="578"/>
      <c r="O603" s="578"/>
      <c r="P603" s="578"/>
      <c r="Q603" s="578"/>
      <c r="R603" s="579"/>
    </row>
    <row r="604" spans="2:18">
      <c r="B604" s="569" t="s">
        <v>648</v>
      </c>
      <c r="C604" s="578">
        <f>C601+C602+C603</f>
        <v>-405</v>
      </c>
      <c r="D604" s="578">
        <f t="shared" ref="D604:R604" si="189">D601+D602+D603</f>
        <v>-405</v>
      </c>
      <c r="E604" s="578">
        <f t="shared" si="189"/>
        <v>-210</v>
      </c>
      <c r="F604" s="578">
        <f t="shared" si="189"/>
        <v>-210</v>
      </c>
      <c r="G604" s="578">
        <f t="shared" si="189"/>
        <v>-45</v>
      </c>
      <c r="H604" s="578">
        <f t="shared" si="189"/>
        <v>-45</v>
      </c>
      <c r="I604" s="578">
        <f t="shared" si="189"/>
        <v>115</v>
      </c>
      <c r="J604" s="578">
        <f t="shared" si="189"/>
        <v>115</v>
      </c>
      <c r="K604" s="578">
        <f t="shared" si="189"/>
        <v>115</v>
      </c>
      <c r="L604" s="578">
        <f t="shared" si="189"/>
        <v>115</v>
      </c>
      <c r="M604" s="578">
        <f t="shared" si="189"/>
        <v>115</v>
      </c>
      <c r="N604" s="578">
        <f t="shared" si="189"/>
        <v>115</v>
      </c>
      <c r="O604" s="578">
        <f t="shared" si="189"/>
        <v>115</v>
      </c>
      <c r="P604" s="578">
        <f t="shared" si="189"/>
        <v>115</v>
      </c>
      <c r="Q604" s="578">
        <f t="shared" si="189"/>
        <v>115</v>
      </c>
      <c r="R604" s="579">
        <f t="shared" si="189"/>
        <v>115</v>
      </c>
    </row>
    <row r="605" spans="2:18" ht="16" thickBot="1">
      <c r="B605" s="580" t="s">
        <v>649</v>
      </c>
      <c r="C605" s="581">
        <f>C604/(1+$C$2)^(C600-$C$3)</f>
        <v>-405</v>
      </c>
      <c r="D605" s="581">
        <f>D604/(1+$C$2)^(D600-$C$3)</f>
        <v>-364.05857459266912</v>
      </c>
      <c r="E605" s="581">
        <f t="shared" ref="E605:R605" si="190">E604/(1+$C$2)^(E600-$C$3)</f>
        <v>-169.68825242635978</v>
      </c>
      <c r="F605" s="581">
        <f t="shared" si="190"/>
        <v>-152.53447729249768</v>
      </c>
      <c r="G605" s="581">
        <f t="shared" si="190"/>
        <v>-29.381737766848971</v>
      </c>
      <c r="H605" s="581">
        <f t="shared" si="190"/>
        <v>-26.411539680134887</v>
      </c>
      <c r="I605" s="581">
        <f t="shared" si="190"/>
        <v>60.672974551768284</v>
      </c>
      <c r="J605" s="581">
        <f t="shared" si="190"/>
        <v>54.539547238553197</v>
      </c>
      <c r="K605" s="581">
        <f t="shared" si="190"/>
        <v>49.026147719993141</v>
      </c>
      <c r="L605" s="581">
        <f t="shared" si="190"/>
        <v>44.070097423976144</v>
      </c>
      <c r="M605" s="581">
        <f t="shared" si="190"/>
        <v>39.615053951439045</v>
      </c>
      <c r="N605" s="581">
        <f t="shared" si="190"/>
        <v>35.610370553018718</v>
      </c>
      <c r="O605" s="581">
        <f t="shared" si="190"/>
        <v>32.010520356169756</v>
      </c>
      <c r="P605" s="581">
        <f t="shared" si="190"/>
        <v>28.774578797127852</v>
      </c>
      <c r="Q605" s="581">
        <f t="shared" si="190"/>
        <v>25.865758373794581</v>
      </c>
      <c r="R605" s="582">
        <f t="shared" si="190"/>
        <v>23.25099043042481</v>
      </c>
    </row>
    <row r="606" spans="2:18" ht="15" thickBot="1"/>
    <row r="607" spans="2:18">
      <c r="B607" s="562" t="s">
        <v>650</v>
      </c>
      <c r="C607" s="583">
        <v>2009</v>
      </c>
      <c r="D607" s="583">
        <v>2010</v>
      </c>
      <c r="E607" s="583">
        <v>2011</v>
      </c>
      <c r="F607" s="583">
        <v>2012</v>
      </c>
      <c r="G607" s="583">
        <v>2013</v>
      </c>
      <c r="H607" s="583">
        <v>2014</v>
      </c>
      <c r="I607" s="583">
        <v>2015</v>
      </c>
      <c r="J607" s="583">
        <v>2016</v>
      </c>
      <c r="K607" s="583">
        <v>2017</v>
      </c>
      <c r="L607" s="583">
        <v>2018</v>
      </c>
      <c r="M607" s="583">
        <v>2019</v>
      </c>
      <c r="N607" s="583">
        <v>2020</v>
      </c>
      <c r="O607" s="583">
        <v>2021</v>
      </c>
      <c r="P607" s="583">
        <v>2022</v>
      </c>
      <c r="Q607" s="583">
        <v>2023</v>
      </c>
      <c r="R607" s="584">
        <v>2024</v>
      </c>
    </row>
    <row r="608" spans="2:18">
      <c r="B608" s="569"/>
      <c r="C608" s="578">
        <v>94.954999999999998</v>
      </c>
      <c r="D608" s="578">
        <v>94.954999999999998</v>
      </c>
      <c r="E608" s="578">
        <v>94.954999999999998</v>
      </c>
      <c r="F608" s="578">
        <v>94.954999999999998</v>
      </c>
      <c r="G608" s="578">
        <v>94.954999999999998</v>
      </c>
      <c r="H608" s="578">
        <v>94.954999999999998</v>
      </c>
      <c r="I608" s="578">
        <v>94.954999999999998</v>
      </c>
      <c r="J608" s="578">
        <v>94.954999999999998</v>
      </c>
      <c r="K608" s="578">
        <v>94.954999999999998</v>
      </c>
      <c r="L608" s="578">
        <v>94.954999999999998</v>
      </c>
      <c r="M608" s="578">
        <v>94.954999999999998</v>
      </c>
      <c r="N608" s="578">
        <v>94.954999999999998</v>
      </c>
      <c r="O608" s="578">
        <v>94.954999999999998</v>
      </c>
      <c r="P608" s="578">
        <v>94.954999999999998</v>
      </c>
      <c r="Q608" s="578">
        <v>94.954999999999998</v>
      </c>
      <c r="R608" s="579">
        <v>94.954999999999998</v>
      </c>
    </row>
    <row r="609" spans="2:18">
      <c r="B609" s="569" t="s">
        <v>648</v>
      </c>
      <c r="C609" s="585">
        <f>C246</f>
        <v>94.954999999999998</v>
      </c>
      <c r="D609" s="585">
        <f t="shared" ref="D609:R609" si="191">D246</f>
        <v>87.358599999999996</v>
      </c>
      <c r="E609" s="585">
        <f t="shared" si="191"/>
        <v>79.762199999999993</v>
      </c>
      <c r="F609" s="585">
        <f t="shared" si="191"/>
        <v>72.165800000000004</v>
      </c>
      <c r="G609" s="585">
        <f t="shared" si="191"/>
        <v>64.569399999999987</v>
      </c>
      <c r="H609" s="585">
        <f t="shared" si="191"/>
        <v>56.972999999999999</v>
      </c>
      <c r="I609" s="585">
        <f t="shared" si="191"/>
        <v>49.376600000000003</v>
      </c>
      <c r="J609" s="585">
        <f t="shared" si="191"/>
        <v>41.780199999999994</v>
      </c>
      <c r="K609" s="585">
        <f t="shared" si="191"/>
        <v>34.183799999999998</v>
      </c>
      <c r="L609" s="585">
        <f t="shared" si="191"/>
        <v>26.587400000000002</v>
      </c>
      <c r="M609" s="585">
        <f t="shared" si="191"/>
        <v>18.990999999999996</v>
      </c>
      <c r="N609" s="585">
        <f t="shared" si="191"/>
        <v>15.82583333333333</v>
      </c>
      <c r="O609" s="585">
        <f t="shared" si="191"/>
        <v>12.660666666666664</v>
      </c>
      <c r="P609" s="585">
        <f t="shared" si="191"/>
        <v>9.4954999999999981</v>
      </c>
      <c r="Q609" s="585">
        <f t="shared" si="191"/>
        <v>6.330333333333332</v>
      </c>
      <c r="R609" s="585">
        <f t="shared" si="191"/>
        <v>3.165166666666666</v>
      </c>
    </row>
    <row r="610" spans="2:18" ht="16" thickBot="1">
      <c r="B610" s="580" t="s">
        <v>651</v>
      </c>
      <c r="C610" s="581">
        <f>C609/(1+$C$2)^(C607-$C$3)</f>
        <v>94.954999999999998</v>
      </c>
      <c r="D610" s="581">
        <f t="shared" ref="D610:R610" si="192">D609/(1+$C$2)^(D607-$C$3)</f>
        <v>78.527524430644789</v>
      </c>
      <c r="E610" s="581">
        <f t="shared" si="192"/>
        <v>64.450992036579962</v>
      </c>
      <c r="F610" s="581">
        <f t="shared" si="192"/>
        <v>52.417964673309186</v>
      </c>
      <c r="G610" s="581">
        <f t="shared" si="192"/>
        <v>42.159137301395056</v>
      </c>
      <c r="H610" s="581">
        <f t="shared" si="192"/>
        <v>33.438770004362773</v>
      </c>
      <c r="I610" s="581">
        <f t="shared" si="192"/>
        <v>26.050653871763842</v>
      </c>
      <c r="J610" s="581">
        <f t="shared" si="192"/>
        <v>19.814549491619132</v>
      </c>
      <c r="K610" s="581">
        <f t="shared" si="192"/>
        <v>14.573043725484361</v>
      </c>
      <c r="L610" s="581">
        <f t="shared" si="192"/>
        <v>10.188776593480203</v>
      </c>
      <c r="M610" s="581">
        <f t="shared" si="192"/>
        <v>6.5419955616676413</v>
      </c>
      <c r="N610" s="581">
        <f t="shared" si="192"/>
        <v>4.900554689654915</v>
      </c>
      <c r="O610" s="581">
        <f t="shared" si="192"/>
        <v>3.5241263309218538</v>
      </c>
      <c r="P610" s="581">
        <f t="shared" si="192"/>
        <v>2.3759044605924129</v>
      </c>
      <c r="Q610" s="581">
        <f t="shared" si="192"/>
        <v>1.4238162819615443</v>
      </c>
      <c r="R610" s="582">
        <f t="shared" si="192"/>
        <v>0.63994139023796737</v>
      </c>
    </row>
    <row r="611" spans="2:18" ht="15" thickBot="1">
      <c r="C611" s="587"/>
      <c r="D611" s="587"/>
      <c r="E611" s="587"/>
      <c r="F611" s="587"/>
      <c r="G611" s="587"/>
      <c r="H611" s="587"/>
      <c r="I611" s="587"/>
      <c r="J611" s="587"/>
      <c r="K611" s="587"/>
      <c r="L611" s="587"/>
      <c r="M611" s="587"/>
      <c r="N611" s="587"/>
      <c r="O611" s="587"/>
      <c r="P611" s="587"/>
      <c r="Q611" s="587"/>
      <c r="R611" s="587"/>
    </row>
    <row r="612" spans="2:18">
      <c r="B612" s="562" t="s">
        <v>652</v>
      </c>
      <c r="C612" s="583">
        <v>2009</v>
      </c>
      <c r="D612" s="583">
        <v>2010</v>
      </c>
      <c r="E612" s="583">
        <v>2011</v>
      </c>
      <c r="F612" s="583">
        <v>2012</v>
      </c>
      <c r="G612" s="583">
        <v>2013</v>
      </c>
      <c r="H612" s="583">
        <v>2014</v>
      </c>
      <c r="I612" s="583">
        <v>2015</v>
      </c>
      <c r="J612" s="583">
        <v>2016</v>
      </c>
      <c r="K612" s="583">
        <v>2017</v>
      </c>
      <c r="L612" s="583">
        <v>2018</v>
      </c>
      <c r="M612" s="583">
        <v>2019</v>
      </c>
      <c r="N612" s="583">
        <v>2020</v>
      </c>
      <c r="O612" s="583">
        <v>2021</v>
      </c>
      <c r="P612" s="583">
        <v>2022</v>
      </c>
      <c r="Q612" s="583">
        <v>2023</v>
      </c>
      <c r="R612" s="584">
        <v>2024</v>
      </c>
    </row>
    <row r="613" spans="2:18">
      <c r="B613" s="588" t="s">
        <v>653</v>
      </c>
      <c r="C613" s="589">
        <f>'[4]Scénario dossier 5'!C222</f>
        <v>-4.6523076923076925</v>
      </c>
      <c r="D613" s="589">
        <f>'[4]Scénario dossier 5'!D222</f>
        <v>-16.730245121871008</v>
      </c>
      <c r="E613" s="589">
        <f>'[4]Scénario dossier 5'!E222</f>
        <v>-37.470183940449651</v>
      </c>
      <c r="F613" s="589">
        <f>'[4]Scénario dossier 5'!F222</f>
        <v>-29.238147042758506</v>
      </c>
      <c r="G613" s="589">
        <f>'[4]Scénario dossier 5'!G222</f>
        <v>-16.883669865676229</v>
      </c>
      <c r="H613" s="589">
        <f>'[4]Scénario dossier 5'!H222</f>
        <v>5.2717190445193616</v>
      </c>
      <c r="I613" s="589">
        <f>'[4]Scénario dossier 5'!I222</f>
        <v>4.7394302817864542</v>
      </c>
      <c r="J613" s="589">
        <f>'[4]Scénario dossier 5'!J222</f>
        <v>3.4772756366300466</v>
      </c>
      <c r="K613" s="589">
        <f>'[4]Scénario dossier 5'!K222</f>
        <v>1.1888263311787912</v>
      </c>
      <c r="L613" s="589">
        <f>'[4]Scénario dossier 5'!L222</f>
        <v>0</v>
      </c>
      <c r="M613" s="589">
        <f>'[4]Scénario dossier 5'!M222</f>
        <v>0</v>
      </c>
      <c r="N613" s="589">
        <f>'[4]Scénario dossier 5'!N222</f>
        <v>0</v>
      </c>
      <c r="O613" s="589">
        <f>'[4]Scénario dossier 5'!O222</f>
        <v>0</v>
      </c>
      <c r="P613" s="589">
        <f>'[4]Scénario dossier 5'!P222</f>
        <v>0</v>
      </c>
      <c r="Q613" s="589">
        <f>'[4]Scénario dossier 5'!Q222</f>
        <v>0</v>
      </c>
      <c r="R613" s="626">
        <f>'[4]Scénario dossier 5'!R222</f>
        <v>0</v>
      </c>
    </row>
    <row r="614" spans="2:18">
      <c r="B614" s="590" t="s">
        <v>654</v>
      </c>
      <c r="C614" s="589">
        <f>'[4]Scénario dossier 5'!C223</f>
        <v>0</v>
      </c>
      <c r="D614" s="589">
        <f>'[4]Scénario dossier 5'!D223</f>
        <v>0</v>
      </c>
      <c r="E614" s="589">
        <f>'[4]Scénario dossier 5'!E223</f>
        <v>0</v>
      </c>
      <c r="F614" s="589">
        <f>'[4]Scénario dossier 5'!F223</f>
        <v>0</v>
      </c>
      <c r="G614" s="585">
        <f>'[4]Scénario dossier 5'!G223</f>
        <v>-13.369095209150121</v>
      </c>
      <c r="H614" s="585">
        <f>'[4]Scénario dossier 5'!H223</f>
        <v>32.956816369460412</v>
      </c>
      <c r="I614" s="585">
        <f>'[4]Scénario dossier 5'!I223</f>
        <v>30.277725799598755</v>
      </c>
      <c r="J614" s="585">
        <f>'[4]Scénario dossier 5'!J223</f>
        <v>28.391687540845247</v>
      </c>
      <c r="K614" s="585">
        <f>'[4]Scénario dossier 5'!K223</f>
        <v>26.101148770897222</v>
      </c>
      <c r="L614" s="585">
        <f>'[4]Scénario dossier 5'!L223</f>
        <v>24.460546326753949</v>
      </c>
      <c r="M614" s="585">
        <f>'[4]Scénario dossier 5'!M223</f>
        <v>22.501312267636575</v>
      </c>
      <c r="N614" s="585">
        <f>'[4]Scénario dossier 5'!N223</f>
        <v>21.075103955907377</v>
      </c>
      <c r="O614" s="585">
        <f>'[4]Scénario dossier 5'!O223</f>
        <v>19.39852016346715</v>
      </c>
      <c r="P614" s="585">
        <f>'[4]Scénario dossier 5'!P223</f>
        <v>18.159403383341502</v>
      </c>
      <c r="Q614" s="585">
        <f>'[4]Scénario dossier 5'!Q223</f>
        <v>16.724090574031035</v>
      </c>
      <c r="R614" s="586">
        <f>'[4]Scénario dossier 5'!R223</f>
        <v>22.445821416149265</v>
      </c>
    </row>
    <row r="615" spans="2:18">
      <c r="B615" s="592" t="s">
        <v>648</v>
      </c>
      <c r="C615" s="593">
        <f>C21</f>
        <v>-4.6523076923076925</v>
      </c>
      <c r="D615" s="593">
        <f t="shared" ref="D615:R615" si="193">D21</f>
        <v>-18.60923076923077</v>
      </c>
      <c r="E615" s="593">
        <f t="shared" si="193"/>
        <v>-46.359427055702916</v>
      </c>
      <c r="F615" s="593">
        <f t="shared" si="193"/>
        <v>-40.237241379310341</v>
      </c>
      <c r="G615" s="593">
        <f t="shared" si="193"/>
        <v>-46.309447199172403</v>
      </c>
      <c r="H615" s="593">
        <f t="shared" si="193"/>
        <v>65.088544944103347</v>
      </c>
      <c r="I615" s="593">
        <f t="shared" si="193"/>
        <v>65.578759369331152</v>
      </c>
      <c r="J615" s="593">
        <f t="shared" si="193"/>
        <v>67.133085620339997</v>
      </c>
      <c r="K615" s="593">
        <f t="shared" si="193"/>
        <v>63.206131112625229</v>
      </c>
      <c r="L615" s="593">
        <f t="shared" si="193"/>
        <v>63.752081027528938</v>
      </c>
      <c r="M615" s="593">
        <f t="shared" si="193"/>
        <v>64.495474857623719</v>
      </c>
      <c r="N615" s="593">
        <f t="shared" si="193"/>
        <v>67.962227713177342</v>
      </c>
      <c r="O615" s="593">
        <f t="shared" si="193"/>
        <v>68.845303582609034</v>
      </c>
      <c r="P615" s="593">
        <f t="shared" si="193"/>
        <v>72.456426463123023</v>
      </c>
      <c r="Q615" s="593">
        <f t="shared" si="193"/>
        <v>73.488719313247358</v>
      </c>
      <c r="R615" s="593">
        <f t="shared" si="193"/>
        <v>106.26525801361335</v>
      </c>
    </row>
    <row r="616" spans="2:18" ht="16" thickBot="1">
      <c r="B616" s="597" t="str">
        <f>B583</f>
        <v>CF actualisés</v>
      </c>
      <c r="C616" s="598">
        <f t="shared" ref="C616:R616" si="194">C613+C614</f>
        <v>-4.6523076923076925</v>
      </c>
      <c r="D616" s="598">
        <f t="shared" si="194"/>
        <v>-16.730245121871008</v>
      </c>
      <c r="E616" s="598">
        <f t="shared" si="194"/>
        <v>-37.470183940449651</v>
      </c>
      <c r="F616" s="598">
        <f t="shared" si="194"/>
        <v>-29.238147042758506</v>
      </c>
      <c r="G616" s="598">
        <f t="shared" si="194"/>
        <v>-30.25276507482635</v>
      </c>
      <c r="H616" s="598">
        <f t="shared" si="194"/>
        <v>38.22853541397977</v>
      </c>
      <c r="I616" s="598">
        <f t="shared" si="194"/>
        <v>35.01715608138521</v>
      </c>
      <c r="J616" s="598">
        <f t="shared" si="194"/>
        <v>31.868963177475294</v>
      </c>
      <c r="K616" s="598">
        <f t="shared" si="194"/>
        <v>27.289975102076014</v>
      </c>
      <c r="L616" s="598">
        <f t="shared" si="194"/>
        <v>24.460546326753949</v>
      </c>
      <c r="M616" s="598">
        <f t="shared" si="194"/>
        <v>22.501312267636575</v>
      </c>
      <c r="N616" s="598">
        <f t="shared" si="194"/>
        <v>21.075103955907377</v>
      </c>
      <c r="O616" s="598">
        <f t="shared" si="194"/>
        <v>19.39852016346715</v>
      </c>
      <c r="P616" s="598">
        <f t="shared" si="194"/>
        <v>18.159403383341502</v>
      </c>
      <c r="Q616" s="598">
        <f t="shared" si="194"/>
        <v>16.724090574031035</v>
      </c>
      <c r="R616" s="599">
        <f t="shared" si="194"/>
        <v>22.445821416149265</v>
      </c>
    </row>
    <row r="617" spans="2:18" ht="16" thickBot="1">
      <c r="C617" s="603"/>
      <c r="D617" s="603"/>
      <c r="E617" s="603"/>
      <c r="F617" s="603"/>
      <c r="G617" s="603"/>
      <c r="H617" s="603"/>
      <c r="I617" s="603"/>
      <c r="J617" s="603"/>
      <c r="K617" s="603"/>
      <c r="L617" s="603"/>
      <c r="M617" s="603"/>
      <c r="N617" s="603"/>
      <c r="O617" s="603"/>
      <c r="P617" s="603"/>
      <c r="Q617" s="603"/>
      <c r="R617" s="603"/>
    </row>
    <row r="618" spans="2:18" ht="15.5">
      <c r="B618" s="607"/>
      <c r="C618" s="608">
        <v>2009</v>
      </c>
      <c r="D618" s="608">
        <v>2010</v>
      </c>
      <c r="E618" s="608">
        <v>2011</v>
      </c>
      <c r="F618" s="608">
        <v>2012</v>
      </c>
      <c r="G618" s="608">
        <v>2013</v>
      </c>
      <c r="H618" s="608">
        <v>2014</v>
      </c>
      <c r="I618" s="608">
        <v>2015</v>
      </c>
      <c r="J618" s="608">
        <v>2016</v>
      </c>
      <c r="K618" s="608">
        <v>2017</v>
      </c>
      <c r="L618" s="608">
        <v>2018</v>
      </c>
      <c r="M618" s="608">
        <v>2019</v>
      </c>
      <c r="N618" s="608">
        <v>2020</v>
      </c>
      <c r="O618" s="608">
        <v>2021</v>
      </c>
      <c r="P618" s="608">
        <v>2022</v>
      </c>
      <c r="Q618" s="608">
        <v>2023</v>
      </c>
      <c r="R618" s="609">
        <v>2024</v>
      </c>
    </row>
    <row r="619" spans="2:18" ht="15" thickBot="1">
      <c r="B619" s="610" t="s">
        <v>656</v>
      </c>
      <c r="C619" s="611">
        <f t="shared" ref="C619:R619" si="195">C616+C610+C605</f>
        <v>-314.69730769230767</v>
      </c>
      <c r="D619" s="611">
        <f t="shared" si="195"/>
        <v>-302.26129528389532</v>
      </c>
      <c r="E619" s="611">
        <f t="shared" si="195"/>
        <v>-142.70744433022946</v>
      </c>
      <c r="F619" s="611">
        <f t="shared" si="195"/>
        <v>-129.35465966194701</v>
      </c>
      <c r="G619" s="611">
        <f t="shared" si="195"/>
        <v>-17.475365540280265</v>
      </c>
      <c r="H619" s="611">
        <f t="shared" si="195"/>
        <v>45.255765738207664</v>
      </c>
      <c r="I619" s="611">
        <f t="shared" si="195"/>
        <v>121.74078450491734</v>
      </c>
      <c r="J619" s="611">
        <f t="shared" si="195"/>
        <v>106.22305990764762</v>
      </c>
      <c r="K619" s="611">
        <f t="shared" si="195"/>
        <v>90.889166547553515</v>
      </c>
      <c r="L619" s="611">
        <f t="shared" si="195"/>
        <v>78.719420344210306</v>
      </c>
      <c r="M619" s="611">
        <f t="shared" si="195"/>
        <v>68.658361780743263</v>
      </c>
      <c r="N619" s="611">
        <f t="shared" si="195"/>
        <v>61.586029198581009</v>
      </c>
      <c r="O619" s="611">
        <f t="shared" si="195"/>
        <v>54.933166850558763</v>
      </c>
      <c r="P619" s="611">
        <f t="shared" si="195"/>
        <v>49.309886641061766</v>
      </c>
      <c r="Q619" s="611">
        <f t="shared" si="195"/>
        <v>44.013665229787165</v>
      </c>
      <c r="R619" s="612">
        <f t="shared" si="195"/>
        <v>46.336753236812044</v>
      </c>
    </row>
    <row r="620" spans="2:18" ht="15" thickBot="1">
      <c r="B620" s="613" t="str">
        <f>B587</f>
        <v>Trésorerie</v>
      </c>
      <c r="C620" s="614">
        <f>C624+C625+C615+C609+C604</f>
        <v>-63.717307692307656</v>
      </c>
      <c r="D620" s="615">
        <f>C620+D615+D609+D604</f>
        <v>-399.96793846153844</v>
      </c>
      <c r="E620" s="615">
        <f t="shared" ref="E620:R620" si="196">D620+E615+E609+E604</f>
        <v>-576.56516551724133</v>
      </c>
      <c r="F620" s="615">
        <f t="shared" si="196"/>
        <v>-754.63660689655171</v>
      </c>
      <c r="G620" s="615">
        <f t="shared" si="196"/>
        <v>-781.37665409572412</v>
      </c>
      <c r="H620" s="615">
        <f t="shared" si="196"/>
        <v>-704.31510915162085</v>
      </c>
      <c r="I620" s="615">
        <f t="shared" si="196"/>
        <v>-474.35974978228967</v>
      </c>
      <c r="J620" s="615">
        <f t="shared" si="196"/>
        <v>-250.44646416194968</v>
      </c>
      <c r="K620" s="615">
        <f t="shared" si="196"/>
        <v>-38.056533049324457</v>
      </c>
      <c r="L620" s="615">
        <f t="shared" si="196"/>
        <v>167.28294797820448</v>
      </c>
      <c r="M620" s="615">
        <f t="shared" si="196"/>
        <v>365.76942283582821</v>
      </c>
      <c r="N620" s="615">
        <f t="shared" si="196"/>
        <v>564.55748388233883</v>
      </c>
      <c r="O620" s="615">
        <f t="shared" si="196"/>
        <v>761.06345413161455</v>
      </c>
      <c r="P620" s="615">
        <f t="shared" si="196"/>
        <v>958.01538059473751</v>
      </c>
      <c r="Q620" s="615">
        <f t="shared" si="196"/>
        <v>1152.8344332413183</v>
      </c>
      <c r="R620" s="615">
        <f t="shared" si="196"/>
        <v>1377.2648579215984</v>
      </c>
    </row>
    <row r="621" spans="2:18" ht="15" thickBot="1"/>
    <row r="622" spans="2:18">
      <c r="B622" s="1039" t="s">
        <v>658</v>
      </c>
      <c r="C622" s="1040"/>
    </row>
    <row r="623" spans="2:18" ht="15.5">
      <c r="B623" s="569" t="s">
        <v>360</v>
      </c>
      <c r="C623" s="617">
        <f>SUM(C619:R619)</f>
        <v>-138.83001252857935</v>
      </c>
    </row>
    <row r="624" spans="2:18" ht="15.5">
      <c r="B624" s="569" t="s">
        <v>659</v>
      </c>
      <c r="C624" s="618">
        <f>155.21</f>
        <v>155.21</v>
      </c>
    </row>
    <row r="625" spans="2:18" ht="15.5">
      <c r="B625" s="569" t="s">
        <v>660</v>
      </c>
      <c r="C625" s="618">
        <f>95.77</f>
        <v>95.77</v>
      </c>
    </row>
    <row r="626" spans="2:18" ht="16" thickBot="1">
      <c r="B626" s="619" t="s">
        <v>661</v>
      </c>
      <c r="C626" s="620">
        <f>SUM(C623:C625)</f>
        <v>112.14998747142066</v>
      </c>
    </row>
    <row r="628" spans="2:18" ht="15.5">
      <c r="B628" s="10" t="s">
        <v>662</v>
      </c>
      <c r="C628" s="621">
        <v>15887450</v>
      </c>
    </row>
    <row r="629" spans="2:18">
      <c r="B629" s="10" t="s">
        <v>663</v>
      </c>
      <c r="C629" s="646">
        <f>(C626/C628)*1000000</f>
        <v>7.0590300816947122</v>
      </c>
    </row>
    <row r="632" spans="2:18" ht="15" thickBot="1">
      <c r="B632" s="1041" t="s">
        <v>694</v>
      </c>
      <c r="C632" s="1041"/>
      <c r="D632" s="1041"/>
      <c r="E632" s="1041"/>
    </row>
    <row r="633" spans="2:18">
      <c r="B633" s="562" t="s">
        <v>638</v>
      </c>
      <c r="C633" s="563">
        <v>2009</v>
      </c>
      <c r="D633" s="563">
        <v>2010</v>
      </c>
      <c r="E633" s="563">
        <v>2011</v>
      </c>
      <c r="F633" s="563">
        <v>2012</v>
      </c>
      <c r="G633" s="563">
        <v>2013</v>
      </c>
      <c r="H633" s="563">
        <v>2014</v>
      </c>
      <c r="I633" s="563">
        <v>2015</v>
      </c>
      <c r="J633" s="563">
        <v>2016</v>
      </c>
      <c r="K633" s="563">
        <v>2017</v>
      </c>
      <c r="L633" s="563">
        <v>2018</v>
      </c>
      <c r="M633" s="563">
        <v>2019</v>
      </c>
      <c r="N633" s="563">
        <v>2020</v>
      </c>
      <c r="O633" s="563">
        <v>2021</v>
      </c>
      <c r="P633" s="563">
        <v>2022</v>
      </c>
      <c r="Q633" s="563">
        <v>2023</v>
      </c>
      <c r="R633" s="564">
        <v>2024</v>
      </c>
    </row>
    <row r="634" spans="2:18">
      <c r="B634" s="569" t="s">
        <v>640</v>
      </c>
      <c r="C634" s="570">
        <v>-105</v>
      </c>
      <c r="D634" s="570">
        <v>-105</v>
      </c>
      <c r="E634" s="570">
        <v>-105</v>
      </c>
      <c r="F634" s="570">
        <v>-105</v>
      </c>
      <c r="G634" s="570">
        <v>-95</v>
      </c>
      <c r="H634" s="570">
        <v>-95</v>
      </c>
      <c r="I634" s="570">
        <v>-95</v>
      </c>
      <c r="J634" s="571">
        <v>185</v>
      </c>
      <c r="K634" s="571">
        <v>185</v>
      </c>
      <c r="L634" s="571">
        <v>185</v>
      </c>
      <c r="M634" s="571">
        <v>185</v>
      </c>
      <c r="N634" s="571">
        <v>185</v>
      </c>
      <c r="O634" s="571">
        <v>185</v>
      </c>
      <c r="P634" s="571">
        <v>185</v>
      </c>
      <c r="Q634" s="571">
        <v>185</v>
      </c>
      <c r="R634" s="572">
        <v>185</v>
      </c>
    </row>
    <row r="635" spans="2:18">
      <c r="B635" s="569" t="s">
        <v>642</v>
      </c>
      <c r="C635" s="577" t="s">
        <v>643</v>
      </c>
      <c r="D635" s="577" t="s">
        <v>643</v>
      </c>
      <c r="E635" s="577" t="s">
        <v>643</v>
      </c>
      <c r="F635" s="577" t="s">
        <v>643</v>
      </c>
      <c r="G635" s="577" t="s">
        <v>644</v>
      </c>
      <c r="H635" s="577" t="s">
        <v>644</v>
      </c>
      <c r="I635" s="578"/>
      <c r="J635" s="578"/>
      <c r="K635" s="578"/>
      <c r="L635" s="578"/>
      <c r="M635" s="578"/>
      <c r="N635" s="578"/>
      <c r="O635" s="578"/>
      <c r="P635" s="578"/>
      <c r="Q635" s="578"/>
      <c r="R635" s="579"/>
    </row>
    <row r="636" spans="2:18">
      <c r="B636" s="569" t="s">
        <v>645</v>
      </c>
      <c r="C636" s="577" t="s">
        <v>646</v>
      </c>
      <c r="D636" s="577" t="s">
        <v>646</v>
      </c>
      <c r="E636" s="577"/>
      <c r="F636" s="577"/>
      <c r="G636" s="578"/>
      <c r="H636" s="578"/>
      <c r="I636" s="578"/>
      <c r="J636" s="578"/>
      <c r="K636" s="578"/>
      <c r="L636" s="578"/>
      <c r="M636" s="578"/>
      <c r="N636" s="578"/>
      <c r="O636" s="578"/>
      <c r="P636" s="578"/>
      <c r="Q636" s="578"/>
      <c r="R636" s="579"/>
    </row>
    <row r="637" spans="2:18">
      <c r="B637" s="569" t="s">
        <v>648</v>
      </c>
      <c r="C637" s="578">
        <f>C634+C635+C636</f>
        <v>-405</v>
      </c>
      <c r="D637" s="578">
        <f t="shared" ref="D637:R637" si="197">D634+D635+D636</f>
        <v>-405</v>
      </c>
      <c r="E637" s="578">
        <f t="shared" si="197"/>
        <v>-210</v>
      </c>
      <c r="F637" s="578">
        <f t="shared" si="197"/>
        <v>-210</v>
      </c>
      <c r="G637" s="578">
        <f t="shared" si="197"/>
        <v>-140</v>
      </c>
      <c r="H637" s="578">
        <f t="shared" si="197"/>
        <v>-140</v>
      </c>
      <c r="I637" s="578">
        <f t="shared" si="197"/>
        <v>-95</v>
      </c>
      <c r="J637" s="578">
        <f t="shared" si="197"/>
        <v>185</v>
      </c>
      <c r="K637" s="578">
        <f t="shared" si="197"/>
        <v>185</v>
      </c>
      <c r="L637" s="578">
        <f t="shared" si="197"/>
        <v>185</v>
      </c>
      <c r="M637" s="578">
        <f t="shared" si="197"/>
        <v>185</v>
      </c>
      <c r="N637" s="578">
        <f t="shared" si="197"/>
        <v>185</v>
      </c>
      <c r="O637" s="578">
        <f t="shared" si="197"/>
        <v>185</v>
      </c>
      <c r="P637" s="578">
        <f t="shared" si="197"/>
        <v>185</v>
      </c>
      <c r="Q637" s="578">
        <f t="shared" si="197"/>
        <v>185</v>
      </c>
      <c r="R637" s="579">
        <f t="shared" si="197"/>
        <v>185</v>
      </c>
    </row>
    <row r="638" spans="2:18" ht="16" thickBot="1">
      <c r="B638" s="580" t="s">
        <v>649</v>
      </c>
      <c r="C638" s="581">
        <f>C637/(1+$C$2)^(C633-$C$3)</f>
        <v>-405</v>
      </c>
      <c r="D638" s="581">
        <f>D637/(1+$C$2)^(D633-$C$3)</f>
        <v>-364.05857459266912</v>
      </c>
      <c r="E638" s="581">
        <f t="shared" ref="E638:R638" si="198">E637/(1+$C$2)^(E633-$C$3)</f>
        <v>-169.68825242635978</v>
      </c>
      <c r="F638" s="581">
        <f t="shared" si="198"/>
        <v>-152.53447729249768</v>
      </c>
      <c r="G638" s="581">
        <f t="shared" si="198"/>
        <v>-91.409850830196802</v>
      </c>
      <c r="H638" s="581">
        <f t="shared" si="198"/>
        <v>-82.169234560419639</v>
      </c>
      <c r="I638" s="581">
        <f t="shared" si="198"/>
        <v>-50.12115289059119</v>
      </c>
      <c r="J638" s="581">
        <f t="shared" si="198"/>
        <v>87.737532514194271</v>
      </c>
      <c r="K638" s="581">
        <f t="shared" si="198"/>
        <v>78.868150679988972</v>
      </c>
      <c r="L638" s="581">
        <f t="shared" si="198"/>
        <v>70.895374116831192</v>
      </c>
      <c r="M638" s="581">
        <f t="shared" si="198"/>
        <v>63.728565052314984</v>
      </c>
      <c r="N638" s="581">
        <f t="shared" si="198"/>
        <v>57.286248280943148</v>
      </c>
      <c r="O638" s="581">
        <f t="shared" si="198"/>
        <v>51.495184920794827</v>
      </c>
      <c r="P638" s="581">
        <f t="shared" si="198"/>
        <v>46.28953980407524</v>
      </c>
      <c r="Q638" s="581">
        <f t="shared" si="198"/>
        <v>41.61013303610433</v>
      </c>
      <c r="R638" s="582">
        <f t="shared" si="198"/>
        <v>37.403767214161654</v>
      </c>
    </row>
    <row r="639" spans="2:18" ht="15" thickBot="1"/>
    <row r="640" spans="2:18">
      <c r="B640" s="562" t="s">
        <v>650</v>
      </c>
      <c r="C640" s="583">
        <v>2009</v>
      </c>
      <c r="D640" s="583">
        <v>2010</v>
      </c>
      <c r="E640" s="583">
        <v>2011</v>
      </c>
      <c r="F640" s="583">
        <v>2012</v>
      </c>
      <c r="G640" s="583">
        <v>2013</v>
      </c>
      <c r="H640" s="583">
        <v>2014</v>
      </c>
      <c r="I640" s="583">
        <v>2015</v>
      </c>
      <c r="J640" s="583">
        <v>2016</v>
      </c>
      <c r="K640" s="583">
        <v>2017</v>
      </c>
      <c r="L640" s="583">
        <v>2018</v>
      </c>
      <c r="M640" s="583">
        <v>2019</v>
      </c>
      <c r="N640" s="583">
        <v>2020</v>
      </c>
      <c r="O640" s="583">
        <v>2021</v>
      </c>
      <c r="P640" s="583">
        <v>2022</v>
      </c>
      <c r="Q640" s="583">
        <v>2023</v>
      </c>
      <c r="R640" s="584">
        <v>2024</v>
      </c>
    </row>
    <row r="641" spans="2:18">
      <c r="B641" s="569"/>
      <c r="C641" s="578">
        <v>94.954999999999998</v>
      </c>
      <c r="D641" s="578">
        <v>94.954999999999998</v>
      </c>
      <c r="E641" s="578">
        <v>94.954999999999998</v>
      </c>
      <c r="F641" s="578">
        <v>94.954999999999998</v>
      </c>
      <c r="G641" s="578">
        <v>94.954999999999998</v>
      </c>
      <c r="H641" s="578">
        <v>94.954999999999998</v>
      </c>
      <c r="I641" s="578">
        <v>94.954999999999998</v>
      </c>
      <c r="J641" s="578">
        <v>94.954999999999998</v>
      </c>
      <c r="K641" s="578">
        <v>94.954999999999998</v>
      </c>
      <c r="L641" s="578">
        <v>94.954999999999998</v>
      </c>
      <c r="M641" s="578">
        <v>94.954999999999998</v>
      </c>
      <c r="N641" s="578">
        <v>94.954999999999998</v>
      </c>
      <c r="O641" s="578">
        <v>94.954999999999998</v>
      </c>
      <c r="P641" s="578">
        <v>94.954999999999998</v>
      </c>
      <c r="Q641" s="578">
        <v>94.954999999999998</v>
      </c>
      <c r="R641" s="579">
        <v>94.954999999999998</v>
      </c>
    </row>
    <row r="642" spans="2:18">
      <c r="B642" s="569" t="s">
        <v>648</v>
      </c>
      <c r="C642" s="585">
        <f>C246</f>
        <v>94.954999999999998</v>
      </c>
      <c r="D642" s="585">
        <f t="shared" ref="D642:R642" si="199">D246</f>
        <v>87.358599999999996</v>
      </c>
      <c r="E642" s="585">
        <f t="shared" si="199"/>
        <v>79.762199999999993</v>
      </c>
      <c r="F642" s="585">
        <f t="shared" si="199"/>
        <v>72.165800000000004</v>
      </c>
      <c r="G642" s="585">
        <f t="shared" si="199"/>
        <v>64.569399999999987</v>
      </c>
      <c r="H642" s="585">
        <f t="shared" si="199"/>
        <v>56.972999999999999</v>
      </c>
      <c r="I642" s="585">
        <f t="shared" si="199"/>
        <v>49.376600000000003</v>
      </c>
      <c r="J642" s="585">
        <f t="shared" si="199"/>
        <v>41.780199999999994</v>
      </c>
      <c r="K642" s="585">
        <f t="shared" si="199"/>
        <v>34.183799999999998</v>
      </c>
      <c r="L642" s="585">
        <f t="shared" si="199"/>
        <v>26.587400000000002</v>
      </c>
      <c r="M642" s="585">
        <f t="shared" si="199"/>
        <v>18.990999999999996</v>
      </c>
      <c r="N642" s="585">
        <f t="shared" si="199"/>
        <v>15.82583333333333</v>
      </c>
      <c r="O642" s="585">
        <f t="shared" si="199"/>
        <v>12.660666666666664</v>
      </c>
      <c r="P642" s="585">
        <f t="shared" si="199"/>
        <v>9.4954999999999981</v>
      </c>
      <c r="Q642" s="585">
        <f t="shared" si="199"/>
        <v>6.330333333333332</v>
      </c>
      <c r="R642" s="585">
        <f t="shared" si="199"/>
        <v>3.165166666666666</v>
      </c>
    </row>
    <row r="643" spans="2:18" ht="16" thickBot="1">
      <c r="B643" s="580" t="s">
        <v>651</v>
      </c>
      <c r="C643" s="581">
        <f>C642/(1+$C$2)^(C640-$C$3)</f>
        <v>94.954999999999998</v>
      </c>
      <c r="D643" s="581">
        <f t="shared" ref="D643:R643" si="200">D642/(1+$C$2)^(D640-$C$3)</f>
        <v>78.527524430644789</v>
      </c>
      <c r="E643" s="581">
        <f t="shared" si="200"/>
        <v>64.450992036579962</v>
      </c>
      <c r="F643" s="581">
        <f t="shared" si="200"/>
        <v>52.417964673309186</v>
      </c>
      <c r="G643" s="581">
        <f t="shared" si="200"/>
        <v>42.159137301395056</v>
      </c>
      <c r="H643" s="581">
        <f t="shared" si="200"/>
        <v>33.438770004362773</v>
      </c>
      <c r="I643" s="581">
        <f t="shared" si="200"/>
        <v>26.050653871763842</v>
      </c>
      <c r="J643" s="581">
        <f t="shared" si="200"/>
        <v>19.814549491619132</v>
      </c>
      <c r="K643" s="581">
        <f t="shared" si="200"/>
        <v>14.573043725484361</v>
      </c>
      <c r="L643" s="581">
        <f t="shared" si="200"/>
        <v>10.188776593480203</v>
      </c>
      <c r="M643" s="581">
        <f t="shared" si="200"/>
        <v>6.5419955616676413</v>
      </c>
      <c r="N643" s="581">
        <f t="shared" si="200"/>
        <v>4.900554689654915</v>
      </c>
      <c r="O643" s="581">
        <f t="shared" si="200"/>
        <v>3.5241263309218538</v>
      </c>
      <c r="P643" s="581">
        <f t="shared" si="200"/>
        <v>2.3759044605924129</v>
      </c>
      <c r="Q643" s="581">
        <f t="shared" si="200"/>
        <v>1.4238162819615443</v>
      </c>
      <c r="R643" s="582">
        <f t="shared" si="200"/>
        <v>0.63994139023796737</v>
      </c>
    </row>
    <row r="644" spans="2:18" ht="15" thickBot="1">
      <c r="C644" s="587"/>
      <c r="D644" s="587"/>
      <c r="E644" s="587"/>
      <c r="F644" s="587"/>
      <c r="G644" s="587"/>
      <c r="H644" s="587"/>
      <c r="I644" s="587"/>
      <c r="J644" s="587"/>
      <c r="K644" s="587"/>
      <c r="L644" s="587"/>
      <c r="M644" s="587"/>
      <c r="N644" s="587"/>
      <c r="O644" s="587"/>
      <c r="P644" s="587"/>
      <c r="Q644" s="587"/>
      <c r="R644" s="587"/>
    </row>
    <row r="645" spans="2:18">
      <c r="B645" s="562" t="s">
        <v>652</v>
      </c>
      <c r="C645" s="583">
        <v>2009</v>
      </c>
      <c r="D645" s="583">
        <v>2010</v>
      </c>
      <c r="E645" s="583">
        <v>2011</v>
      </c>
      <c r="F645" s="583">
        <v>2012</v>
      </c>
      <c r="G645" s="583">
        <v>2013</v>
      </c>
      <c r="H645" s="583">
        <v>2014</v>
      </c>
      <c r="I645" s="583">
        <v>2015</v>
      </c>
      <c r="J645" s="583">
        <v>2016</v>
      </c>
      <c r="K645" s="583">
        <v>2017</v>
      </c>
      <c r="L645" s="583">
        <v>2018</v>
      </c>
      <c r="M645" s="583">
        <v>2019</v>
      </c>
      <c r="N645" s="583">
        <v>2020</v>
      </c>
      <c r="O645" s="583">
        <v>2021</v>
      </c>
      <c r="P645" s="583">
        <v>2022</v>
      </c>
      <c r="Q645" s="583">
        <v>2023</v>
      </c>
      <c r="R645" s="584">
        <v>2024</v>
      </c>
    </row>
    <row r="646" spans="2:18">
      <c r="B646" s="588" t="s">
        <v>653</v>
      </c>
      <c r="C646" s="589">
        <f>'[4]Scénario dossier 5'!C222</f>
        <v>-4.6523076923076925</v>
      </c>
      <c r="D646" s="589">
        <f>'[4]Scénario dossier 5'!D222</f>
        <v>-16.730245121871008</v>
      </c>
      <c r="E646" s="589">
        <f>'[4]Scénario dossier 5'!E222</f>
        <v>-37.470183940449651</v>
      </c>
      <c r="F646" s="589">
        <f>'[4]Scénario dossier 5'!F222</f>
        <v>-29.238147042758506</v>
      </c>
      <c r="G646" s="589">
        <f>'[4]Scénario dossier 5'!G222</f>
        <v>-16.883669865676229</v>
      </c>
      <c r="H646" s="589">
        <f>'[4]Scénario dossier 5'!H222</f>
        <v>5.2717190445193616</v>
      </c>
      <c r="I646" s="589">
        <f>'[4]Scénario dossier 5'!I222</f>
        <v>4.7394302817864542</v>
      </c>
      <c r="J646" s="589">
        <f>'[4]Scénario dossier 5'!J222</f>
        <v>3.4772756366300466</v>
      </c>
      <c r="K646" s="589">
        <f>'[4]Scénario dossier 5'!K222</f>
        <v>1.1888263311787912</v>
      </c>
      <c r="L646" s="589">
        <f>'[4]Scénario dossier 5'!L222</f>
        <v>0</v>
      </c>
      <c r="M646" s="589">
        <f>'[4]Scénario dossier 5'!M222</f>
        <v>0</v>
      </c>
      <c r="N646" s="589">
        <f>'[4]Scénario dossier 5'!N222</f>
        <v>0</v>
      </c>
      <c r="O646" s="589">
        <f>'[4]Scénario dossier 5'!O222</f>
        <v>0</v>
      </c>
      <c r="P646" s="589">
        <f>'[4]Scénario dossier 5'!P222</f>
        <v>0</v>
      </c>
      <c r="Q646" s="589">
        <f>'[4]Scénario dossier 5'!Q222</f>
        <v>0</v>
      </c>
      <c r="R646" s="626">
        <f>'[4]Scénario dossier 5'!R222</f>
        <v>0</v>
      </c>
    </row>
    <row r="647" spans="2:18">
      <c r="B647" s="590" t="s">
        <v>654</v>
      </c>
      <c r="C647" s="589">
        <f>'[4]Scénario dossier 5'!C223</f>
        <v>0</v>
      </c>
      <c r="D647" s="589">
        <f>'[4]Scénario dossier 5'!D223</f>
        <v>0</v>
      </c>
      <c r="E647" s="589">
        <f>'[4]Scénario dossier 5'!E223</f>
        <v>0</v>
      </c>
      <c r="F647" s="589">
        <f>'[4]Scénario dossier 5'!F223</f>
        <v>0</v>
      </c>
      <c r="G647" s="585">
        <f>'[4]Scénario dossier 5'!G223</f>
        <v>-13.369095209150121</v>
      </c>
      <c r="H647" s="585">
        <f>'[4]Scénario dossier 5'!H223</f>
        <v>32.956816369460412</v>
      </c>
      <c r="I647" s="585">
        <f>'[4]Scénario dossier 5'!I223</f>
        <v>30.277725799598755</v>
      </c>
      <c r="J647" s="585">
        <f>'[4]Scénario dossier 5'!J223</f>
        <v>28.391687540845247</v>
      </c>
      <c r="K647" s="585">
        <f>'[4]Scénario dossier 5'!K223</f>
        <v>26.101148770897222</v>
      </c>
      <c r="L647" s="585">
        <f>'[4]Scénario dossier 5'!L223</f>
        <v>24.460546326753949</v>
      </c>
      <c r="M647" s="585">
        <f>'[4]Scénario dossier 5'!M223</f>
        <v>22.501312267636575</v>
      </c>
      <c r="N647" s="585">
        <f>'[4]Scénario dossier 5'!N223</f>
        <v>21.075103955907377</v>
      </c>
      <c r="O647" s="585">
        <f>'[4]Scénario dossier 5'!O223</f>
        <v>19.39852016346715</v>
      </c>
      <c r="P647" s="585">
        <f>'[4]Scénario dossier 5'!P223</f>
        <v>18.159403383341502</v>
      </c>
      <c r="Q647" s="585">
        <f>'[4]Scénario dossier 5'!Q223</f>
        <v>16.724090574031035</v>
      </c>
      <c r="R647" s="586">
        <f>'[4]Scénario dossier 5'!R223</f>
        <v>22.445821416149265</v>
      </c>
    </row>
    <row r="648" spans="2:18">
      <c r="B648" s="592" t="s">
        <v>648</v>
      </c>
      <c r="C648" s="593">
        <f>C21</f>
        <v>-4.6523076923076925</v>
      </c>
      <c r="D648" s="593">
        <f t="shared" ref="D648:R648" si="201">D21</f>
        <v>-18.60923076923077</v>
      </c>
      <c r="E648" s="593">
        <f t="shared" si="201"/>
        <v>-46.359427055702916</v>
      </c>
      <c r="F648" s="593">
        <f t="shared" si="201"/>
        <v>-40.237241379310341</v>
      </c>
      <c r="G648" s="593">
        <f t="shared" si="201"/>
        <v>-46.309447199172403</v>
      </c>
      <c r="H648" s="593">
        <f t="shared" si="201"/>
        <v>65.088544944103347</v>
      </c>
      <c r="I648" s="593">
        <f t="shared" si="201"/>
        <v>65.578759369331152</v>
      </c>
      <c r="J648" s="593">
        <f t="shared" si="201"/>
        <v>67.133085620339997</v>
      </c>
      <c r="K648" s="593">
        <f t="shared" si="201"/>
        <v>63.206131112625229</v>
      </c>
      <c r="L648" s="593">
        <f t="shared" si="201"/>
        <v>63.752081027528938</v>
      </c>
      <c r="M648" s="593">
        <f t="shared" si="201"/>
        <v>64.495474857623719</v>
      </c>
      <c r="N648" s="593">
        <f t="shared" si="201"/>
        <v>67.962227713177342</v>
      </c>
      <c r="O648" s="593">
        <f t="shared" si="201"/>
        <v>68.845303582609034</v>
      </c>
      <c r="P648" s="593">
        <f t="shared" si="201"/>
        <v>72.456426463123023</v>
      </c>
      <c r="Q648" s="593">
        <f t="shared" si="201"/>
        <v>73.488719313247358</v>
      </c>
      <c r="R648" s="593">
        <f t="shared" si="201"/>
        <v>106.26525801361335</v>
      </c>
    </row>
    <row r="649" spans="2:18" ht="16" thickBot="1">
      <c r="B649" s="597" t="str">
        <f>B616</f>
        <v>CF actualisés</v>
      </c>
      <c r="C649" s="598">
        <f t="shared" ref="C649:R649" si="202">C646+C647</f>
        <v>-4.6523076923076925</v>
      </c>
      <c r="D649" s="598">
        <f t="shared" si="202"/>
        <v>-16.730245121871008</v>
      </c>
      <c r="E649" s="598">
        <f t="shared" si="202"/>
        <v>-37.470183940449651</v>
      </c>
      <c r="F649" s="598">
        <f t="shared" si="202"/>
        <v>-29.238147042758506</v>
      </c>
      <c r="G649" s="598">
        <f t="shared" si="202"/>
        <v>-30.25276507482635</v>
      </c>
      <c r="H649" s="598">
        <f t="shared" si="202"/>
        <v>38.22853541397977</v>
      </c>
      <c r="I649" s="598">
        <f t="shared" si="202"/>
        <v>35.01715608138521</v>
      </c>
      <c r="J649" s="598">
        <f t="shared" si="202"/>
        <v>31.868963177475294</v>
      </c>
      <c r="K649" s="598">
        <f t="shared" si="202"/>
        <v>27.289975102076014</v>
      </c>
      <c r="L649" s="598">
        <f t="shared" si="202"/>
        <v>24.460546326753949</v>
      </c>
      <c r="M649" s="598">
        <f t="shared" si="202"/>
        <v>22.501312267636575</v>
      </c>
      <c r="N649" s="598">
        <f t="shared" si="202"/>
        <v>21.075103955907377</v>
      </c>
      <c r="O649" s="598">
        <f t="shared" si="202"/>
        <v>19.39852016346715</v>
      </c>
      <c r="P649" s="598">
        <f t="shared" si="202"/>
        <v>18.159403383341502</v>
      </c>
      <c r="Q649" s="598">
        <f t="shared" si="202"/>
        <v>16.724090574031035</v>
      </c>
      <c r="R649" s="599">
        <f t="shared" si="202"/>
        <v>22.445821416149265</v>
      </c>
    </row>
    <row r="650" spans="2:18" ht="16" thickBot="1">
      <c r="C650" s="603"/>
      <c r="D650" s="603"/>
      <c r="E650" s="603"/>
      <c r="F650" s="603"/>
      <c r="G650" s="603"/>
      <c r="H650" s="603"/>
      <c r="I650" s="603"/>
      <c r="J650" s="603"/>
      <c r="K650" s="603"/>
      <c r="L650" s="603"/>
      <c r="M650" s="603"/>
      <c r="N650" s="603"/>
      <c r="O650" s="603"/>
      <c r="P650" s="603"/>
      <c r="Q650" s="603"/>
      <c r="R650" s="603"/>
    </row>
    <row r="651" spans="2:18" ht="15.5">
      <c r="B651" s="607"/>
      <c r="C651" s="608">
        <v>2009</v>
      </c>
      <c r="D651" s="608">
        <v>2010</v>
      </c>
      <c r="E651" s="608">
        <v>2011</v>
      </c>
      <c r="F651" s="608">
        <v>2012</v>
      </c>
      <c r="G651" s="608">
        <v>2013</v>
      </c>
      <c r="H651" s="608">
        <v>2014</v>
      </c>
      <c r="I651" s="608">
        <v>2015</v>
      </c>
      <c r="J651" s="608">
        <v>2016</v>
      </c>
      <c r="K651" s="608">
        <v>2017</v>
      </c>
      <c r="L651" s="608">
        <v>2018</v>
      </c>
      <c r="M651" s="608">
        <v>2019</v>
      </c>
      <c r="N651" s="608">
        <v>2020</v>
      </c>
      <c r="O651" s="608">
        <v>2021</v>
      </c>
      <c r="P651" s="608">
        <v>2022</v>
      </c>
      <c r="Q651" s="608">
        <v>2023</v>
      </c>
      <c r="R651" s="609">
        <v>2024</v>
      </c>
    </row>
    <row r="652" spans="2:18" ht="15" thickBot="1">
      <c r="B652" s="610" t="s">
        <v>656</v>
      </c>
      <c r="C652" s="611">
        <f t="shared" ref="C652:R652" si="203">C649+C643+C638</f>
        <v>-314.69730769230767</v>
      </c>
      <c r="D652" s="611">
        <f t="shared" si="203"/>
        <v>-302.26129528389532</v>
      </c>
      <c r="E652" s="611">
        <f t="shared" si="203"/>
        <v>-142.70744433022946</v>
      </c>
      <c r="F652" s="611">
        <f t="shared" si="203"/>
        <v>-129.35465966194701</v>
      </c>
      <c r="G652" s="611">
        <f t="shared" si="203"/>
        <v>-79.503478603628096</v>
      </c>
      <c r="H652" s="611">
        <f t="shared" si="203"/>
        <v>-10.501929142077088</v>
      </c>
      <c r="I652" s="611">
        <f t="shared" si="203"/>
        <v>10.946657062557861</v>
      </c>
      <c r="J652" s="611">
        <f t="shared" si="203"/>
        <v>139.4210451832887</v>
      </c>
      <c r="K652" s="611">
        <f t="shared" si="203"/>
        <v>120.73116950754934</v>
      </c>
      <c r="L652" s="611">
        <f t="shared" si="203"/>
        <v>105.54469703706535</v>
      </c>
      <c r="M652" s="611">
        <f t="shared" si="203"/>
        <v>92.771872881619203</v>
      </c>
      <c r="N652" s="611">
        <f t="shared" si="203"/>
        <v>83.261906926505446</v>
      </c>
      <c r="O652" s="611">
        <f t="shared" si="203"/>
        <v>74.417831415183826</v>
      </c>
      <c r="P652" s="611">
        <f t="shared" si="203"/>
        <v>66.824847648009154</v>
      </c>
      <c r="Q652" s="611">
        <f t="shared" si="203"/>
        <v>59.75803989209691</v>
      </c>
      <c r="R652" s="612">
        <f t="shared" si="203"/>
        <v>60.489530020548884</v>
      </c>
    </row>
    <row r="653" spans="2:18" ht="15" thickBot="1">
      <c r="B653" s="613" t="str">
        <f>B620</f>
        <v>Trésorerie</v>
      </c>
      <c r="C653" s="614">
        <f>C657+C658+C648+C642+C637</f>
        <v>-63.717307692307656</v>
      </c>
      <c r="D653" s="615">
        <f>C653+D648+D642+D637</f>
        <v>-399.96793846153844</v>
      </c>
      <c r="E653" s="615">
        <f t="shared" ref="E653:R653" si="204">D653+E648+E642+E637</f>
        <v>-576.56516551724133</v>
      </c>
      <c r="F653" s="615">
        <f t="shared" si="204"/>
        <v>-754.63660689655171</v>
      </c>
      <c r="G653" s="615">
        <f t="shared" si="204"/>
        <v>-876.37665409572412</v>
      </c>
      <c r="H653" s="615">
        <f t="shared" si="204"/>
        <v>-894.31510915162085</v>
      </c>
      <c r="I653" s="615">
        <f t="shared" si="204"/>
        <v>-874.35974978228967</v>
      </c>
      <c r="J653" s="615">
        <f t="shared" si="204"/>
        <v>-580.44646416194962</v>
      </c>
      <c r="K653" s="615">
        <f t="shared" si="204"/>
        <v>-298.05653304932434</v>
      </c>
      <c r="L653" s="615">
        <f t="shared" si="204"/>
        <v>-22.717052021795411</v>
      </c>
      <c r="M653" s="615">
        <f t="shared" si="204"/>
        <v>245.76942283582832</v>
      </c>
      <c r="N653" s="615">
        <f t="shared" si="204"/>
        <v>514.55748388233906</v>
      </c>
      <c r="O653" s="615">
        <f t="shared" si="204"/>
        <v>781.06345413161478</v>
      </c>
      <c r="P653" s="615">
        <f t="shared" si="204"/>
        <v>1048.0153805947377</v>
      </c>
      <c r="Q653" s="615">
        <f t="shared" si="204"/>
        <v>1312.8344332413185</v>
      </c>
      <c r="R653" s="615">
        <f t="shared" si="204"/>
        <v>1607.2648579215986</v>
      </c>
    </row>
    <row r="654" spans="2:18" ht="15" thickBot="1"/>
    <row r="655" spans="2:18">
      <c r="B655" s="1039" t="s">
        <v>658</v>
      </c>
      <c r="C655" s="1040"/>
    </row>
    <row r="656" spans="2:18" ht="15.5">
      <c r="B656" s="569" t="s">
        <v>360</v>
      </c>
      <c r="C656" s="617">
        <f>SUM(C652:R652)</f>
        <v>-164.85851713966002</v>
      </c>
    </row>
    <row r="657" spans="2:18" ht="15.5">
      <c r="B657" s="569" t="s">
        <v>659</v>
      </c>
      <c r="C657" s="618">
        <f>155.21</f>
        <v>155.21</v>
      </c>
    </row>
    <row r="658" spans="2:18" ht="15.5">
      <c r="B658" s="569" t="s">
        <v>660</v>
      </c>
      <c r="C658" s="618">
        <f>95.77</f>
        <v>95.77</v>
      </c>
    </row>
    <row r="659" spans="2:18" ht="16" thickBot="1">
      <c r="B659" s="619" t="s">
        <v>661</v>
      </c>
      <c r="C659" s="620">
        <f>SUM(C656:C658)</f>
        <v>86.121482860339981</v>
      </c>
    </row>
    <row r="661" spans="2:18" ht="15.5">
      <c r="B661" s="10" t="s">
        <v>662</v>
      </c>
      <c r="C661" s="621">
        <v>15887450</v>
      </c>
    </row>
    <row r="662" spans="2:18">
      <c r="B662" s="10" t="s">
        <v>663</v>
      </c>
      <c r="C662" s="646">
        <f>(C659/C661)*1000000</f>
        <v>5.4207240847549469</v>
      </c>
    </row>
    <row r="665" spans="2:18" ht="15" thickBot="1">
      <c r="B665" s="1041" t="s">
        <v>695</v>
      </c>
      <c r="C665" s="1041"/>
      <c r="D665" s="1041"/>
      <c r="E665" s="1041"/>
    </row>
    <row r="666" spans="2:18">
      <c r="B666" s="562" t="s">
        <v>638</v>
      </c>
      <c r="C666" s="563">
        <v>2009</v>
      </c>
      <c r="D666" s="563">
        <v>2010</v>
      </c>
      <c r="E666" s="563">
        <v>2011</v>
      </c>
      <c r="F666" s="563">
        <v>2012</v>
      </c>
      <c r="G666" s="563">
        <v>2013</v>
      </c>
      <c r="H666" s="563">
        <v>2014</v>
      </c>
      <c r="I666" s="563">
        <v>2015</v>
      </c>
      <c r="J666" s="563">
        <v>2016</v>
      </c>
      <c r="K666" s="563">
        <v>2017</v>
      </c>
      <c r="L666" s="563">
        <v>2018</v>
      </c>
      <c r="M666" s="563">
        <v>2019</v>
      </c>
      <c r="N666" s="563">
        <v>2020</v>
      </c>
      <c r="O666" s="563">
        <v>2021</v>
      </c>
      <c r="P666" s="563">
        <v>2022</v>
      </c>
      <c r="Q666" s="563">
        <v>2023</v>
      </c>
      <c r="R666" s="564">
        <v>2024</v>
      </c>
    </row>
    <row r="667" spans="2:18">
      <c r="B667" s="569" t="s">
        <v>640</v>
      </c>
      <c r="C667" s="570">
        <v>-105</v>
      </c>
      <c r="D667" s="570">
        <v>-105</v>
      </c>
      <c r="E667" s="570">
        <v>-105</v>
      </c>
      <c r="F667" s="570">
        <v>-105</v>
      </c>
      <c r="G667" s="570">
        <v>-95</v>
      </c>
      <c r="H667" s="570">
        <v>-95</v>
      </c>
      <c r="I667" s="570">
        <v>-95</v>
      </c>
      <c r="J667" s="571">
        <v>185</v>
      </c>
      <c r="K667" s="571">
        <v>185</v>
      </c>
      <c r="L667" s="571">
        <v>185</v>
      </c>
      <c r="M667" s="571">
        <v>185</v>
      </c>
      <c r="N667" s="571">
        <v>185</v>
      </c>
      <c r="O667" s="571">
        <v>185</v>
      </c>
      <c r="P667" s="571">
        <v>185</v>
      </c>
      <c r="Q667" s="571">
        <v>185</v>
      </c>
      <c r="R667" s="572">
        <v>185</v>
      </c>
    </row>
    <row r="668" spans="2:18">
      <c r="B668" s="569" t="s">
        <v>642</v>
      </c>
      <c r="C668" s="577" t="s">
        <v>643</v>
      </c>
      <c r="D668" s="577" t="s">
        <v>643</v>
      </c>
      <c r="E668" s="577" t="s">
        <v>643</v>
      </c>
      <c r="F668" s="577" t="s">
        <v>643</v>
      </c>
      <c r="G668" s="577"/>
      <c r="H668" s="577"/>
      <c r="I668" s="578"/>
      <c r="J668" s="578"/>
      <c r="K668" s="578"/>
      <c r="L668" s="578"/>
      <c r="M668" s="578"/>
      <c r="N668" s="578"/>
      <c r="O668" s="578"/>
      <c r="P668" s="578"/>
      <c r="Q668" s="578"/>
      <c r="R668" s="579"/>
    </row>
    <row r="669" spans="2:18">
      <c r="B669" s="569" t="s">
        <v>645</v>
      </c>
      <c r="C669" s="577" t="s">
        <v>646</v>
      </c>
      <c r="D669" s="577" t="s">
        <v>646</v>
      </c>
      <c r="E669" s="577"/>
      <c r="F669" s="577"/>
      <c r="G669" s="578"/>
      <c r="H669" s="578"/>
      <c r="I669" s="578"/>
      <c r="J669" s="578"/>
      <c r="K669" s="578"/>
      <c r="L669" s="578"/>
      <c r="M669" s="578"/>
      <c r="N669" s="578"/>
      <c r="O669" s="578"/>
      <c r="P669" s="578"/>
      <c r="Q669" s="578"/>
      <c r="R669" s="579"/>
    </row>
    <row r="670" spans="2:18">
      <c r="B670" s="569" t="s">
        <v>648</v>
      </c>
      <c r="C670" s="578">
        <f>C667+C668+C669</f>
        <v>-405</v>
      </c>
      <c r="D670" s="578">
        <f t="shared" ref="D670:R670" si="205">D667+D668+D669</f>
        <v>-405</v>
      </c>
      <c r="E670" s="578">
        <f t="shared" si="205"/>
        <v>-210</v>
      </c>
      <c r="F670" s="578">
        <f t="shared" si="205"/>
        <v>-210</v>
      </c>
      <c r="G670" s="578">
        <f t="shared" si="205"/>
        <v>-95</v>
      </c>
      <c r="H670" s="578">
        <f t="shared" si="205"/>
        <v>-95</v>
      </c>
      <c r="I670" s="578">
        <f t="shared" si="205"/>
        <v>-95</v>
      </c>
      <c r="J670" s="578">
        <f t="shared" si="205"/>
        <v>185</v>
      </c>
      <c r="K670" s="578">
        <f t="shared" si="205"/>
        <v>185</v>
      </c>
      <c r="L670" s="578">
        <f t="shared" si="205"/>
        <v>185</v>
      </c>
      <c r="M670" s="578">
        <f t="shared" si="205"/>
        <v>185</v>
      </c>
      <c r="N670" s="578">
        <f t="shared" si="205"/>
        <v>185</v>
      </c>
      <c r="O670" s="578">
        <f t="shared" si="205"/>
        <v>185</v>
      </c>
      <c r="P670" s="578">
        <f t="shared" si="205"/>
        <v>185</v>
      </c>
      <c r="Q670" s="578">
        <f t="shared" si="205"/>
        <v>185</v>
      </c>
      <c r="R670" s="579">
        <f t="shared" si="205"/>
        <v>185</v>
      </c>
    </row>
    <row r="671" spans="2:18" ht="16" thickBot="1">
      <c r="B671" s="580" t="s">
        <v>649</v>
      </c>
      <c r="C671" s="581">
        <f>C670/(1+$C$2)^(C666-$C$3)</f>
        <v>-405</v>
      </c>
      <c r="D671" s="581">
        <f>D670/(1+$C$2)^(D666-$C$3)</f>
        <v>-364.05857459266912</v>
      </c>
      <c r="E671" s="581">
        <f t="shared" ref="E671:R671" si="206">E670/(1+$C$2)^(E666-$C$3)</f>
        <v>-169.68825242635978</v>
      </c>
      <c r="F671" s="581">
        <f t="shared" si="206"/>
        <v>-152.53447729249768</v>
      </c>
      <c r="G671" s="581">
        <f t="shared" si="206"/>
        <v>-62.028113063347831</v>
      </c>
      <c r="H671" s="581">
        <f t="shared" si="206"/>
        <v>-55.75769488028476</v>
      </c>
      <c r="I671" s="581">
        <f t="shared" si="206"/>
        <v>-50.12115289059119</v>
      </c>
      <c r="J671" s="581">
        <f t="shared" si="206"/>
        <v>87.737532514194271</v>
      </c>
      <c r="K671" s="581">
        <f t="shared" si="206"/>
        <v>78.868150679988972</v>
      </c>
      <c r="L671" s="581">
        <f t="shared" si="206"/>
        <v>70.895374116831192</v>
      </c>
      <c r="M671" s="581">
        <f t="shared" si="206"/>
        <v>63.728565052314984</v>
      </c>
      <c r="N671" s="581">
        <f t="shared" si="206"/>
        <v>57.286248280943148</v>
      </c>
      <c r="O671" s="581">
        <f t="shared" si="206"/>
        <v>51.495184920794827</v>
      </c>
      <c r="P671" s="581">
        <f t="shared" si="206"/>
        <v>46.28953980407524</v>
      </c>
      <c r="Q671" s="581">
        <f t="shared" si="206"/>
        <v>41.61013303610433</v>
      </c>
      <c r="R671" s="582">
        <f t="shared" si="206"/>
        <v>37.403767214161654</v>
      </c>
    </row>
    <row r="672" spans="2:18" ht="15" thickBot="1"/>
    <row r="673" spans="2:18">
      <c r="B673" s="562" t="s">
        <v>650</v>
      </c>
      <c r="C673" s="583">
        <v>2009</v>
      </c>
      <c r="D673" s="583">
        <v>2010</v>
      </c>
      <c r="E673" s="583">
        <v>2011</v>
      </c>
      <c r="F673" s="583">
        <v>2012</v>
      </c>
      <c r="G673" s="583">
        <v>2013</v>
      </c>
      <c r="H673" s="583">
        <v>2014</v>
      </c>
      <c r="I673" s="583">
        <v>2015</v>
      </c>
      <c r="J673" s="583">
        <v>2016</v>
      </c>
      <c r="K673" s="583">
        <v>2017</v>
      </c>
      <c r="L673" s="583">
        <v>2018</v>
      </c>
      <c r="M673" s="583">
        <v>2019</v>
      </c>
      <c r="N673" s="583">
        <v>2020</v>
      </c>
      <c r="O673" s="583">
        <v>2021</v>
      </c>
      <c r="P673" s="583">
        <v>2022</v>
      </c>
      <c r="Q673" s="583">
        <v>2023</v>
      </c>
      <c r="R673" s="584">
        <v>2024</v>
      </c>
    </row>
    <row r="674" spans="2:18">
      <c r="B674" s="569"/>
      <c r="C674" s="578">
        <v>94.954999999999998</v>
      </c>
      <c r="D674" s="578">
        <v>94.954999999999998</v>
      </c>
      <c r="E674" s="578">
        <v>94.954999999999998</v>
      </c>
      <c r="F674" s="578">
        <v>94.954999999999998</v>
      </c>
      <c r="G674" s="578">
        <v>94.954999999999998</v>
      </c>
      <c r="H674" s="578">
        <v>94.954999999999998</v>
      </c>
      <c r="I674" s="578">
        <v>94.954999999999998</v>
      </c>
      <c r="J674" s="578">
        <v>94.954999999999998</v>
      </c>
      <c r="K674" s="578">
        <v>94.954999999999998</v>
      </c>
      <c r="L674" s="578">
        <v>94.954999999999998</v>
      </c>
      <c r="M674" s="578">
        <v>94.954999999999998</v>
      </c>
      <c r="N674" s="578">
        <v>94.954999999999998</v>
      </c>
      <c r="O674" s="578">
        <v>94.954999999999998</v>
      </c>
      <c r="P674" s="578">
        <v>94.954999999999998</v>
      </c>
      <c r="Q674" s="578">
        <v>94.954999999999998</v>
      </c>
      <c r="R674" s="579">
        <v>94.954999999999998</v>
      </c>
    </row>
    <row r="675" spans="2:18">
      <c r="B675" s="569" t="s">
        <v>648</v>
      </c>
      <c r="C675" s="585">
        <f>C246</f>
        <v>94.954999999999998</v>
      </c>
      <c r="D675" s="585">
        <f t="shared" ref="D675:R675" si="207">D246</f>
        <v>87.358599999999996</v>
      </c>
      <c r="E675" s="585">
        <f t="shared" si="207"/>
        <v>79.762199999999993</v>
      </c>
      <c r="F675" s="585">
        <f t="shared" si="207"/>
        <v>72.165800000000004</v>
      </c>
      <c r="G675" s="585">
        <f t="shared" si="207"/>
        <v>64.569399999999987</v>
      </c>
      <c r="H675" s="585">
        <f t="shared" si="207"/>
        <v>56.972999999999999</v>
      </c>
      <c r="I675" s="585">
        <f t="shared" si="207"/>
        <v>49.376600000000003</v>
      </c>
      <c r="J675" s="585">
        <f t="shared" si="207"/>
        <v>41.780199999999994</v>
      </c>
      <c r="K675" s="585">
        <f t="shared" si="207"/>
        <v>34.183799999999998</v>
      </c>
      <c r="L675" s="585">
        <f t="shared" si="207"/>
        <v>26.587400000000002</v>
      </c>
      <c r="M675" s="585">
        <f t="shared" si="207"/>
        <v>18.990999999999996</v>
      </c>
      <c r="N675" s="585">
        <f t="shared" si="207"/>
        <v>15.82583333333333</v>
      </c>
      <c r="O675" s="585">
        <f t="shared" si="207"/>
        <v>12.660666666666664</v>
      </c>
      <c r="P675" s="585">
        <f t="shared" si="207"/>
        <v>9.4954999999999981</v>
      </c>
      <c r="Q675" s="585">
        <f t="shared" si="207"/>
        <v>6.330333333333332</v>
      </c>
      <c r="R675" s="585">
        <f t="shared" si="207"/>
        <v>3.165166666666666</v>
      </c>
    </row>
    <row r="676" spans="2:18" ht="16" thickBot="1">
      <c r="B676" s="580" t="s">
        <v>651</v>
      </c>
      <c r="C676" s="581">
        <f>C675/(1+$C$2)^(C673-$C$3)</f>
        <v>94.954999999999998</v>
      </c>
      <c r="D676" s="581">
        <f t="shared" ref="D676:R676" si="208">D675/(1+$C$2)^(D673-$C$3)</f>
        <v>78.527524430644789</v>
      </c>
      <c r="E676" s="581">
        <f t="shared" si="208"/>
        <v>64.450992036579962</v>
      </c>
      <c r="F676" s="581">
        <f t="shared" si="208"/>
        <v>52.417964673309186</v>
      </c>
      <c r="G676" s="581">
        <f t="shared" si="208"/>
        <v>42.159137301395056</v>
      </c>
      <c r="H676" s="581">
        <f t="shared" si="208"/>
        <v>33.438770004362773</v>
      </c>
      <c r="I676" s="581">
        <f t="shared" si="208"/>
        <v>26.050653871763842</v>
      </c>
      <c r="J676" s="581">
        <f t="shared" si="208"/>
        <v>19.814549491619132</v>
      </c>
      <c r="K676" s="581">
        <f t="shared" si="208"/>
        <v>14.573043725484361</v>
      </c>
      <c r="L676" s="581">
        <f t="shared" si="208"/>
        <v>10.188776593480203</v>
      </c>
      <c r="M676" s="581">
        <f t="shared" si="208"/>
        <v>6.5419955616676413</v>
      </c>
      <c r="N676" s="581">
        <f t="shared" si="208"/>
        <v>4.900554689654915</v>
      </c>
      <c r="O676" s="581">
        <f t="shared" si="208"/>
        <v>3.5241263309218538</v>
      </c>
      <c r="P676" s="581">
        <f t="shared" si="208"/>
        <v>2.3759044605924129</v>
      </c>
      <c r="Q676" s="581">
        <f t="shared" si="208"/>
        <v>1.4238162819615443</v>
      </c>
      <c r="R676" s="582">
        <f t="shared" si="208"/>
        <v>0.63994139023796737</v>
      </c>
    </row>
    <row r="677" spans="2:18" ht="15" thickBot="1">
      <c r="C677" s="587"/>
      <c r="D677" s="587"/>
      <c r="E677" s="587"/>
      <c r="F677" s="587"/>
      <c r="G677" s="587"/>
      <c r="H677" s="587"/>
      <c r="I677" s="587"/>
      <c r="J677" s="587"/>
      <c r="K677" s="587"/>
      <c r="L677" s="587"/>
      <c r="M677" s="587"/>
      <c r="N677" s="587"/>
      <c r="O677" s="587"/>
      <c r="P677" s="587"/>
      <c r="Q677" s="587"/>
      <c r="R677" s="587"/>
    </row>
    <row r="678" spans="2:18">
      <c r="B678" s="562" t="s">
        <v>652</v>
      </c>
      <c r="C678" s="583">
        <v>2009</v>
      </c>
      <c r="D678" s="583">
        <v>2010</v>
      </c>
      <c r="E678" s="583">
        <v>2011</v>
      </c>
      <c r="F678" s="583">
        <v>2012</v>
      </c>
      <c r="G678" s="583">
        <v>2013</v>
      </c>
      <c r="H678" s="583">
        <v>2014</v>
      </c>
      <c r="I678" s="583">
        <v>2015</v>
      </c>
      <c r="J678" s="583">
        <v>2016</v>
      </c>
      <c r="K678" s="583">
        <v>2017</v>
      </c>
      <c r="L678" s="583">
        <v>2018</v>
      </c>
      <c r="M678" s="583">
        <v>2019</v>
      </c>
      <c r="N678" s="583">
        <v>2020</v>
      </c>
      <c r="O678" s="583">
        <v>2021</v>
      </c>
      <c r="P678" s="583">
        <v>2022</v>
      </c>
      <c r="Q678" s="583">
        <v>2023</v>
      </c>
      <c r="R678" s="584">
        <v>2024</v>
      </c>
    </row>
    <row r="679" spans="2:18">
      <c r="B679" s="588" t="s">
        <v>653</v>
      </c>
      <c r="C679" s="589">
        <f>'[4]Scénario dossier 5'!C222</f>
        <v>-4.6523076923076925</v>
      </c>
      <c r="D679" s="589">
        <f>'[4]Scénario dossier 5'!D222</f>
        <v>-16.730245121871008</v>
      </c>
      <c r="E679" s="589">
        <f>'[4]Scénario dossier 5'!E222</f>
        <v>-37.470183940449651</v>
      </c>
      <c r="F679" s="589">
        <f>'[4]Scénario dossier 5'!F222</f>
        <v>-29.238147042758506</v>
      </c>
      <c r="G679" s="589">
        <f>'[4]Scénario dossier 5'!G222</f>
        <v>-16.883669865676229</v>
      </c>
      <c r="H679" s="589">
        <f>'[4]Scénario dossier 5'!H222</f>
        <v>5.2717190445193616</v>
      </c>
      <c r="I679" s="589">
        <f>'[4]Scénario dossier 5'!I222</f>
        <v>4.7394302817864542</v>
      </c>
      <c r="J679" s="589">
        <f>'[4]Scénario dossier 5'!J222</f>
        <v>3.4772756366300466</v>
      </c>
      <c r="K679" s="589">
        <f>'[4]Scénario dossier 5'!K222</f>
        <v>1.1888263311787912</v>
      </c>
      <c r="L679" s="589">
        <f>'[4]Scénario dossier 5'!L222</f>
        <v>0</v>
      </c>
      <c r="M679" s="589">
        <f>'[4]Scénario dossier 5'!M222</f>
        <v>0</v>
      </c>
      <c r="N679" s="589">
        <f>'[4]Scénario dossier 5'!N222</f>
        <v>0</v>
      </c>
      <c r="O679" s="589">
        <f>'[4]Scénario dossier 5'!O222</f>
        <v>0</v>
      </c>
      <c r="P679" s="589">
        <f>'[4]Scénario dossier 5'!P222</f>
        <v>0</v>
      </c>
      <c r="Q679" s="589">
        <f>'[4]Scénario dossier 5'!Q222</f>
        <v>0</v>
      </c>
      <c r="R679" s="626">
        <f>'[4]Scénario dossier 5'!R222</f>
        <v>0</v>
      </c>
    </row>
    <row r="680" spans="2:18">
      <c r="B680" s="590" t="s">
        <v>654</v>
      </c>
      <c r="C680" s="589">
        <f>'[4]Scénario dossier 5'!C223</f>
        <v>0</v>
      </c>
      <c r="D680" s="589">
        <f>'[4]Scénario dossier 5'!D223</f>
        <v>0</v>
      </c>
      <c r="E680" s="589">
        <f>'[4]Scénario dossier 5'!E223</f>
        <v>0</v>
      </c>
      <c r="F680" s="589">
        <f>'[4]Scénario dossier 5'!F223</f>
        <v>0</v>
      </c>
      <c r="G680" s="585">
        <f>'[4]Scénario dossier 5'!G223</f>
        <v>-13.369095209150121</v>
      </c>
      <c r="H680" s="585">
        <f>'[4]Scénario dossier 5'!H223</f>
        <v>32.956816369460412</v>
      </c>
      <c r="I680" s="585">
        <f>'[4]Scénario dossier 5'!I223</f>
        <v>30.277725799598755</v>
      </c>
      <c r="J680" s="585">
        <f>'[4]Scénario dossier 5'!J223</f>
        <v>28.391687540845247</v>
      </c>
      <c r="K680" s="585">
        <f>'[4]Scénario dossier 5'!K223</f>
        <v>26.101148770897222</v>
      </c>
      <c r="L680" s="585">
        <f>'[4]Scénario dossier 5'!L223</f>
        <v>24.460546326753949</v>
      </c>
      <c r="M680" s="585">
        <f>'[4]Scénario dossier 5'!M223</f>
        <v>22.501312267636575</v>
      </c>
      <c r="N680" s="585">
        <f>'[4]Scénario dossier 5'!N223</f>
        <v>21.075103955907377</v>
      </c>
      <c r="O680" s="585">
        <f>'[4]Scénario dossier 5'!O223</f>
        <v>19.39852016346715</v>
      </c>
      <c r="P680" s="585">
        <f>'[4]Scénario dossier 5'!P223</f>
        <v>18.159403383341502</v>
      </c>
      <c r="Q680" s="585">
        <f>'[4]Scénario dossier 5'!Q223</f>
        <v>16.724090574031035</v>
      </c>
      <c r="R680" s="586">
        <f>'[4]Scénario dossier 5'!R223</f>
        <v>22.445821416149265</v>
      </c>
    </row>
    <row r="681" spans="2:18">
      <c r="B681" s="592" t="s">
        <v>648</v>
      </c>
      <c r="C681" s="593">
        <f>C21</f>
        <v>-4.6523076923076925</v>
      </c>
      <c r="D681" s="593">
        <f t="shared" ref="D681:R681" si="209">D21</f>
        <v>-18.60923076923077</v>
      </c>
      <c r="E681" s="593">
        <f t="shared" si="209"/>
        <v>-46.359427055702916</v>
      </c>
      <c r="F681" s="593">
        <f t="shared" si="209"/>
        <v>-40.237241379310341</v>
      </c>
      <c r="G681" s="593">
        <f t="shared" si="209"/>
        <v>-46.309447199172403</v>
      </c>
      <c r="H681" s="593">
        <f t="shared" si="209"/>
        <v>65.088544944103347</v>
      </c>
      <c r="I681" s="593">
        <f t="shared" si="209"/>
        <v>65.578759369331152</v>
      </c>
      <c r="J681" s="593">
        <f t="shared" si="209"/>
        <v>67.133085620339997</v>
      </c>
      <c r="K681" s="593">
        <f t="shared" si="209"/>
        <v>63.206131112625229</v>
      </c>
      <c r="L681" s="593">
        <f t="shared" si="209"/>
        <v>63.752081027528938</v>
      </c>
      <c r="M681" s="593">
        <f t="shared" si="209"/>
        <v>64.495474857623719</v>
      </c>
      <c r="N681" s="593">
        <f t="shared" si="209"/>
        <v>67.962227713177342</v>
      </c>
      <c r="O681" s="593">
        <f t="shared" si="209"/>
        <v>68.845303582609034</v>
      </c>
      <c r="P681" s="593">
        <f t="shared" si="209"/>
        <v>72.456426463123023</v>
      </c>
      <c r="Q681" s="593">
        <f t="shared" si="209"/>
        <v>73.488719313247358</v>
      </c>
      <c r="R681" s="593">
        <f t="shared" si="209"/>
        <v>106.26525801361335</v>
      </c>
    </row>
    <row r="682" spans="2:18" ht="16" thickBot="1">
      <c r="B682" s="597" t="str">
        <f>B649</f>
        <v>CF actualisés</v>
      </c>
      <c r="C682" s="598">
        <f t="shared" ref="C682:R682" si="210">C679+C680</f>
        <v>-4.6523076923076925</v>
      </c>
      <c r="D682" s="598">
        <f t="shared" si="210"/>
        <v>-16.730245121871008</v>
      </c>
      <c r="E682" s="598">
        <f t="shared" si="210"/>
        <v>-37.470183940449651</v>
      </c>
      <c r="F682" s="598">
        <f t="shared" si="210"/>
        <v>-29.238147042758506</v>
      </c>
      <c r="G682" s="598">
        <f t="shared" si="210"/>
        <v>-30.25276507482635</v>
      </c>
      <c r="H682" s="598">
        <f t="shared" si="210"/>
        <v>38.22853541397977</v>
      </c>
      <c r="I682" s="598">
        <f t="shared" si="210"/>
        <v>35.01715608138521</v>
      </c>
      <c r="J682" s="598">
        <f t="shared" si="210"/>
        <v>31.868963177475294</v>
      </c>
      <c r="K682" s="598">
        <f t="shared" si="210"/>
        <v>27.289975102076014</v>
      </c>
      <c r="L682" s="598">
        <f t="shared" si="210"/>
        <v>24.460546326753949</v>
      </c>
      <c r="M682" s="598">
        <f t="shared" si="210"/>
        <v>22.501312267636575</v>
      </c>
      <c r="N682" s="598">
        <f t="shared" si="210"/>
        <v>21.075103955907377</v>
      </c>
      <c r="O682" s="598">
        <f t="shared" si="210"/>
        <v>19.39852016346715</v>
      </c>
      <c r="P682" s="598">
        <f t="shared" si="210"/>
        <v>18.159403383341502</v>
      </c>
      <c r="Q682" s="598">
        <f t="shared" si="210"/>
        <v>16.724090574031035</v>
      </c>
      <c r="R682" s="599">
        <f t="shared" si="210"/>
        <v>22.445821416149265</v>
      </c>
    </row>
    <row r="683" spans="2:18" ht="16" thickBot="1">
      <c r="C683" s="603"/>
      <c r="D683" s="603"/>
      <c r="E683" s="603"/>
      <c r="F683" s="603"/>
      <c r="G683" s="603"/>
      <c r="H683" s="603"/>
      <c r="I683" s="603"/>
      <c r="J683" s="603"/>
      <c r="K683" s="603"/>
      <c r="L683" s="603"/>
      <c r="M683" s="603"/>
      <c r="N683" s="603"/>
      <c r="O683" s="603"/>
      <c r="P683" s="603"/>
      <c r="Q683" s="603"/>
      <c r="R683" s="603"/>
    </row>
    <row r="684" spans="2:18" ht="15.5">
      <c r="B684" s="607"/>
      <c r="C684" s="608">
        <v>2009</v>
      </c>
      <c r="D684" s="608">
        <v>2010</v>
      </c>
      <c r="E684" s="608">
        <v>2011</v>
      </c>
      <c r="F684" s="608">
        <v>2012</v>
      </c>
      <c r="G684" s="608">
        <v>2013</v>
      </c>
      <c r="H684" s="608">
        <v>2014</v>
      </c>
      <c r="I684" s="608">
        <v>2015</v>
      </c>
      <c r="J684" s="608">
        <v>2016</v>
      </c>
      <c r="K684" s="608">
        <v>2017</v>
      </c>
      <c r="L684" s="608">
        <v>2018</v>
      </c>
      <c r="M684" s="608">
        <v>2019</v>
      </c>
      <c r="N684" s="608">
        <v>2020</v>
      </c>
      <c r="O684" s="608">
        <v>2021</v>
      </c>
      <c r="P684" s="608">
        <v>2022</v>
      </c>
      <c r="Q684" s="608">
        <v>2023</v>
      </c>
      <c r="R684" s="609">
        <v>2024</v>
      </c>
    </row>
    <row r="685" spans="2:18" ht="15" thickBot="1">
      <c r="B685" s="610" t="s">
        <v>656</v>
      </c>
      <c r="C685" s="611">
        <f t="shared" ref="C685:R685" si="211">C682+C676+C671</f>
        <v>-314.69730769230767</v>
      </c>
      <c r="D685" s="611">
        <f t="shared" si="211"/>
        <v>-302.26129528389532</v>
      </c>
      <c r="E685" s="611">
        <f t="shared" si="211"/>
        <v>-142.70744433022946</v>
      </c>
      <c r="F685" s="611">
        <f t="shared" si="211"/>
        <v>-129.35465966194701</v>
      </c>
      <c r="G685" s="611">
        <f t="shared" si="211"/>
        <v>-50.121740836779125</v>
      </c>
      <c r="H685" s="611">
        <f t="shared" si="211"/>
        <v>15.909610538057791</v>
      </c>
      <c r="I685" s="611">
        <f t="shared" si="211"/>
        <v>10.946657062557861</v>
      </c>
      <c r="J685" s="611">
        <f t="shared" si="211"/>
        <v>139.4210451832887</v>
      </c>
      <c r="K685" s="611">
        <f t="shared" si="211"/>
        <v>120.73116950754934</v>
      </c>
      <c r="L685" s="611">
        <f t="shared" si="211"/>
        <v>105.54469703706535</v>
      </c>
      <c r="M685" s="611">
        <f t="shared" si="211"/>
        <v>92.771872881619203</v>
      </c>
      <c r="N685" s="611">
        <f t="shared" si="211"/>
        <v>83.261906926505446</v>
      </c>
      <c r="O685" s="611">
        <f t="shared" si="211"/>
        <v>74.417831415183826</v>
      </c>
      <c r="P685" s="611">
        <f t="shared" si="211"/>
        <v>66.824847648009154</v>
      </c>
      <c r="Q685" s="611">
        <f t="shared" si="211"/>
        <v>59.75803989209691</v>
      </c>
      <c r="R685" s="612">
        <f t="shared" si="211"/>
        <v>60.489530020548884</v>
      </c>
    </row>
    <row r="686" spans="2:18" ht="15" thickBot="1">
      <c r="B686" s="613" t="str">
        <f>B653</f>
        <v>Trésorerie</v>
      </c>
      <c r="C686" s="614">
        <f>C690+C691+C681+C675+C670</f>
        <v>-63.717307692307656</v>
      </c>
      <c r="D686" s="615">
        <f>C686+D681+D675+D670</f>
        <v>-399.96793846153844</v>
      </c>
      <c r="E686" s="615">
        <f t="shared" ref="E686:R686" si="212">D686+E681+E675+E670</f>
        <v>-576.56516551724133</v>
      </c>
      <c r="F686" s="615">
        <f t="shared" si="212"/>
        <v>-754.63660689655171</v>
      </c>
      <c r="G686" s="615">
        <f t="shared" si="212"/>
        <v>-831.37665409572412</v>
      </c>
      <c r="H686" s="615">
        <f t="shared" si="212"/>
        <v>-804.31510915162085</v>
      </c>
      <c r="I686" s="615">
        <f t="shared" si="212"/>
        <v>-784.35974978228967</v>
      </c>
      <c r="J686" s="615">
        <f t="shared" si="212"/>
        <v>-490.44646416194962</v>
      </c>
      <c r="K686" s="615">
        <f t="shared" si="212"/>
        <v>-208.05653304932434</v>
      </c>
      <c r="L686" s="615">
        <f t="shared" si="212"/>
        <v>67.282947978204589</v>
      </c>
      <c r="M686" s="615">
        <f t="shared" si="212"/>
        <v>335.76942283582832</v>
      </c>
      <c r="N686" s="615">
        <f t="shared" si="212"/>
        <v>604.55748388233906</v>
      </c>
      <c r="O686" s="615">
        <f t="shared" si="212"/>
        <v>871.06345413161478</v>
      </c>
      <c r="P686" s="615">
        <f t="shared" si="212"/>
        <v>1138.0153805947377</v>
      </c>
      <c r="Q686" s="615">
        <f t="shared" si="212"/>
        <v>1402.8344332413185</v>
      </c>
      <c r="R686" s="615">
        <f t="shared" si="212"/>
        <v>1697.2648579215986</v>
      </c>
    </row>
    <row r="687" spans="2:18" ht="15" thickBot="1"/>
    <row r="688" spans="2:18">
      <c r="B688" s="1039" t="s">
        <v>658</v>
      </c>
      <c r="C688" s="1040"/>
    </row>
    <row r="689" spans="2:18" ht="15.5">
      <c r="B689" s="569" t="s">
        <v>360</v>
      </c>
      <c r="C689" s="617">
        <f>SUM(C685:R685)</f>
        <v>-109.06523969267626</v>
      </c>
    </row>
    <row r="690" spans="2:18" ht="15.5">
      <c r="B690" s="569" t="s">
        <v>659</v>
      </c>
      <c r="C690" s="618">
        <f>155.21</f>
        <v>155.21</v>
      </c>
    </row>
    <row r="691" spans="2:18" ht="15.5">
      <c r="B691" s="569" t="s">
        <v>660</v>
      </c>
      <c r="C691" s="618">
        <f>95.77</f>
        <v>95.77</v>
      </c>
    </row>
    <row r="692" spans="2:18" ht="16" thickBot="1">
      <c r="B692" s="619" t="s">
        <v>661</v>
      </c>
      <c r="C692" s="620">
        <f>SUM(C689:C691)</f>
        <v>141.91476030732375</v>
      </c>
    </row>
    <row r="694" spans="2:18" ht="15.5">
      <c r="B694" s="10" t="s">
        <v>662</v>
      </c>
      <c r="C694" s="621">
        <v>15887450</v>
      </c>
    </row>
    <row r="695" spans="2:18">
      <c r="B695" s="10" t="s">
        <v>663</v>
      </c>
      <c r="C695" s="646">
        <f>(C692/C694)*1000000</f>
        <v>8.932507124008179</v>
      </c>
    </row>
    <row r="698" spans="2:18" ht="15" thickBot="1">
      <c r="B698" s="1041" t="s">
        <v>696</v>
      </c>
      <c r="C698" s="1041"/>
      <c r="D698" s="1041"/>
      <c r="E698" s="1041"/>
    </row>
    <row r="699" spans="2:18">
      <c r="B699" s="562" t="s">
        <v>638</v>
      </c>
      <c r="C699" s="563">
        <v>2009</v>
      </c>
      <c r="D699" s="563">
        <v>2010</v>
      </c>
      <c r="E699" s="563">
        <v>2011</v>
      </c>
      <c r="F699" s="563">
        <v>2012</v>
      </c>
      <c r="G699" s="563">
        <v>2013</v>
      </c>
      <c r="H699" s="563">
        <v>2014</v>
      </c>
      <c r="I699" s="563">
        <v>2015</v>
      </c>
      <c r="J699" s="563">
        <v>2016</v>
      </c>
      <c r="K699" s="563">
        <v>2017</v>
      </c>
      <c r="L699" s="563">
        <v>2018</v>
      </c>
      <c r="M699" s="563">
        <v>2019</v>
      </c>
      <c r="N699" s="563">
        <v>2020</v>
      </c>
      <c r="O699" s="563">
        <v>2021</v>
      </c>
      <c r="P699" s="563">
        <v>2022</v>
      </c>
      <c r="Q699" s="563">
        <v>2023</v>
      </c>
      <c r="R699" s="564">
        <v>2024</v>
      </c>
    </row>
    <row r="700" spans="2:18">
      <c r="B700" s="569" t="s">
        <v>640</v>
      </c>
      <c r="C700" s="570">
        <v>-105</v>
      </c>
      <c r="D700" s="570">
        <v>-105</v>
      </c>
      <c r="E700" s="570">
        <v>-105</v>
      </c>
      <c r="F700" s="570">
        <v>-105</v>
      </c>
      <c r="G700" s="570">
        <v>-95</v>
      </c>
      <c r="H700" s="570">
        <v>-95</v>
      </c>
      <c r="I700" s="570">
        <v>-95</v>
      </c>
      <c r="J700" s="571"/>
      <c r="K700" s="571"/>
      <c r="L700" s="571"/>
      <c r="M700" s="571"/>
      <c r="N700" s="571"/>
      <c r="O700" s="571"/>
      <c r="P700" s="571"/>
      <c r="Q700" s="571"/>
      <c r="R700" s="572"/>
    </row>
    <row r="701" spans="2:18">
      <c r="B701" s="569" t="s">
        <v>642</v>
      </c>
      <c r="C701" s="577" t="s">
        <v>643</v>
      </c>
      <c r="D701" s="577" t="s">
        <v>643</v>
      </c>
      <c r="E701" s="577" t="s">
        <v>643</v>
      </c>
      <c r="F701" s="577" t="s">
        <v>643</v>
      </c>
      <c r="G701" s="577" t="s">
        <v>644</v>
      </c>
      <c r="H701" s="577" t="s">
        <v>644</v>
      </c>
      <c r="I701" s="578">
        <v>115</v>
      </c>
      <c r="J701" s="578">
        <v>115</v>
      </c>
      <c r="K701" s="578">
        <v>115</v>
      </c>
      <c r="L701" s="578">
        <v>115</v>
      </c>
      <c r="M701" s="578">
        <v>115</v>
      </c>
      <c r="N701" s="578">
        <v>115</v>
      </c>
      <c r="O701" s="578">
        <v>115</v>
      </c>
      <c r="P701" s="578">
        <v>115</v>
      </c>
      <c r="Q701" s="578">
        <v>115</v>
      </c>
      <c r="R701" s="579">
        <v>115</v>
      </c>
    </row>
    <row r="702" spans="2:18">
      <c r="B702" s="569" t="s">
        <v>645</v>
      </c>
      <c r="C702" s="577" t="s">
        <v>646</v>
      </c>
      <c r="D702" s="577" t="s">
        <v>646</v>
      </c>
      <c r="E702" s="577" t="s">
        <v>647</v>
      </c>
      <c r="F702" s="577" t="s">
        <v>647</v>
      </c>
      <c r="G702" s="578">
        <v>120</v>
      </c>
      <c r="H702" s="578">
        <v>120</v>
      </c>
      <c r="I702" s="578">
        <v>120</v>
      </c>
      <c r="J702" s="578">
        <v>120</v>
      </c>
      <c r="K702" s="578">
        <v>120</v>
      </c>
      <c r="L702" s="578">
        <v>120</v>
      </c>
      <c r="M702" s="578">
        <v>120</v>
      </c>
      <c r="N702" s="578">
        <v>120</v>
      </c>
      <c r="O702" s="578">
        <v>120</v>
      </c>
      <c r="P702" s="578">
        <v>120</v>
      </c>
      <c r="Q702" s="578">
        <v>120</v>
      </c>
      <c r="R702" s="579">
        <v>120</v>
      </c>
    </row>
    <row r="703" spans="2:18">
      <c r="B703" s="569" t="s">
        <v>648</v>
      </c>
      <c r="C703" s="578">
        <f>C700+C701+C702</f>
        <v>-405</v>
      </c>
      <c r="D703" s="578">
        <f t="shared" ref="D703:R703" si="213">D700+D701+D702</f>
        <v>-405</v>
      </c>
      <c r="E703" s="578">
        <f t="shared" si="213"/>
        <v>-285</v>
      </c>
      <c r="F703" s="578">
        <f t="shared" si="213"/>
        <v>-285</v>
      </c>
      <c r="G703" s="578">
        <f t="shared" si="213"/>
        <v>-20</v>
      </c>
      <c r="H703" s="578">
        <f t="shared" si="213"/>
        <v>-20</v>
      </c>
      <c r="I703" s="578">
        <f t="shared" si="213"/>
        <v>140</v>
      </c>
      <c r="J703" s="578">
        <f t="shared" si="213"/>
        <v>235</v>
      </c>
      <c r="K703" s="578">
        <f t="shared" si="213"/>
        <v>235</v>
      </c>
      <c r="L703" s="578">
        <f t="shared" si="213"/>
        <v>235</v>
      </c>
      <c r="M703" s="578">
        <f t="shared" si="213"/>
        <v>235</v>
      </c>
      <c r="N703" s="578">
        <f t="shared" si="213"/>
        <v>235</v>
      </c>
      <c r="O703" s="578">
        <f t="shared" si="213"/>
        <v>235</v>
      </c>
      <c r="P703" s="578">
        <f t="shared" si="213"/>
        <v>235</v>
      </c>
      <c r="Q703" s="578">
        <f t="shared" si="213"/>
        <v>235</v>
      </c>
      <c r="R703" s="579">
        <f t="shared" si="213"/>
        <v>235</v>
      </c>
    </row>
    <row r="704" spans="2:18" ht="16" thickBot="1">
      <c r="B704" s="580" t="s">
        <v>649</v>
      </c>
      <c r="C704" s="581">
        <f>C703/(1+$C$2)^(C699-$C$3)</f>
        <v>-405</v>
      </c>
      <c r="D704" s="581">
        <f>D703/(1+$C$2)^(D699-$C$3)</f>
        <v>-364.05857459266912</v>
      </c>
      <c r="E704" s="581">
        <f t="shared" ref="E704:R704" si="214">E703/(1+$C$2)^(E699-$C$3)</f>
        <v>-230.29119972148825</v>
      </c>
      <c r="F704" s="581">
        <f t="shared" si="214"/>
        <v>-207.01107632553254</v>
      </c>
      <c r="G704" s="581">
        <f t="shared" si="214"/>
        <v>-13.058550118599543</v>
      </c>
      <c r="H704" s="581">
        <f t="shared" si="214"/>
        <v>-11.738462080059948</v>
      </c>
      <c r="I704" s="581">
        <f t="shared" si="214"/>
        <v>73.86275162823965</v>
      </c>
      <c r="J704" s="581">
        <f t="shared" si="214"/>
        <v>111.45037913965218</v>
      </c>
      <c r="K704" s="581">
        <f t="shared" si="214"/>
        <v>100.18386707998599</v>
      </c>
      <c r="L704" s="581">
        <f t="shared" si="214"/>
        <v>90.056286040299071</v>
      </c>
      <c r="M704" s="581">
        <f t="shared" si="214"/>
        <v>80.952501552940646</v>
      </c>
      <c r="N704" s="581">
        <f t="shared" si="214"/>
        <v>72.769018086603467</v>
      </c>
      <c r="O704" s="581">
        <f t="shared" si="214"/>
        <v>65.412802466955597</v>
      </c>
      <c r="P704" s="581">
        <f t="shared" si="214"/>
        <v>58.800226237609088</v>
      </c>
      <c r="Q704" s="581">
        <f t="shared" si="214"/>
        <v>52.856114937754143</v>
      </c>
      <c r="R704" s="582">
        <f t="shared" si="214"/>
        <v>47.512893488259401</v>
      </c>
    </row>
    <row r="705" spans="2:18" ht="15" thickBot="1"/>
    <row r="706" spans="2:18">
      <c r="B706" s="562" t="s">
        <v>650</v>
      </c>
      <c r="C706" s="583">
        <v>2009</v>
      </c>
      <c r="D706" s="583">
        <v>2010</v>
      </c>
      <c r="E706" s="583">
        <v>2011</v>
      </c>
      <c r="F706" s="583">
        <v>2012</v>
      </c>
      <c r="G706" s="583">
        <v>2013</v>
      </c>
      <c r="H706" s="583">
        <v>2014</v>
      </c>
      <c r="I706" s="583">
        <v>2015</v>
      </c>
      <c r="J706" s="583">
        <v>2016</v>
      </c>
      <c r="K706" s="583">
        <v>2017</v>
      </c>
      <c r="L706" s="583">
        <v>2018</v>
      </c>
      <c r="M706" s="583">
        <v>2019</v>
      </c>
      <c r="N706" s="583">
        <v>2020</v>
      </c>
      <c r="O706" s="583">
        <v>2021</v>
      </c>
      <c r="P706" s="583">
        <v>2022</v>
      </c>
      <c r="Q706" s="583">
        <v>2023</v>
      </c>
      <c r="R706" s="584">
        <v>2024</v>
      </c>
    </row>
    <row r="707" spans="2:18">
      <c r="B707" s="569"/>
      <c r="C707" s="578">
        <v>94.954999999999998</v>
      </c>
      <c r="D707" s="578">
        <v>94.954999999999998</v>
      </c>
      <c r="E707" s="578">
        <v>94.954999999999998</v>
      </c>
      <c r="F707" s="578">
        <v>94.954999999999998</v>
      </c>
      <c r="G707" s="578">
        <v>94.954999999999998</v>
      </c>
      <c r="H707" s="578">
        <v>94.954999999999998</v>
      </c>
      <c r="I707" s="578">
        <v>94.954999999999998</v>
      </c>
      <c r="J707" s="578">
        <v>94.954999999999998</v>
      </c>
      <c r="K707" s="578">
        <v>94.954999999999998</v>
      </c>
      <c r="L707" s="578">
        <v>94.954999999999998</v>
      </c>
      <c r="M707" s="578">
        <v>94.954999999999998</v>
      </c>
      <c r="N707" s="578">
        <v>94.954999999999998</v>
      </c>
      <c r="O707" s="578">
        <v>94.954999999999998</v>
      </c>
      <c r="P707" s="578">
        <v>94.954999999999998</v>
      </c>
      <c r="Q707" s="578">
        <v>94.954999999999998</v>
      </c>
      <c r="R707" s="579">
        <v>94.954999999999998</v>
      </c>
    </row>
    <row r="708" spans="2:18">
      <c r="B708" s="569" t="s">
        <v>648</v>
      </c>
      <c r="C708" s="585">
        <f>C246</f>
        <v>94.954999999999998</v>
      </c>
      <c r="D708" s="585">
        <f t="shared" ref="D708:R708" si="215">D246</f>
        <v>87.358599999999996</v>
      </c>
      <c r="E708" s="585">
        <f t="shared" si="215"/>
        <v>79.762199999999993</v>
      </c>
      <c r="F708" s="585">
        <f t="shared" si="215"/>
        <v>72.165800000000004</v>
      </c>
      <c r="G708" s="585">
        <f t="shared" si="215"/>
        <v>64.569399999999987</v>
      </c>
      <c r="H708" s="585">
        <f t="shared" si="215"/>
        <v>56.972999999999999</v>
      </c>
      <c r="I708" s="585">
        <f t="shared" si="215"/>
        <v>49.376600000000003</v>
      </c>
      <c r="J708" s="585">
        <f t="shared" si="215"/>
        <v>41.780199999999994</v>
      </c>
      <c r="K708" s="585">
        <f t="shared" si="215"/>
        <v>34.183799999999998</v>
      </c>
      <c r="L708" s="585">
        <f t="shared" si="215"/>
        <v>26.587400000000002</v>
      </c>
      <c r="M708" s="585">
        <f t="shared" si="215"/>
        <v>18.990999999999996</v>
      </c>
      <c r="N708" s="585">
        <f t="shared" si="215"/>
        <v>15.82583333333333</v>
      </c>
      <c r="O708" s="585">
        <f t="shared" si="215"/>
        <v>12.660666666666664</v>
      </c>
      <c r="P708" s="585">
        <f t="shared" si="215"/>
        <v>9.4954999999999981</v>
      </c>
      <c r="Q708" s="585">
        <f t="shared" si="215"/>
        <v>6.330333333333332</v>
      </c>
      <c r="R708" s="585">
        <f t="shared" si="215"/>
        <v>3.165166666666666</v>
      </c>
    </row>
    <row r="709" spans="2:18" ht="16" thickBot="1">
      <c r="B709" s="580" t="s">
        <v>651</v>
      </c>
      <c r="C709" s="581">
        <f>C708/(1+$C$2)^(C706-$C$3)</f>
        <v>94.954999999999998</v>
      </c>
      <c r="D709" s="581">
        <f t="shared" ref="D709:R709" si="216">D708/(1+$C$2)^(D706-$C$3)</f>
        <v>78.527524430644789</v>
      </c>
      <c r="E709" s="581">
        <f t="shared" si="216"/>
        <v>64.450992036579962</v>
      </c>
      <c r="F709" s="581">
        <f t="shared" si="216"/>
        <v>52.417964673309186</v>
      </c>
      <c r="G709" s="581">
        <f t="shared" si="216"/>
        <v>42.159137301395056</v>
      </c>
      <c r="H709" s="581">
        <f t="shared" si="216"/>
        <v>33.438770004362773</v>
      </c>
      <c r="I709" s="581">
        <f t="shared" si="216"/>
        <v>26.050653871763842</v>
      </c>
      <c r="J709" s="581">
        <f t="shared" si="216"/>
        <v>19.814549491619132</v>
      </c>
      <c r="K709" s="581">
        <f t="shared" si="216"/>
        <v>14.573043725484361</v>
      </c>
      <c r="L709" s="581">
        <f t="shared" si="216"/>
        <v>10.188776593480203</v>
      </c>
      <c r="M709" s="581">
        <f t="shared" si="216"/>
        <v>6.5419955616676413</v>
      </c>
      <c r="N709" s="581">
        <f t="shared" si="216"/>
        <v>4.900554689654915</v>
      </c>
      <c r="O709" s="581">
        <f t="shared" si="216"/>
        <v>3.5241263309218538</v>
      </c>
      <c r="P709" s="581">
        <f t="shared" si="216"/>
        <v>2.3759044605924129</v>
      </c>
      <c r="Q709" s="581">
        <f t="shared" si="216"/>
        <v>1.4238162819615443</v>
      </c>
      <c r="R709" s="582">
        <f t="shared" si="216"/>
        <v>0.63994139023796737</v>
      </c>
    </row>
    <row r="710" spans="2:18" ht="15" thickBot="1">
      <c r="C710" s="587"/>
      <c r="D710" s="587"/>
      <c r="E710" s="587"/>
      <c r="F710" s="587"/>
      <c r="G710" s="587"/>
      <c r="H710" s="587"/>
      <c r="I710" s="587"/>
      <c r="J710" s="587"/>
      <c r="K710" s="587"/>
      <c r="L710" s="587"/>
      <c r="M710" s="587"/>
      <c r="N710" s="587"/>
      <c r="O710" s="587"/>
      <c r="P710" s="587"/>
      <c r="Q710" s="587"/>
      <c r="R710" s="587"/>
    </row>
    <row r="711" spans="2:18">
      <c r="B711" s="562" t="s">
        <v>652</v>
      </c>
      <c r="C711" s="583">
        <v>2009</v>
      </c>
      <c r="D711" s="583">
        <v>2010</v>
      </c>
      <c r="E711" s="583">
        <v>2011</v>
      </c>
      <c r="F711" s="583">
        <v>2012</v>
      </c>
      <c r="G711" s="583">
        <v>2013</v>
      </c>
      <c r="H711" s="583">
        <v>2014</v>
      </c>
      <c r="I711" s="583">
        <v>2015</v>
      </c>
      <c r="J711" s="583">
        <v>2016</v>
      </c>
      <c r="K711" s="583">
        <v>2017</v>
      </c>
      <c r="L711" s="583">
        <v>2018</v>
      </c>
      <c r="M711" s="583">
        <v>2019</v>
      </c>
      <c r="N711" s="583">
        <v>2020</v>
      </c>
      <c r="O711" s="583">
        <v>2021</v>
      </c>
      <c r="P711" s="583">
        <v>2022</v>
      </c>
      <c r="Q711" s="583">
        <v>2023</v>
      </c>
      <c r="R711" s="584">
        <v>2024</v>
      </c>
    </row>
    <row r="712" spans="2:18">
      <c r="B712" s="588" t="s">
        <v>653</v>
      </c>
      <c r="C712" s="589">
        <f>V54</f>
        <v>-4.6523076923076925</v>
      </c>
      <c r="D712" s="589">
        <f>W54</f>
        <v>-16.728024760770847</v>
      </c>
      <c r="E712" s="589">
        <f>X54</f>
        <v>-37.460238859854911</v>
      </c>
      <c r="F712" s="589">
        <f>Y54</f>
        <v>-29.226507530881726</v>
      </c>
      <c r="G712" s="589">
        <f>Z54</f>
        <v>1.4483282966021924</v>
      </c>
      <c r="H712" s="589"/>
      <c r="I712" s="589"/>
      <c r="J712" s="589"/>
      <c r="K712" s="589"/>
      <c r="L712" s="578"/>
      <c r="M712" s="578"/>
      <c r="N712" s="578"/>
      <c r="O712" s="578"/>
      <c r="P712" s="578"/>
      <c r="Q712" s="578"/>
      <c r="R712" s="579"/>
    </row>
    <row r="713" spans="2:18">
      <c r="B713" s="590" t="s">
        <v>654</v>
      </c>
      <c r="C713" s="578"/>
      <c r="D713" s="578"/>
      <c r="E713" s="578"/>
      <c r="F713" s="578"/>
      <c r="G713" s="585"/>
      <c r="H713" s="585"/>
      <c r="I713" s="585"/>
      <c r="J713" s="585"/>
      <c r="K713" s="585"/>
      <c r="L713" s="585"/>
      <c r="M713" s="585"/>
      <c r="N713" s="585"/>
      <c r="O713" s="585"/>
      <c r="P713" s="585"/>
      <c r="Q713" s="585"/>
      <c r="R713" s="586"/>
    </row>
    <row r="714" spans="2:18">
      <c r="B714" s="592" t="s">
        <v>648</v>
      </c>
      <c r="C714" s="593">
        <f t="shared" ref="C714:R714" si="217">V64</f>
        <v>-4.6523076923076925</v>
      </c>
      <c r="D714" s="593">
        <f t="shared" si="217"/>
        <v>-18.60923076923077</v>
      </c>
      <c r="E714" s="593">
        <f t="shared" si="217"/>
        <v>-46.359427055702923</v>
      </c>
      <c r="F714" s="593">
        <f t="shared" si="217"/>
        <v>-40.237241379310348</v>
      </c>
      <c r="G714" s="593">
        <f t="shared" si="217"/>
        <v>2.2182068965517248</v>
      </c>
      <c r="H714" s="593">
        <f t="shared" si="217"/>
        <v>0</v>
      </c>
      <c r="I714" s="593">
        <f t="shared" si="217"/>
        <v>0</v>
      </c>
      <c r="J714" s="593">
        <f t="shared" si="217"/>
        <v>0</v>
      </c>
      <c r="K714" s="593">
        <f t="shared" si="217"/>
        <v>0</v>
      </c>
      <c r="L714" s="593">
        <f t="shared" si="217"/>
        <v>0</v>
      </c>
      <c r="M714" s="593">
        <f t="shared" si="217"/>
        <v>0</v>
      </c>
      <c r="N714" s="593">
        <f t="shared" si="217"/>
        <v>0</v>
      </c>
      <c r="O714" s="593">
        <f t="shared" si="217"/>
        <v>0</v>
      </c>
      <c r="P714" s="593">
        <f t="shared" si="217"/>
        <v>0</v>
      </c>
      <c r="Q714" s="593">
        <f t="shared" si="217"/>
        <v>0</v>
      </c>
      <c r="R714" s="593">
        <f t="shared" si="217"/>
        <v>0</v>
      </c>
    </row>
    <row r="715" spans="2:18" ht="16" thickBot="1">
      <c r="B715" s="597" t="str">
        <f>B682</f>
        <v>CF actualisés</v>
      </c>
      <c r="C715" s="598">
        <f t="shared" ref="C715:R715" si="218">C712+C713</f>
        <v>-4.6523076923076925</v>
      </c>
      <c r="D715" s="598">
        <f t="shared" si="218"/>
        <v>-16.728024760770847</v>
      </c>
      <c r="E715" s="598">
        <f t="shared" si="218"/>
        <v>-37.460238859854911</v>
      </c>
      <c r="F715" s="598">
        <f t="shared" si="218"/>
        <v>-29.226507530881726</v>
      </c>
      <c r="G715" s="598">
        <f t="shared" si="218"/>
        <v>1.4483282966021924</v>
      </c>
      <c r="H715" s="598">
        <f t="shared" si="218"/>
        <v>0</v>
      </c>
      <c r="I715" s="598">
        <f t="shared" si="218"/>
        <v>0</v>
      </c>
      <c r="J715" s="598">
        <f t="shared" si="218"/>
        <v>0</v>
      </c>
      <c r="K715" s="598">
        <f t="shared" si="218"/>
        <v>0</v>
      </c>
      <c r="L715" s="598">
        <f t="shared" si="218"/>
        <v>0</v>
      </c>
      <c r="M715" s="598">
        <f t="shared" si="218"/>
        <v>0</v>
      </c>
      <c r="N715" s="598">
        <f t="shared" si="218"/>
        <v>0</v>
      </c>
      <c r="O715" s="598">
        <f t="shared" si="218"/>
        <v>0</v>
      </c>
      <c r="P715" s="598">
        <f t="shared" si="218"/>
        <v>0</v>
      </c>
      <c r="Q715" s="598">
        <f t="shared" si="218"/>
        <v>0</v>
      </c>
      <c r="R715" s="599">
        <f t="shared" si="218"/>
        <v>0</v>
      </c>
    </row>
    <row r="716" spans="2:18" ht="16" thickBot="1">
      <c r="C716" s="603"/>
      <c r="D716" s="603"/>
      <c r="E716" s="603"/>
      <c r="F716" s="603"/>
      <c r="G716" s="603"/>
      <c r="H716" s="603"/>
      <c r="I716" s="603"/>
      <c r="J716" s="603"/>
      <c r="K716" s="603"/>
      <c r="L716" s="603"/>
      <c r="M716" s="603"/>
      <c r="N716" s="603"/>
      <c r="O716" s="603"/>
      <c r="P716" s="603"/>
      <c r="Q716" s="603"/>
      <c r="R716" s="603"/>
    </row>
    <row r="717" spans="2:18" ht="15.5">
      <c r="B717" s="607"/>
      <c r="C717" s="608">
        <v>2009</v>
      </c>
      <c r="D717" s="608">
        <v>2010</v>
      </c>
      <c r="E717" s="608">
        <v>2011</v>
      </c>
      <c r="F717" s="608">
        <v>2012</v>
      </c>
      <c r="G717" s="608">
        <v>2013</v>
      </c>
      <c r="H717" s="608">
        <v>2014</v>
      </c>
      <c r="I717" s="608">
        <v>2015</v>
      </c>
      <c r="J717" s="608">
        <v>2016</v>
      </c>
      <c r="K717" s="608">
        <v>2017</v>
      </c>
      <c r="L717" s="608">
        <v>2018</v>
      </c>
      <c r="M717" s="608">
        <v>2019</v>
      </c>
      <c r="N717" s="608">
        <v>2020</v>
      </c>
      <c r="O717" s="608">
        <v>2021</v>
      </c>
      <c r="P717" s="608">
        <v>2022</v>
      </c>
      <c r="Q717" s="608">
        <v>2023</v>
      </c>
      <c r="R717" s="609">
        <v>2024</v>
      </c>
    </row>
    <row r="718" spans="2:18" ht="15" thickBot="1">
      <c r="B718" s="610" t="s">
        <v>656</v>
      </c>
      <c r="C718" s="611">
        <f t="shared" ref="C718:R718" si="219">C715+C709+C704</f>
        <v>-314.69730769230767</v>
      </c>
      <c r="D718" s="611">
        <f t="shared" si="219"/>
        <v>-302.25907492279521</v>
      </c>
      <c r="E718" s="611">
        <f t="shared" si="219"/>
        <v>-203.30044654476319</v>
      </c>
      <c r="F718" s="611">
        <f t="shared" si="219"/>
        <v>-183.81961918310509</v>
      </c>
      <c r="G718" s="611">
        <f t="shared" si="219"/>
        <v>30.548915479397706</v>
      </c>
      <c r="H718" s="611">
        <f t="shared" si="219"/>
        <v>21.700307924302827</v>
      </c>
      <c r="I718" s="611">
        <f t="shared" si="219"/>
        <v>99.913405500003492</v>
      </c>
      <c r="J718" s="611">
        <f t="shared" si="219"/>
        <v>131.26492863127132</v>
      </c>
      <c r="K718" s="611">
        <f t="shared" si="219"/>
        <v>114.75691080547034</v>
      </c>
      <c r="L718" s="611">
        <f t="shared" si="219"/>
        <v>100.24506263377927</v>
      </c>
      <c r="M718" s="611">
        <f t="shared" si="219"/>
        <v>87.494497114608293</v>
      </c>
      <c r="N718" s="611">
        <f t="shared" si="219"/>
        <v>77.669572776258377</v>
      </c>
      <c r="O718" s="611">
        <f t="shared" si="219"/>
        <v>68.936928797877457</v>
      </c>
      <c r="P718" s="611">
        <f t="shared" si="219"/>
        <v>61.176130698201504</v>
      </c>
      <c r="Q718" s="611">
        <f t="shared" si="219"/>
        <v>54.279931219715685</v>
      </c>
      <c r="R718" s="612">
        <f t="shared" si="219"/>
        <v>48.152834878497366</v>
      </c>
    </row>
    <row r="719" spans="2:18" ht="15" thickBot="1">
      <c r="B719" s="613" t="str">
        <f>B686</f>
        <v>Trésorerie</v>
      </c>
      <c r="C719" s="614">
        <f>C723+C724+C714+C708+C703</f>
        <v>-63.717307692307656</v>
      </c>
      <c r="D719" s="615">
        <f>C719+D714+D708+D703</f>
        <v>-399.96793846153844</v>
      </c>
      <c r="E719" s="615">
        <f t="shared" ref="E719:R719" si="220">D719+E714+E708+E703</f>
        <v>-651.56516551724133</v>
      </c>
      <c r="F719" s="615">
        <f t="shared" si="220"/>
        <v>-904.63660689655171</v>
      </c>
      <c r="G719" s="615">
        <f t="shared" si="220"/>
        <v>-857.84900000000005</v>
      </c>
      <c r="H719" s="615">
        <f t="shared" si="220"/>
        <v>-820.87600000000009</v>
      </c>
      <c r="I719" s="615">
        <f t="shared" si="220"/>
        <v>-631.49940000000004</v>
      </c>
      <c r="J719" s="615">
        <f t="shared" si="220"/>
        <v>-354.7192</v>
      </c>
      <c r="K719" s="615">
        <f t="shared" si="220"/>
        <v>-85.535399999999981</v>
      </c>
      <c r="L719" s="615">
        <f t="shared" si="220"/>
        <v>176.05200000000002</v>
      </c>
      <c r="M719" s="615">
        <f t="shared" si="220"/>
        <v>430.04300000000001</v>
      </c>
      <c r="N719" s="615">
        <f t="shared" si="220"/>
        <v>680.86883333333333</v>
      </c>
      <c r="O719" s="615">
        <f t="shared" si="220"/>
        <v>928.52949999999998</v>
      </c>
      <c r="P719" s="615">
        <f t="shared" si="220"/>
        <v>1173.0250000000001</v>
      </c>
      <c r="Q719" s="615">
        <f t="shared" si="220"/>
        <v>1414.3553333333334</v>
      </c>
      <c r="R719" s="615">
        <f t="shared" si="220"/>
        <v>1652.5205000000001</v>
      </c>
    </row>
    <row r="720" spans="2:18" ht="15" thickBot="1"/>
    <row r="721" spans="2:18">
      <c r="B721" s="1039" t="s">
        <v>658</v>
      </c>
      <c r="C721" s="1040"/>
    </row>
    <row r="722" spans="2:18" ht="15.5">
      <c r="B722" s="569" t="s">
        <v>360</v>
      </c>
      <c r="C722" s="617">
        <f>SUM(C718:R718)</f>
        <v>-107.93702188358753</v>
      </c>
    </row>
    <row r="723" spans="2:18" ht="15.5">
      <c r="B723" s="569" t="s">
        <v>659</v>
      </c>
      <c r="C723" s="618">
        <f>155.21</f>
        <v>155.21</v>
      </c>
    </row>
    <row r="724" spans="2:18" ht="15.5">
      <c r="B724" s="569" t="s">
        <v>660</v>
      </c>
      <c r="C724" s="618">
        <f>95.77</f>
        <v>95.77</v>
      </c>
    </row>
    <row r="725" spans="2:18" ht="16" thickBot="1">
      <c r="B725" s="619" t="s">
        <v>661</v>
      </c>
      <c r="C725" s="620">
        <f>SUM(C722:C724)</f>
        <v>143.04297811641248</v>
      </c>
    </row>
    <row r="727" spans="2:18" ht="15.5">
      <c r="B727" s="10" t="s">
        <v>662</v>
      </c>
      <c r="C727" s="621">
        <v>15887450</v>
      </c>
    </row>
    <row r="728" spans="2:18">
      <c r="B728" s="10" t="s">
        <v>663</v>
      </c>
      <c r="C728" s="646">
        <f>(C725/C727)*1000000</f>
        <v>9.0035202701763009</v>
      </c>
    </row>
    <row r="731" spans="2:18" ht="15" thickBot="1">
      <c r="B731" s="1041" t="s">
        <v>697</v>
      </c>
      <c r="C731" s="1041"/>
      <c r="D731" s="1041"/>
      <c r="E731" s="1041"/>
    </row>
    <row r="732" spans="2:18">
      <c r="B732" s="562" t="s">
        <v>638</v>
      </c>
      <c r="C732" s="563">
        <v>2009</v>
      </c>
      <c r="D732" s="563">
        <v>2010</v>
      </c>
      <c r="E732" s="563">
        <v>2011</v>
      </c>
      <c r="F732" s="563">
        <v>2012</v>
      </c>
      <c r="G732" s="563">
        <v>2013</v>
      </c>
      <c r="H732" s="563">
        <v>2014</v>
      </c>
      <c r="I732" s="563">
        <v>2015</v>
      </c>
      <c r="J732" s="563">
        <v>2016</v>
      </c>
      <c r="K732" s="563">
        <v>2017</v>
      </c>
      <c r="L732" s="563">
        <v>2018</v>
      </c>
      <c r="M732" s="563">
        <v>2019</v>
      </c>
      <c r="N732" s="563">
        <v>2020</v>
      </c>
      <c r="O732" s="563">
        <v>2021</v>
      </c>
      <c r="P732" s="563">
        <v>2022</v>
      </c>
      <c r="Q732" s="563">
        <v>2023</v>
      </c>
      <c r="R732" s="564">
        <v>2024</v>
      </c>
    </row>
    <row r="733" spans="2:18">
      <c r="B733" s="569" t="s">
        <v>640</v>
      </c>
      <c r="C733" s="570">
        <v>-105</v>
      </c>
      <c r="D733" s="570">
        <v>-105</v>
      </c>
      <c r="E733" s="570">
        <v>-105</v>
      </c>
      <c r="F733" s="570">
        <v>-105</v>
      </c>
      <c r="G733" s="570"/>
      <c r="H733" s="570"/>
      <c r="I733" s="570"/>
      <c r="J733" s="571"/>
      <c r="K733" s="571"/>
      <c r="L733" s="571"/>
      <c r="M733" s="571"/>
      <c r="N733" s="571"/>
      <c r="O733" s="571"/>
      <c r="P733" s="571"/>
      <c r="Q733" s="571"/>
      <c r="R733" s="572"/>
    </row>
    <row r="734" spans="2:18">
      <c r="B734" s="569" t="s">
        <v>642</v>
      </c>
      <c r="C734" s="577" t="s">
        <v>643</v>
      </c>
      <c r="D734" s="577" t="s">
        <v>643</v>
      </c>
      <c r="E734" s="577" t="s">
        <v>643</v>
      </c>
      <c r="F734" s="577" t="s">
        <v>643</v>
      </c>
      <c r="G734" s="577" t="s">
        <v>644</v>
      </c>
      <c r="H734" s="577" t="s">
        <v>644</v>
      </c>
      <c r="I734" s="578">
        <v>115</v>
      </c>
      <c r="J734" s="578">
        <v>115</v>
      </c>
      <c r="K734" s="578">
        <v>115</v>
      </c>
      <c r="L734" s="578">
        <v>115</v>
      </c>
      <c r="M734" s="578">
        <v>115</v>
      </c>
      <c r="N734" s="578">
        <v>115</v>
      </c>
      <c r="O734" s="578">
        <v>115</v>
      </c>
      <c r="P734" s="578">
        <v>115</v>
      </c>
      <c r="Q734" s="578">
        <v>115</v>
      </c>
      <c r="R734" s="579">
        <v>115</v>
      </c>
    </row>
    <row r="735" spans="2:18">
      <c r="B735" s="569" t="s">
        <v>645</v>
      </c>
      <c r="C735" s="577" t="s">
        <v>646</v>
      </c>
      <c r="D735" s="577" t="s">
        <v>646</v>
      </c>
      <c r="E735" s="577" t="s">
        <v>647</v>
      </c>
      <c r="F735" s="577" t="s">
        <v>647</v>
      </c>
      <c r="G735" s="578">
        <v>120</v>
      </c>
      <c r="H735" s="578">
        <v>120</v>
      </c>
      <c r="I735" s="578">
        <v>120</v>
      </c>
      <c r="J735" s="578">
        <v>120</v>
      </c>
      <c r="K735" s="578">
        <v>120</v>
      </c>
      <c r="L735" s="578">
        <v>120</v>
      </c>
      <c r="M735" s="578">
        <v>120</v>
      </c>
      <c r="N735" s="578">
        <v>120</v>
      </c>
      <c r="O735" s="578">
        <v>120</v>
      </c>
      <c r="P735" s="578">
        <v>120</v>
      </c>
      <c r="Q735" s="578">
        <v>120</v>
      </c>
      <c r="R735" s="579">
        <v>120</v>
      </c>
    </row>
    <row r="736" spans="2:18">
      <c r="B736" s="569" t="s">
        <v>648</v>
      </c>
      <c r="C736" s="578">
        <f>C733+C734+C735</f>
        <v>-405</v>
      </c>
      <c r="D736" s="578">
        <f t="shared" ref="D736:R736" si="221">D733+D734+D735</f>
        <v>-405</v>
      </c>
      <c r="E736" s="578">
        <f t="shared" si="221"/>
        <v>-285</v>
      </c>
      <c r="F736" s="578">
        <f t="shared" si="221"/>
        <v>-285</v>
      </c>
      <c r="G736" s="578">
        <f t="shared" si="221"/>
        <v>75</v>
      </c>
      <c r="H736" s="578">
        <f t="shared" si="221"/>
        <v>75</v>
      </c>
      <c r="I736" s="578">
        <f t="shared" si="221"/>
        <v>235</v>
      </c>
      <c r="J736" s="578">
        <f t="shared" si="221"/>
        <v>235</v>
      </c>
      <c r="K736" s="578">
        <f t="shared" si="221"/>
        <v>235</v>
      </c>
      <c r="L736" s="578">
        <f t="shared" si="221"/>
        <v>235</v>
      </c>
      <c r="M736" s="578">
        <f t="shared" si="221"/>
        <v>235</v>
      </c>
      <c r="N736" s="578">
        <f t="shared" si="221"/>
        <v>235</v>
      </c>
      <c r="O736" s="578">
        <f t="shared" si="221"/>
        <v>235</v>
      </c>
      <c r="P736" s="578">
        <f t="shared" si="221"/>
        <v>235</v>
      </c>
      <c r="Q736" s="578">
        <f t="shared" si="221"/>
        <v>235</v>
      </c>
      <c r="R736" s="579">
        <f t="shared" si="221"/>
        <v>235</v>
      </c>
    </row>
    <row r="737" spans="2:18" ht="16" thickBot="1">
      <c r="B737" s="580" t="s">
        <v>649</v>
      </c>
      <c r="C737" s="581">
        <f>C736/(1+$C$2)^(C732-$C$3)</f>
        <v>-405</v>
      </c>
      <c r="D737" s="581">
        <f>D736/(1+$C$2)^(D732-$C$3)</f>
        <v>-364.05857459266912</v>
      </c>
      <c r="E737" s="581">
        <f t="shared" ref="E737:R737" si="222">E736/(1+$C$2)^(E732-$C$3)</f>
        <v>-230.29119972148825</v>
      </c>
      <c r="F737" s="581">
        <f t="shared" si="222"/>
        <v>-207.01107632553254</v>
      </c>
      <c r="G737" s="581">
        <f t="shared" si="222"/>
        <v>48.969562944748283</v>
      </c>
      <c r="H737" s="581">
        <f t="shared" si="222"/>
        <v>44.019232800224806</v>
      </c>
      <c r="I737" s="581">
        <f t="shared" si="222"/>
        <v>123.98390451883084</v>
      </c>
      <c r="J737" s="581">
        <f t="shared" si="222"/>
        <v>111.45037913965218</v>
      </c>
      <c r="K737" s="581">
        <f t="shared" si="222"/>
        <v>100.18386707998599</v>
      </c>
      <c r="L737" s="581">
        <f t="shared" si="222"/>
        <v>90.056286040299071</v>
      </c>
      <c r="M737" s="581">
        <f t="shared" si="222"/>
        <v>80.952501552940646</v>
      </c>
      <c r="N737" s="581">
        <f t="shared" si="222"/>
        <v>72.769018086603467</v>
      </c>
      <c r="O737" s="581">
        <f t="shared" si="222"/>
        <v>65.412802466955597</v>
      </c>
      <c r="P737" s="581">
        <f t="shared" si="222"/>
        <v>58.800226237609088</v>
      </c>
      <c r="Q737" s="581">
        <f t="shared" si="222"/>
        <v>52.856114937754143</v>
      </c>
      <c r="R737" s="582">
        <f t="shared" si="222"/>
        <v>47.512893488259401</v>
      </c>
    </row>
    <row r="738" spans="2:18" ht="15" thickBot="1"/>
    <row r="739" spans="2:18">
      <c r="B739" s="562" t="s">
        <v>650</v>
      </c>
      <c r="C739" s="583">
        <v>2009</v>
      </c>
      <c r="D739" s="583">
        <v>2010</v>
      </c>
      <c r="E739" s="583">
        <v>2011</v>
      </c>
      <c r="F739" s="583">
        <v>2012</v>
      </c>
      <c r="G739" s="583">
        <v>2013</v>
      </c>
      <c r="H739" s="583">
        <v>2014</v>
      </c>
      <c r="I739" s="583">
        <v>2015</v>
      </c>
      <c r="J739" s="583">
        <v>2016</v>
      </c>
      <c r="K739" s="583">
        <v>2017</v>
      </c>
      <c r="L739" s="583">
        <v>2018</v>
      </c>
      <c r="M739" s="583">
        <v>2019</v>
      </c>
      <c r="N739" s="583">
        <v>2020</v>
      </c>
      <c r="O739" s="583">
        <v>2021</v>
      </c>
      <c r="P739" s="583">
        <v>2022</v>
      </c>
      <c r="Q739" s="583">
        <v>2023</v>
      </c>
      <c r="R739" s="584">
        <v>2024</v>
      </c>
    </row>
    <row r="740" spans="2:18">
      <c r="B740" s="569"/>
      <c r="C740" s="578">
        <v>94.954999999999998</v>
      </c>
      <c r="D740" s="578">
        <v>94.954999999999998</v>
      </c>
      <c r="E740" s="578">
        <v>94.954999999999998</v>
      </c>
      <c r="F740" s="578">
        <v>94.954999999999998</v>
      </c>
      <c r="G740" s="578">
        <v>94.954999999999998</v>
      </c>
      <c r="H740" s="578">
        <v>94.954999999999998</v>
      </c>
      <c r="I740" s="578">
        <v>94.954999999999998</v>
      </c>
      <c r="J740" s="578">
        <v>94.954999999999998</v>
      </c>
      <c r="K740" s="578">
        <v>94.954999999999998</v>
      </c>
      <c r="L740" s="578">
        <v>94.954999999999998</v>
      </c>
      <c r="M740" s="578">
        <v>94.954999999999998</v>
      </c>
      <c r="N740" s="578">
        <v>94.954999999999998</v>
      </c>
      <c r="O740" s="578">
        <v>94.954999999999998</v>
      </c>
      <c r="P740" s="578">
        <v>94.954999999999998</v>
      </c>
      <c r="Q740" s="578">
        <v>94.954999999999998</v>
      </c>
      <c r="R740" s="579">
        <v>94.954999999999998</v>
      </c>
    </row>
    <row r="741" spans="2:18">
      <c r="B741" s="569" t="s">
        <v>648</v>
      </c>
      <c r="C741" s="585">
        <f>C246</f>
        <v>94.954999999999998</v>
      </c>
      <c r="D741" s="585">
        <f t="shared" ref="D741:R741" si="223">D246</f>
        <v>87.358599999999996</v>
      </c>
      <c r="E741" s="585">
        <f t="shared" si="223"/>
        <v>79.762199999999993</v>
      </c>
      <c r="F741" s="585">
        <f t="shared" si="223"/>
        <v>72.165800000000004</v>
      </c>
      <c r="G741" s="585">
        <f t="shared" si="223"/>
        <v>64.569399999999987</v>
      </c>
      <c r="H741" s="585">
        <f t="shared" si="223"/>
        <v>56.972999999999999</v>
      </c>
      <c r="I741" s="585">
        <f t="shared" si="223"/>
        <v>49.376600000000003</v>
      </c>
      <c r="J741" s="585">
        <f t="shared" si="223"/>
        <v>41.780199999999994</v>
      </c>
      <c r="K741" s="585">
        <f t="shared" si="223"/>
        <v>34.183799999999998</v>
      </c>
      <c r="L741" s="585">
        <f t="shared" si="223"/>
        <v>26.587400000000002</v>
      </c>
      <c r="M741" s="585">
        <f t="shared" si="223"/>
        <v>18.990999999999996</v>
      </c>
      <c r="N741" s="585">
        <f t="shared" si="223"/>
        <v>15.82583333333333</v>
      </c>
      <c r="O741" s="585">
        <f t="shared" si="223"/>
        <v>12.660666666666664</v>
      </c>
      <c r="P741" s="585">
        <f t="shared" si="223"/>
        <v>9.4954999999999981</v>
      </c>
      <c r="Q741" s="585">
        <f t="shared" si="223"/>
        <v>6.330333333333332</v>
      </c>
      <c r="R741" s="585">
        <f t="shared" si="223"/>
        <v>3.165166666666666</v>
      </c>
    </row>
    <row r="742" spans="2:18" ht="16" thickBot="1">
      <c r="B742" s="580" t="s">
        <v>651</v>
      </c>
      <c r="C742" s="581">
        <f>C741/(1+$C$2)^(C739-$C$3)</f>
        <v>94.954999999999998</v>
      </c>
      <c r="D742" s="581">
        <f t="shared" ref="D742:R742" si="224">D741/(1+$C$2)^(D739-$C$3)</f>
        <v>78.527524430644789</v>
      </c>
      <c r="E742" s="581">
        <f t="shared" si="224"/>
        <v>64.450992036579962</v>
      </c>
      <c r="F742" s="581">
        <f t="shared" si="224"/>
        <v>52.417964673309186</v>
      </c>
      <c r="G742" s="581">
        <f t="shared" si="224"/>
        <v>42.159137301395056</v>
      </c>
      <c r="H742" s="581">
        <f t="shared" si="224"/>
        <v>33.438770004362773</v>
      </c>
      <c r="I742" s="581">
        <f t="shared" si="224"/>
        <v>26.050653871763842</v>
      </c>
      <c r="J742" s="581">
        <f t="shared" si="224"/>
        <v>19.814549491619132</v>
      </c>
      <c r="K742" s="581">
        <f t="shared" si="224"/>
        <v>14.573043725484361</v>
      </c>
      <c r="L742" s="581">
        <f t="shared" si="224"/>
        <v>10.188776593480203</v>
      </c>
      <c r="M742" s="581">
        <f t="shared" si="224"/>
        <v>6.5419955616676413</v>
      </c>
      <c r="N742" s="581">
        <f t="shared" si="224"/>
        <v>4.900554689654915</v>
      </c>
      <c r="O742" s="581">
        <f t="shared" si="224"/>
        <v>3.5241263309218538</v>
      </c>
      <c r="P742" s="581">
        <f t="shared" si="224"/>
        <v>2.3759044605924129</v>
      </c>
      <c r="Q742" s="581">
        <f t="shared" si="224"/>
        <v>1.4238162819615443</v>
      </c>
      <c r="R742" s="582">
        <f t="shared" si="224"/>
        <v>0.63994139023796737</v>
      </c>
    </row>
    <row r="743" spans="2:18" ht="15" thickBot="1">
      <c r="C743" s="587"/>
      <c r="D743" s="587"/>
      <c r="E743" s="587"/>
      <c r="F743" s="587"/>
      <c r="G743" s="587"/>
      <c r="H743" s="587"/>
      <c r="I743" s="587"/>
      <c r="J743" s="587"/>
      <c r="K743" s="587"/>
      <c r="L743" s="587"/>
      <c r="M743" s="587"/>
      <c r="N743" s="587"/>
      <c r="O743" s="587"/>
      <c r="P743" s="587"/>
      <c r="Q743" s="587"/>
      <c r="R743" s="587"/>
    </row>
    <row r="744" spans="2:18">
      <c r="B744" s="562" t="s">
        <v>652</v>
      </c>
      <c r="C744" s="583">
        <v>2009</v>
      </c>
      <c r="D744" s="583">
        <v>2010</v>
      </c>
      <c r="E744" s="583">
        <v>2011</v>
      </c>
      <c r="F744" s="583">
        <v>2012</v>
      </c>
      <c r="G744" s="583">
        <v>2013</v>
      </c>
      <c r="H744" s="583">
        <v>2014</v>
      </c>
      <c r="I744" s="583">
        <v>2015</v>
      </c>
      <c r="J744" s="583">
        <v>2016</v>
      </c>
      <c r="K744" s="583">
        <v>2017</v>
      </c>
      <c r="L744" s="583">
        <v>2018</v>
      </c>
      <c r="M744" s="583">
        <v>2019</v>
      </c>
      <c r="N744" s="583">
        <v>2020</v>
      </c>
      <c r="O744" s="583">
        <v>2021</v>
      </c>
      <c r="P744" s="583">
        <v>2022</v>
      </c>
      <c r="Q744" s="583">
        <v>2023</v>
      </c>
      <c r="R744" s="584">
        <v>2024</v>
      </c>
    </row>
    <row r="745" spans="2:18">
      <c r="B745" s="588" t="s">
        <v>653</v>
      </c>
      <c r="C745" s="589">
        <f>V54</f>
        <v>-4.6523076923076925</v>
      </c>
      <c r="D745" s="589">
        <f>W54</f>
        <v>-16.728024760770847</v>
      </c>
      <c r="E745" s="589">
        <f>X54</f>
        <v>-37.460238859854911</v>
      </c>
      <c r="F745" s="589">
        <f>Y54</f>
        <v>-29.226507530881726</v>
      </c>
      <c r="G745" s="589">
        <f>Z54</f>
        <v>1.4483282966021924</v>
      </c>
      <c r="H745" s="589"/>
      <c r="I745" s="589"/>
      <c r="J745" s="589"/>
      <c r="K745" s="589"/>
      <c r="L745" s="578"/>
      <c r="M745" s="578"/>
      <c r="N745" s="578"/>
      <c r="O745" s="578"/>
      <c r="P745" s="578"/>
      <c r="Q745" s="578"/>
      <c r="R745" s="579"/>
    </row>
    <row r="746" spans="2:18">
      <c r="B746" s="590" t="s">
        <v>654</v>
      </c>
      <c r="C746" s="578"/>
      <c r="D746" s="578"/>
      <c r="E746" s="578"/>
      <c r="F746" s="578"/>
      <c r="G746" s="585"/>
      <c r="H746" s="585"/>
      <c r="I746" s="585"/>
      <c r="J746" s="585"/>
      <c r="K746" s="585"/>
      <c r="L746" s="585"/>
      <c r="M746" s="585"/>
      <c r="N746" s="585"/>
      <c r="O746" s="585"/>
      <c r="P746" s="585"/>
      <c r="Q746" s="585"/>
      <c r="R746" s="586"/>
    </row>
    <row r="747" spans="2:18">
      <c r="B747" s="592" t="s">
        <v>648</v>
      </c>
      <c r="C747" s="593">
        <f t="shared" ref="C747:R747" si="225">V64</f>
        <v>-4.6523076923076925</v>
      </c>
      <c r="D747" s="593">
        <f t="shared" si="225"/>
        <v>-18.60923076923077</v>
      </c>
      <c r="E747" s="593">
        <f t="shared" si="225"/>
        <v>-46.359427055702923</v>
      </c>
      <c r="F747" s="593">
        <f t="shared" si="225"/>
        <v>-40.237241379310348</v>
      </c>
      <c r="G747" s="593">
        <f t="shared" si="225"/>
        <v>2.2182068965517248</v>
      </c>
      <c r="H747" s="593">
        <f t="shared" si="225"/>
        <v>0</v>
      </c>
      <c r="I747" s="593">
        <f t="shared" si="225"/>
        <v>0</v>
      </c>
      <c r="J747" s="593">
        <f t="shared" si="225"/>
        <v>0</v>
      </c>
      <c r="K747" s="593">
        <f t="shared" si="225"/>
        <v>0</v>
      </c>
      <c r="L747" s="593">
        <f t="shared" si="225"/>
        <v>0</v>
      </c>
      <c r="M747" s="593">
        <f t="shared" si="225"/>
        <v>0</v>
      </c>
      <c r="N747" s="593">
        <f t="shared" si="225"/>
        <v>0</v>
      </c>
      <c r="O747" s="593">
        <f t="shared" si="225"/>
        <v>0</v>
      </c>
      <c r="P747" s="593">
        <f t="shared" si="225"/>
        <v>0</v>
      </c>
      <c r="Q747" s="593">
        <f t="shared" si="225"/>
        <v>0</v>
      </c>
      <c r="R747" s="593">
        <f t="shared" si="225"/>
        <v>0</v>
      </c>
    </row>
    <row r="748" spans="2:18" ht="16" thickBot="1">
      <c r="B748" s="597" t="str">
        <f>B715</f>
        <v>CF actualisés</v>
      </c>
      <c r="C748" s="598">
        <f t="shared" ref="C748:R748" si="226">C745+C746</f>
        <v>-4.6523076923076925</v>
      </c>
      <c r="D748" s="598">
        <f t="shared" si="226"/>
        <v>-16.728024760770847</v>
      </c>
      <c r="E748" s="598">
        <f t="shared" si="226"/>
        <v>-37.460238859854911</v>
      </c>
      <c r="F748" s="598">
        <f t="shared" si="226"/>
        <v>-29.226507530881726</v>
      </c>
      <c r="G748" s="598">
        <f t="shared" si="226"/>
        <v>1.4483282966021924</v>
      </c>
      <c r="H748" s="598">
        <f t="shared" si="226"/>
        <v>0</v>
      </c>
      <c r="I748" s="598">
        <f t="shared" si="226"/>
        <v>0</v>
      </c>
      <c r="J748" s="598">
        <f t="shared" si="226"/>
        <v>0</v>
      </c>
      <c r="K748" s="598">
        <f t="shared" si="226"/>
        <v>0</v>
      </c>
      <c r="L748" s="598">
        <f t="shared" si="226"/>
        <v>0</v>
      </c>
      <c r="M748" s="598">
        <f t="shared" si="226"/>
        <v>0</v>
      </c>
      <c r="N748" s="598">
        <f t="shared" si="226"/>
        <v>0</v>
      </c>
      <c r="O748" s="598">
        <f t="shared" si="226"/>
        <v>0</v>
      </c>
      <c r="P748" s="598">
        <f t="shared" si="226"/>
        <v>0</v>
      </c>
      <c r="Q748" s="598">
        <f t="shared" si="226"/>
        <v>0</v>
      </c>
      <c r="R748" s="599">
        <f t="shared" si="226"/>
        <v>0</v>
      </c>
    </row>
    <row r="749" spans="2:18" ht="16" thickBot="1">
      <c r="C749" s="603"/>
      <c r="D749" s="603"/>
      <c r="E749" s="603"/>
      <c r="F749" s="603"/>
      <c r="G749" s="603"/>
      <c r="H749" s="603"/>
      <c r="I749" s="603"/>
      <c r="J749" s="603"/>
      <c r="K749" s="603"/>
      <c r="L749" s="603"/>
      <c r="M749" s="603"/>
      <c r="N749" s="603"/>
      <c r="O749" s="603"/>
      <c r="P749" s="603"/>
      <c r="Q749" s="603"/>
      <c r="R749" s="603"/>
    </row>
    <row r="750" spans="2:18" ht="15.5">
      <c r="B750" s="607"/>
      <c r="C750" s="608">
        <v>2009</v>
      </c>
      <c r="D750" s="608">
        <v>2010</v>
      </c>
      <c r="E750" s="608">
        <v>2011</v>
      </c>
      <c r="F750" s="608">
        <v>2012</v>
      </c>
      <c r="G750" s="608">
        <v>2013</v>
      </c>
      <c r="H750" s="608">
        <v>2014</v>
      </c>
      <c r="I750" s="608">
        <v>2015</v>
      </c>
      <c r="J750" s="608">
        <v>2016</v>
      </c>
      <c r="K750" s="608">
        <v>2017</v>
      </c>
      <c r="L750" s="608">
        <v>2018</v>
      </c>
      <c r="M750" s="608">
        <v>2019</v>
      </c>
      <c r="N750" s="608">
        <v>2020</v>
      </c>
      <c r="O750" s="608">
        <v>2021</v>
      </c>
      <c r="P750" s="608">
        <v>2022</v>
      </c>
      <c r="Q750" s="608">
        <v>2023</v>
      </c>
      <c r="R750" s="609">
        <v>2024</v>
      </c>
    </row>
    <row r="751" spans="2:18" ht="15" thickBot="1">
      <c r="B751" s="610" t="s">
        <v>656</v>
      </c>
      <c r="C751" s="611">
        <f t="shared" ref="C751:R751" si="227">C748+C742+C737</f>
        <v>-314.69730769230767</v>
      </c>
      <c r="D751" s="611">
        <f t="shared" si="227"/>
        <v>-302.25907492279521</v>
      </c>
      <c r="E751" s="611">
        <f t="shared" si="227"/>
        <v>-203.30044654476319</v>
      </c>
      <c r="F751" s="611">
        <f t="shared" si="227"/>
        <v>-183.81961918310509</v>
      </c>
      <c r="G751" s="611">
        <f t="shared" si="227"/>
        <v>92.577028542745524</v>
      </c>
      <c r="H751" s="611">
        <f t="shared" si="227"/>
        <v>77.458002804587579</v>
      </c>
      <c r="I751" s="611">
        <f t="shared" si="227"/>
        <v>150.03455839059467</v>
      </c>
      <c r="J751" s="611">
        <f t="shared" si="227"/>
        <v>131.26492863127132</v>
      </c>
      <c r="K751" s="611">
        <f t="shared" si="227"/>
        <v>114.75691080547034</v>
      </c>
      <c r="L751" s="611">
        <f t="shared" si="227"/>
        <v>100.24506263377927</v>
      </c>
      <c r="M751" s="611">
        <f t="shared" si="227"/>
        <v>87.494497114608293</v>
      </c>
      <c r="N751" s="611">
        <f t="shared" si="227"/>
        <v>77.669572776258377</v>
      </c>
      <c r="O751" s="611">
        <f t="shared" si="227"/>
        <v>68.936928797877457</v>
      </c>
      <c r="P751" s="611">
        <f t="shared" si="227"/>
        <v>61.176130698201504</v>
      </c>
      <c r="Q751" s="611">
        <f t="shared" si="227"/>
        <v>54.279931219715685</v>
      </c>
      <c r="R751" s="612">
        <f t="shared" si="227"/>
        <v>48.152834878497366</v>
      </c>
    </row>
    <row r="752" spans="2:18" ht="15" thickBot="1">
      <c r="B752" s="613" t="str">
        <f>B719</f>
        <v>Trésorerie</v>
      </c>
      <c r="C752" s="614">
        <f>C756+C757+C747+C741+C736</f>
        <v>-63.717307692307656</v>
      </c>
      <c r="D752" s="615">
        <f>C752+D747+D741+D736</f>
        <v>-399.96793846153844</v>
      </c>
      <c r="E752" s="615">
        <f t="shared" ref="E752:R752" si="228">D752+E747+E741+E736</f>
        <v>-651.56516551724133</v>
      </c>
      <c r="F752" s="615">
        <f t="shared" si="228"/>
        <v>-904.63660689655171</v>
      </c>
      <c r="G752" s="615">
        <f t="shared" si="228"/>
        <v>-762.84900000000005</v>
      </c>
      <c r="H752" s="615">
        <f t="shared" si="228"/>
        <v>-630.87600000000009</v>
      </c>
      <c r="I752" s="615">
        <f t="shared" si="228"/>
        <v>-346.49940000000004</v>
      </c>
      <c r="J752" s="615">
        <f t="shared" si="228"/>
        <v>-69.719200000000058</v>
      </c>
      <c r="K752" s="615">
        <f t="shared" si="228"/>
        <v>199.46459999999993</v>
      </c>
      <c r="L752" s="615">
        <f t="shared" si="228"/>
        <v>461.05199999999991</v>
      </c>
      <c r="M752" s="615">
        <f t="shared" si="228"/>
        <v>715.04299999999989</v>
      </c>
      <c r="N752" s="615">
        <f t="shared" si="228"/>
        <v>965.86883333333321</v>
      </c>
      <c r="O752" s="615">
        <f t="shared" si="228"/>
        <v>1213.5294999999999</v>
      </c>
      <c r="P752" s="615">
        <f t="shared" si="228"/>
        <v>1458.0249999999999</v>
      </c>
      <c r="Q752" s="615">
        <f t="shared" si="228"/>
        <v>1699.3553333333332</v>
      </c>
      <c r="R752" s="615">
        <f t="shared" si="228"/>
        <v>1937.5204999999999</v>
      </c>
    </row>
    <row r="753" spans="2:18" ht="15" thickBot="1"/>
    <row r="754" spans="2:18">
      <c r="B754" s="1039" t="s">
        <v>658</v>
      </c>
      <c r="C754" s="1040"/>
    </row>
    <row r="755" spans="2:18" ht="15.5">
      <c r="B755" s="569" t="s">
        <v>360</v>
      </c>
      <c r="C755" s="617">
        <f>SUM(C751:R751)</f>
        <v>59.969938950636248</v>
      </c>
    </row>
    <row r="756" spans="2:18" ht="15.5">
      <c r="B756" s="569" t="s">
        <v>659</v>
      </c>
      <c r="C756" s="618">
        <f>155.21</f>
        <v>155.21</v>
      </c>
    </row>
    <row r="757" spans="2:18" ht="15.5">
      <c r="B757" s="569" t="s">
        <v>660</v>
      </c>
      <c r="C757" s="618">
        <f>95.77</f>
        <v>95.77</v>
      </c>
    </row>
    <row r="758" spans="2:18" ht="16" thickBot="1">
      <c r="B758" s="619" t="s">
        <v>661</v>
      </c>
      <c r="C758" s="620">
        <f>SUM(C755:C757)</f>
        <v>310.94993895063624</v>
      </c>
    </row>
    <row r="760" spans="2:18" ht="15.5">
      <c r="B760" s="10" t="s">
        <v>662</v>
      </c>
      <c r="C760" s="621">
        <v>15887450</v>
      </c>
    </row>
    <row r="761" spans="2:18">
      <c r="B761" s="10" t="s">
        <v>663</v>
      </c>
      <c r="C761" s="646">
        <f>(C758/C760)*1000000</f>
        <v>19.572048311757786</v>
      </c>
    </row>
    <row r="764" spans="2:18" ht="15" thickBot="1">
      <c r="B764" s="1041" t="s">
        <v>698</v>
      </c>
      <c r="C764" s="1041"/>
      <c r="D764" s="1041"/>
      <c r="E764" s="1041"/>
    </row>
    <row r="765" spans="2:18">
      <c r="B765" s="562" t="s">
        <v>638</v>
      </c>
      <c r="C765" s="563">
        <v>2009</v>
      </c>
      <c r="D765" s="563">
        <v>2010</v>
      </c>
      <c r="E765" s="563">
        <v>2011</v>
      </c>
      <c r="F765" s="563">
        <v>2012</v>
      </c>
      <c r="G765" s="563">
        <v>2013</v>
      </c>
      <c r="H765" s="563">
        <v>2014</v>
      </c>
      <c r="I765" s="563">
        <v>2015</v>
      </c>
      <c r="J765" s="563">
        <v>2016</v>
      </c>
      <c r="K765" s="563">
        <v>2017</v>
      </c>
      <c r="L765" s="563">
        <v>2018</v>
      </c>
      <c r="M765" s="563">
        <v>2019</v>
      </c>
      <c r="N765" s="563">
        <v>2020</v>
      </c>
      <c r="O765" s="563">
        <v>2021</v>
      </c>
      <c r="P765" s="563">
        <v>2022</v>
      </c>
      <c r="Q765" s="563">
        <v>2023</v>
      </c>
      <c r="R765" s="564">
        <v>2024</v>
      </c>
    </row>
    <row r="766" spans="2:18">
      <c r="B766" s="569" t="s">
        <v>640</v>
      </c>
      <c r="C766" s="570">
        <v>-105</v>
      </c>
      <c r="D766" s="570">
        <v>-105</v>
      </c>
      <c r="E766" s="570">
        <v>-105</v>
      </c>
      <c r="F766" s="570">
        <v>-105</v>
      </c>
      <c r="G766" s="570">
        <v>-95</v>
      </c>
      <c r="H766" s="570">
        <v>-95</v>
      </c>
      <c r="I766" s="570">
        <v>-95</v>
      </c>
      <c r="J766" s="571">
        <v>185</v>
      </c>
      <c r="K766" s="571">
        <v>185</v>
      </c>
      <c r="L766" s="571">
        <v>185</v>
      </c>
      <c r="M766" s="571">
        <v>185</v>
      </c>
      <c r="N766" s="571">
        <v>185</v>
      </c>
      <c r="O766" s="571">
        <v>185</v>
      </c>
      <c r="P766" s="571">
        <v>185</v>
      </c>
      <c r="Q766" s="571">
        <v>185</v>
      </c>
      <c r="R766" s="572">
        <v>185</v>
      </c>
    </row>
    <row r="767" spans="2:18">
      <c r="B767" s="569" t="s">
        <v>642</v>
      </c>
      <c r="C767" s="577" t="s">
        <v>643</v>
      </c>
      <c r="D767" s="577" t="s">
        <v>643</v>
      </c>
      <c r="E767" s="577" t="s">
        <v>643</v>
      </c>
      <c r="F767" s="577" t="s">
        <v>643</v>
      </c>
      <c r="G767" s="577" t="s">
        <v>644</v>
      </c>
      <c r="H767" s="577" t="s">
        <v>644</v>
      </c>
      <c r="I767" s="578"/>
      <c r="J767" s="578"/>
      <c r="K767" s="578"/>
      <c r="L767" s="578"/>
      <c r="M767" s="578"/>
      <c r="N767" s="578"/>
      <c r="O767" s="578"/>
      <c r="P767" s="578"/>
      <c r="Q767" s="578"/>
      <c r="R767" s="579"/>
    </row>
    <row r="768" spans="2:18">
      <c r="B768" s="569" t="s">
        <v>645</v>
      </c>
      <c r="C768" s="577" t="s">
        <v>646</v>
      </c>
      <c r="D768" s="577" t="s">
        <v>646</v>
      </c>
      <c r="E768" s="577" t="s">
        <v>647</v>
      </c>
      <c r="F768" s="577" t="s">
        <v>647</v>
      </c>
      <c r="G768" s="578">
        <v>120</v>
      </c>
      <c r="H768" s="578">
        <v>120</v>
      </c>
      <c r="I768" s="578">
        <v>120</v>
      </c>
      <c r="J768" s="578">
        <v>120</v>
      </c>
      <c r="K768" s="578">
        <v>120</v>
      </c>
      <c r="L768" s="578">
        <v>120</v>
      </c>
      <c r="M768" s="578">
        <v>120</v>
      </c>
      <c r="N768" s="578">
        <v>120</v>
      </c>
      <c r="O768" s="578">
        <v>120</v>
      </c>
      <c r="P768" s="578">
        <v>120</v>
      </c>
      <c r="Q768" s="578">
        <v>120</v>
      </c>
      <c r="R768" s="579">
        <v>120</v>
      </c>
    </row>
    <row r="769" spans="2:18">
      <c r="B769" s="569" t="s">
        <v>648</v>
      </c>
      <c r="C769" s="578">
        <f>C766+C767+C768</f>
        <v>-405</v>
      </c>
      <c r="D769" s="578">
        <f t="shared" ref="D769:R769" si="229">D766+D767+D768</f>
        <v>-405</v>
      </c>
      <c r="E769" s="578">
        <f t="shared" si="229"/>
        <v>-285</v>
      </c>
      <c r="F769" s="578">
        <f t="shared" si="229"/>
        <v>-285</v>
      </c>
      <c r="G769" s="578">
        <f t="shared" si="229"/>
        <v>-20</v>
      </c>
      <c r="H769" s="578">
        <f t="shared" si="229"/>
        <v>-20</v>
      </c>
      <c r="I769" s="578">
        <f t="shared" si="229"/>
        <v>25</v>
      </c>
      <c r="J769" s="578">
        <f t="shared" si="229"/>
        <v>305</v>
      </c>
      <c r="K769" s="578">
        <f t="shared" si="229"/>
        <v>305</v>
      </c>
      <c r="L769" s="578">
        <f t="shared" si="229"/>
        <v>305</v>
      </c>
      <c r="M769" s="578">
        <f t="shared" si="229"/>
        <v>305</v>
      </c>
      <c r="N769" s="578">
        <f t="shared" si="229"/>
        <v>305</v>
      </c>
      <c r="O769" s="578">
        <f t="shared" si="229"/>
        <v>305</v>
      </c>
      <c r="P769" s="578">
        <f t="shared" si="229"/>
        <v>305</v>
      </c>
      <c r="Q769" s="578">
        <f t="shared" si="229"/>
        <v>305</v>
      </c>
      <c r="R769" s="579">
        <f t="shared" si="229"/>
        <v>305</v>
      </c>
    </row>
    <row r="770" spans="2:18" ht="16" thickBot="1">
      <c r="B770" s="580" t="s">
        <v>649</v>
      </c>
      <c r="C770" s="581">
        <f>C769/(1+$C$2)^(C765-$C$3)</f>
        <v>-405</v>
      </c>
      <c r="D770" s="581">
        <f>D769/(1+$C$2)^(D765-$C$3)</f>
        <v>-364.05857459266912</v>
      </c>
      <c r="E770" s="581">
        <f t="shared" ref="E770:R770" si="230">E769/(1+$C$2)^(E765-$C$3)</f>
        <v>-230.29119972148825</v>
      </c>
      <c r="F770" s="581">
        <f t="shared" si="230"/>
        <v>-207.01107632553254</v>
      </c>
      <c r="G770" s="581">
        <f t="shared" si="230"/>
        <v>-13.058550118599543</v>
      </c>
      <c r="H770" s="581">
        <f t="shared" si="230"/>
        <v>-11.738462080059948</v>
      </c>
      <c r="I770" s="581">
        <f t="shared" si="230"/>
        <v>13.189777076471366</v>
      </c>
      <c r="J770" s="581">
        <f t="shared" si="230"/>
        <v>144.64836441529326</v>
      </c>
      <c r="K770" s="581">
        <f t="shared" si="230"/>
        <v>130.02587003998181</v>
      </c>
      <c r="L770" s="581">
        <f t="shared" si="230"/>
        <v>116.88156273315411</v>
      </c>
      <c r="M770" s="581">
        <f t="shared" si="230"/>
        <v>105.06601265381659</v>
      </c>
      <c r="N770" s="581">
        <f t="shared" si="230"/>
        <v>94.444895814527897</v>
      </c>
      <c r="O770" s="581">
        <f t="shared" si="230"/>
        <v>84.897467031580661</v>
      </c>
      <c r="P770" s="581">
        <f t="shared" si="230"/>
        <v>76.315187244556483</v>
      </c>
      <c r="Q770" s="581">
        <f t="shared" si="230"/>
        <v>68.600489600063895</v>
      </c>
      <c r="R770" s="582">
        <f t="shared" si="230"/>
        <v>61.665670271996241</v>
      </c>
    </row>
    <row r="771" spans="2:18" ht="15" thickBot="1"/>
    <row r="772" spans="2:18">
      <c r="B772" s="562" t="s">
        <v>650</v>
      </c>
      <c r="C772" s="583">
        <v>2009</v>
      </c>
      <c r="D772" s="583">
        <v>2010</v>
      </c>
      <c r="E772" s="583">
        <v>2011</v>
      </c>
      <c r="F772" s="583">
        <v>2012</v>
      </c>
      <c r="G772" s="583">
        <v>2013</v>
      </c>
      <c r="H772" s="583">
        <v>2014</v>
      </c>
      <c r="I772" s="583">
        <v>2015</v>
      </c>
      <c r="J772" s="583">
        <v>2016</v>
      </c>
      <c r="K772" s="583">
        <v>2017</v>
      </c>
      <c r="L772" s="583">
        <v>2018</v>
      </c>
      <c r="M772" s="583">
        <v>2019</v>
      </c>
      <c r="N772" s="583">
        <v>2020</v>
      </c>
      <c r="O772" s="583">
        <v>2021</v>
      </c>
      <c r="P772" s="583">
        <v>2022</v>
      </c>
      <c r="Q772" s="583">
        <v>2023</v>
      </c>
      <c r="R772" s="584">
        <v>2024</v>
      </c>
    </row>
    <row r="773" spans="2:18">
      <c r="B773" s="569"/>
      <c r="C773" s="578">
        <v>94.954999999999998</v>
      </c>
      <c r="D773" s="578">
        <v>94.954999999999998</v>
      </c>
      <c r="E773" s="578">
        <v>94.954999999999998</v>
      </c>
      <c r="F773" s="578">
        <v>94.954999999999998</v>
      </c>
      <c r="G773" s="578">
        <v>94.954999999999998</v>
      </c>
      <c r="H773" s="578">
        <v>94.954999999999998</v>
      </c>
      <c r="I773" s="578">
        <v>94.954999999999998</v>
      </c>
      <c r="J773" s="578">
        <v>94.954999999999998</v>
      </c>
      <c r="K773" s="578">
        <v>94.954999999999998</v>
      </c>
      <c r="L773" s="578">
        <v>94.954999999999998</v>
      </c>
      <c r="M773" s="578">
        <v>94.954999999999998</v>
      </c>
      <c r="N773" s="578">
        <v>94.954999999999998</v>
      </c>
      <c r="O773" s="578">
        <v>94.954999999999998</v>
      </c>
      <c r="P773" s="578">
        <v>94.954999999999998</v>
      </c>
      <c r="Q773" s="578">
        <v>94.954999999999998</v>
      </c>
      <c r="R773" s="579">
        <v>94.954999999999998</v>
      </c>
    </row>
    <row r="774" spans="2:18">
      <c r="B774" s="569" t="s">
        <v>648</v>
      </c>
      <c r="C774" s="585">
        <f>C246</f>
        <v>94.954999999999998</v>
      </c>
      <c r="D774" s="585">
        <f t="shared" ref="D774:R774" si="231">D246</f>
        <v>87.358599999999996</v>
      </c>
      <c r="E774" s="585">
        <f t="shared" si="231"/>
        <v>79.762199999999993</v>
      </c>
      <c r="F774" s="585">
        <f t="shared" si="231"/>
        <v>72.165800000000004</v>
      </c>
      <c r="G774" s="585">
        <f t="shared" si="231"/>
        <v>64.569399999999987</v>
      </c>
      <c r="H774" s="585">
        <f t="shared" si="231"/>
        <v>56.972999999999999</v>
      </c>
      <c r="I774" s="585">
        <f t="shared" si="231"/>
        <v>49.376600000000003</v>
      </c>
      <c r="J774" s="585">
        <f t="shared" si="231"/>
        <v>41.780199999999994</v>
      </c>
      <c r="K774" s="585">
        <f t="shared" si="231"/>
        <v>34.183799999999998</v>
      </c>
      <c r="L774" s="585">
        <f t="shared" si="231"/>
        <v>26.587400000000002</v>
      </c>
      <c r="M774" s="585">
        <f t="shared" si="231"/>
        <v>18.990999999999996</v>
      </c>
      <c r="N774" s="585">
        <f t="shared" si="231"/>
        <v>15.82583333333333</v>
      </c>
      <c r="O774" s="585">
        <f t="shared" si="231"/>
        <v>12.660666666666664</v>
      </c>
      <c r="P774" s="585">
        <f t="shared" si="231"/>
        <v>9.4954999999999981</v>
      </c>
      <c r="Q774" s="585">
        <f t="shared" si="231"/>
        <v>6.330333333333332</v>
      </c>
      <c r="R774" s="585">
        <f t="shared" si="231"/>
        <v>3.165166666666666</v>
      </c>
    </row>
    <row r="775" spans="2:18" ht="16" thickBot="1">
      <c r="B775" s="580" t="s">
        <v>651</v>
      </c>
      <c r="C775" s="581">
        <f>C774/(1+$C$2)^(C772-$C$3)</f>
        <v>94.954999999999998</v>
      </c>
      <c r="D775" s="581">
        <f t="shared" ref="D775:R775" si="232">D774/(1+$C$2)^(D772-$C$3)</f>
        <v>78.527524430644789</v>
      </c>
      <c r="E775" s="581">
        <f t="shared" si="232"/>
        <v>64.450992036579962</v>
      </c>
      <c r="F775" s="581">
        <f t="shared" si="232"/>
        <v>52.417964673309186</v>
      </c>
      <c r="G775" s="581">
        <f t="shared" si="232"/>
        <v>42.159137301395056</v>
      </c>
      <c r="H775" s="581">
        <f t="shared" si="232"/>
        <v>33.438770004362773</v>
      </c>
      <c r="I775" s="581">
        <f t="shared" si="232"/>
        <v>26.050653871763842</v>
      </c>
      <c r="J775" s="581">
        <f t="shared" si="232"/>
        <v>19.814549491619132</v>
      </c>
      <c r="K775" s="581">
        <f t="shared" si="232"/>
        <v>14.573043725484361</v>
      </c>
      <c r="L775" s="581">
        <f t="shared" si="232"/>
        <v>10.188776593480203</v>
      </c>
      <c r="M775" s="581">
        <f t="shared" si="232"/>
        <v>6.5419955616676413</v>
      </c>
      <c r="N775" s="581">
        <f t="shared" si="232"/>
        <v>4.900554689654915</v>
      </c>
      <c r="O775" s="581">
        <f t="shared" si="232"/>
        <v>3.5241263309218538</v>
      </c>
      <c r="P775" s="581">
        <f t="shared" si="232"/>
        <v>2.3759044605924129</v>
      </c>
      <c r="Q775" s="581">
        <f t="shared" si="232"/>
        <v>1.4238162819615443</v>
      </c>
      <c r="R775" s="582">
        <f t="shared" si="232"/>
        <v>0.63994139023796737</v>
      </c>
    </row>
    <row r="776" spans="2:18" ht="15" thickBot="1">
      <c r="C776" s="587"/>
      <c r="D776" s="587"/>
      <c r="E776" s="587"/>
      <c r="F776" s="587"/>
      <c r="G776" s="587"/>
      <c r="H776" s="587"/>
      <c r="I776" s="587"/>
      <c r="J776" s="587"/>
      <c r="K776" s="587"/>
      <c r="L776" s="587"/>
      <c r="M776" s="587"/>
      <c r="N776" s="587"/>
      <c r="O776" s="587"/>
      <c r="P776" s="587"/>
      <c r="Q776" s="587"/>
      <c r="R776" s="587"/>
    </row>
    <row r="777" spans="2:18">
      <c r="B777" s="562" t="s">
        <v>652</v>
      </c>
      <c r="C777" s="583">
        <v>2009</v>
      </c>
      <c r="D777" s="583">
        <v>2010</v>
      </c>
      <c r="E777" s="583">
        <v>2011</v>
      </c>
      <c r="F777" s="583">
        <v>2012</v>
      </c>
      <c r="G777" s="583">
        <v>2013</v>
      </c>
      <c r="H777" s="583">
        <v>2014</v>
      </c>
      <c r="I777" s="583">
        <v>2015</v>
      </c>
      <c r="J777" s="583">
        <v>2016</v>
      </c>
      <c r="K777" s="583">
        <v>2017</v>
      </c>
      <c r="L777" s="583">
        <v>2018</v>
      </c>
      <c r="M777" s="583">
        <v>2019</v>
      </c>
      <c r="N777" s="583">
        <v>2020</v>
      </c>
      <c r="O777" s="583">
        <v>2021</v>
      </c>
      <c r="P777" s="583">
        <v>2022</v>
      </c>
      <c r="Q777" s="583">
        <v>2023</v>
      </c>
      <c r="R777" s="584">
        <v>2024</v>
      </c>
    </row>
    <row r="778" spans="2:18">
      <c r="B778" s="588" t="s">
        <v>653</v>
      </c>
      <c r="C778" s="589">
        <f>V54</f>
        <v>-4.6523076923076925</v>
      </c>
      <c r="D778" s="589">
        <f>W54</f>
        <v>-16.728024760770847</v>
      </c>
      <c r="E778" s="589">
        <f>X54</f>
        <v>-37.460238859854911</v>
      </c>
      <c r="F778" s="589">
        <f>Y54</f>
        <v>-29.226507530881726</v>
      </c>
      <c r="G778" s="589">
        <f>Z54</f>
        <v>1.4483282966021924</v>
      </c>
      <c r="H778" s="589"/>
      <c r="I778" s="589"/>
      <c r="J778" s="589"/>
      <c r="K778" s="589"/>
      <c r="L778" s="578"/>
      <c r="M778" s="578"/>
      <c r="N778" s="578"/>
      <c r="O778" s="578"/>
      <c r="P778" s="578"/>
      <c r="Q778" s="578"/>
      <c r="R778" s="579"/>
    </row>
    <row r="779" spans="2:18">
      <c r="B779" s="590" t="s">
        <v>654</v>
      </c>
      <c r="C779" s="578"/>
      <c r="D779" s="578"/>
      <c r="E779" s="578"/>
      <c r="F779" s="578"/>
      <c r="G779" s="585"/>
      <c r="H779" s="585"/>
      <c r="I779" s="585"/>
      <c r="J779" s="585"/>
      <c r="K779" s="585"/>
      <c r="L779" s="585"/>
      <c r="M779" s="585"/>
      <c r="N779" s="585"/>
      <c r="O779" s="585"/>
      <c r="P779" s="585"/>
      <c r="Q779" s="585"/>
      <c r="R779" s="586"/>
    </row>
    <row r="780" spans="2:18">
      <c r="B780" s="592" t="s">
        <v>648</v>
      </c>
      <c r="C780" s="593">
        <f t="shared" ref="C780:R780" si="233">V64</f>
        <v>-4.6523076923076925</v>
      </c>
      <c r="D780" s="593">
        <f t="shared" si="233"/>
        <v>-18.60923076923077</v>
      </c>
      <c r="E780" s="593">
        <f t="shared" si="233"/>
        <v>-46.359427055702923</v>
      </c>
      <c r="F780" s="593">
        <f t="shared" si="233"/>
        <v>-40.237241379310348</v>
      </c>
      <c r="G780" s="593">
        <f t="shared" si="233"/>
        <v>2.2182068965517248</v>
      </c>
      <c r="H780" s="593">
        <f t="shared" si="233"/>
        <v>0</v>
      </c>
      <c r="I780" s="593">
        <f t="shared" si="233"/>
        <v>0</v>
      </c>
      <c r="J780" s="593">
        <f t="shared" si="233"/>
        <v>0</v>
      </c>
      <c r="K780" s="593">
        <f t="shared" si="233"/>
        <v>0</v>
      </c>
      <c r="L780" s="593">
        <f t="shared" si="233"/>
        <v>0</v>
      </c>
      <c r="M780" s="593">
        <f t="shared" si="233"/>
        <v>0</v>
      </c>
      <c r="N780" s="593">
        <f t="shared" si="233"/>
        <v>0</v>
      </c>
      <c r="O780" s="593">
        <f t="shared" si="233"/>
        <v>0</v>
      </c>
      <c r="P780" s="593">
        <f t="shared" si="233"/>
        <v>0</v>
      </c>
      <c r="Q780" s="593">
        <f t="shared" si="233"/>
        <v>0</v>
      </c>
      <c r="R780" s="593">
        <f t="shared" si="233"/>
        <v>0</v>
      </c>
    </row>
    <row r="781" spans="2:18" ht="16" thickBot="1">
      <c r="B781" s="597" t="str">
        <f>B748</f>
        <v>CF actualisés</v>
      </c>
      <c r="C781" s="598">
        <f t="shared" ref="C781:R781" si="234">C778+C779</f>
        <v>-4.6523076923076925</v>
      </c>
      <c r="D781" s="598">
        <f t="shared" si="234"/>
        <v>-16.728024760770847</v>
      </c>
      <c r="E781" s="598">
        <f t="shared" si="234"/>
        <v>-37.460238859854911</v>
      </c>
      <c r="F781" s="598">
        <f t="shared" si="234"/>
        <v>-29.226507530881726</v>
      </c>
      <c r="G781" s="598">
        <f t="shared" si="234"/>
        <v>1.4483282966021924</v>
      </c>
      <c r="H781" s="598">
        <f t="shared" si="234"/>
        <v>0</v>
      </c>
      <c r="I781" s="598">
        <f t="shared" si="234"/>
        <v>0</v>
      </c>
      <c r="J781" s="598">
        <f t="shared" si="234"/>
        <v>0</v>
      </c>
      <c r="K781" s="598">
        <f t="shared" si="234"/>
        <v>0</v>
      </c>
      <c r="L781" s="598">
        <f t="shared" si="234"/>
        <v>0</v>
      </c>
      <c r="M781" s="598">
        <f t="shared" si="234"/>
        <v>0</v>
      </c>
      <c r="N781" s="598">
        <f t="shared" si="234"/>
        <v>0</v>
      </c>
      <c r="O781" s="598">
        <f t="shared" si="234"/>
        <v>0</v>
      </c>
      <c r="P781" s="598">
        <f t="shared" si="234"/>
        <v>0</v>
      </c>
      <c r="Q781" s="598">
        <f t="shared" si="234"/>
        <v>0</v>
      </c>
      <c r="R781" s="599">
        <f t="shared" si="234"/>
        <v>0</v>
      </c>
    </row>
    <row r="782" spans="2:18" ht="16" thickBot="1">
      <c r="C782" s="603"/>
      <c r="D782" s="603"/>
      <c r="E782" s="603"/>
      <c r="F782" s="603"/>
      <c r="G782" s="603"/>
      <c r="H782" s="603"/>
      <c r="I782" s="603"/>
      <c r="J782" s="603"/>
      <c r="K782" s="603"/>
      <c r="L782" s="603"/>
      <c r="M782" s="603"/>
      <c r="N782" s="603"/>
      <c r="O782" s="603"/>
      <c r="P782" s="603"/>
      <c r="Q782" s="603"/>
      <c r="R782" s="603"/>
    </row>
    <row r="783" spans="2:18" ht="15.5">
      <c r="B783" s="607"/>
      <c r="C783" s="608">
        <v>2009</v>
      </c>
      <c r="D783" s="608">
        <v>2010</v>
      </c>
      <c r="E783" s="608">
        <v>2011</v>
      </c>
      <c r="F783" s="608">
        <v>2012</v>
      </c>
      <c r="G783" s="608">
        <v>2013</v>
      </c>
      <c r="H783" s="608">
        <v>2014</v>
      </c>
      <c r="I783" s="608">
        <v>2015</v>
      </c>
      <c r="J783" s="608">
        <v>2016</v>
      </c>
      <c r="K783" s="608">
        <v>2017</v>
      </c>
      <c r="L783" s="608">
        <v>2018</v>
      </c>
      <c r="M783" s="608">
        <v>2019</v>
      </c>
      <c r="N783" s="608">
        <v>2020</v>
      </c>
      <c r="O783" s="608">
        <v>2021</v>
      </c>
      <c r="P783" s="608">
        <v>2022</v>
      </c>
      <c r="Q783" s="608">
        <v>2023</v>
      </c>
      <c r="R783" s="609">
        <v>2024</v>
      </c>
    </row>
    <row r="784" spans="2:18" ht="15" thickBot="1">
      <c r="B784" s="610" t="s">
        <v>656</v>
      </c>
      <c r="C784" s="611">
        <f t="shared" ref="C784:R784" si="235">C781+C775+C770</f>
        <v>-314.69730769230767</v>
      </c>
      <c r="D784" s="611">
        <f t="shared" si="235"/>
        <v>-302.25907492279521</v>
      </c>
      <c r="E784" s="611">
        <f t="shared" si="235"/>
        <v>-203.30044654476319</v>
      </c>
      <c r="F784" s="611">
        <f t="shared" si="235"/>
        <v>-183.81961918310509</v>
      </c>
      <c r="G784" s="611">
        <f t="shared" si="235"/>
        <v>30.548915479397706</v>
      </c>
      <c r="H784" s="611">
        <f t="shared" si="235"/>
        <v>21.700307924302827</v>
      </c>
      <c r="I784" s="611">
        <f t="shared" si="235"/>
        <v>39.240430948235208</v>
      </c>
      <c r="J784" s="611">
        <f t="shared" si="235"/>
        <v>164.46291390691238</v>
      </c>
      <c r="K784" s="611">
        <f t="shared" si="235"/>
        <v>144.59891376546616</v>
      </c>
      <c r="L784" s="611">
        <f t="shared" si="235"/>
        <v>127.07033932663431</v>
      </c>
      <c r="M784" s="611">
        <f t="shared" si="235"/>
        <v>111.60800821548423</v>
      </c>
      <c r="N784" s="611">
        <f t="shared" si="235"/>
        <v>99.345450504182807</v>
      </c>
      <c r="O784" s="611">
        <f t="shared" si="235"/>
        <v>88.42159336250252</v>
      </c>
      <c r="P784" s="611">
        <f t="shared" si="235"/>
        <v>78.691091705148892</v>
      </c>
      <c r="Q784" s="611">
        <f t="shared" si="235"/>
        <v>70.024305882025445</v>
      </c>
      <c r="R784" s="612">
        <f t="shared" si="235"/>
        <v>62.305611662234206</v>
      </c>
    </row>
    <row r="785" spans="2:18" ht="15" thickBot="1">
      <c r="B785" s="613" t="str">
        <f>B752</f>
        <v>Trésorerie</v>
      </c>
      <c r="C785" s="614">
        <f>C789+C790+C780+C774+C769</f>
        <v>-63.717307692307656</v>
      </c>
      <c r="D785" s="615">
        <f>C785+D780+D774+D769</f>
        <v>-399.96793846153844</v>
      </c>
      <c r="E785" s="615">
        <f t="shared" ref="E785:R785" si="236">D785+E780+E774+E769</f>
        <v>-651.56516551724133</v>
      </c>
      <c r="F785" s="615">
        <f t="shared" si="236"/>
        <v>-904.63660689655171</v>
      </c>
      <c r="G785" s="615">
        <f t="shared" si="236"/>
        <v>-857.84900000000005</v>
      </c>
      <c r="H785" s="615">
        <f t="shared" si="236"/>
        <v>-820.87600000000009</v>
      </c>
      <c r="I785" s="615">
        <f t="shared" si="236"/>
        <v>-746.49940000000004</v>
      </c>
      <c r="J785" s="615">
        <f t="shared" si="236"/>
        <v>-399.7192</v>
      </c>
      <c r="K785" s="615">
        <f t="shared" si="236"/>
        <v>-60.535399999999981</v>
      </c>
      <c r="L785" s="615">
        <f t="shared" si="236"/>
        <v>271.05200000000002</v>
      </c>
      <c r="M785" s="615">
        <f t="shared" si="236"/>
        <v>595.04300000000001</v>
      </c>
      <c r="N785" s="615">
        <f t="shared" si="236"/>
        <v>915.86883333333333</v>
      </c>
      <c r="O785" s="615">
        <f t="shared" si="236"/>
        <v>1233.5295000000001</v>
      </c>
      <c r="P785" s="615">
        <f t="shared" si="236"/>
        <v>1548.0250000000001</v>
      </c>
      <c r="Q785" s="615">
        <f t="shared" si="236"/>
        <v>1859.3553333333334</v>
      </c>
      <c r="R785" s="615">
        <f t="shared" si="236"/>
        <v>2167.5205000000001</v>
      </c>
    </row>
    <row r="786" spans="2:18" ht="15" thickBot="1"/>
    <row r="787" spans="2:18">
      <c r="B787" s="1039" t="s">
        <v>658</v>
      </c>
      <c r="C787" s="1040"/>
    </row>
    <row r="788" spans="2:18" ht="15.5">
      <c r="B788" s="569" t="s">
        <v>360</v>
      </c>
      <c r="C788" s="617">
        <f>SUM(C784:R784)</f>
        <v>33.941434339555521</v>
      </c>
    </row>
    <row r="789" spans="2:18" ht="15.5">
      <c r="B789" s="569" t="s">
        <v>659</v>
      </c>
      <c r="C789" s="618">
        <f>155.21</f>
        <v>155.21</v>
      </c>
    </row>
    <row r="790" spans="2:18" ht="15.5">
      <c r="B790" s="569" t="s">
        <v>660</v>
      </c>
      <c r="C790" s="618">
        <f>95.77</f>
        <v>95.77</v>
      </c>
    </row>
    <row r="791" spans="2:18" ht="16" thickBot="1">
      <c r="B791" s="619" t="s">
        <v>661</v>
      </c>
      <c r="C791" s="620">
        <f>SUM(C788:C790)</f>
        <v>284.9214343395555</v>
      </c>
    </row>
    <row r="793" spans="2:18" ht="15.5">
      <c r="B793" s="10" t="s">
        <v>662</v>
      </c>
      <c r="C793" s="621">
        <v>15887450</v>
      </c>
    </row>
    <row r="794" spans="2:18">
      <c r="B794" s="10" t="s">
        <v>663</v>
      </c>
      <c r="C794" s="646">
        <f>(C791/C793)*1000000</f>
        <v>17.933742314818019</v>
      </c>
    </row>
    <row r="797" spans="2:18" ht="15" thickBot="1">
      <c r="B797" s="1041" t="s">
        <v>699</v>
      </c>
      <c r="C797" s="1041"/>
      <c r="D797" s="1041"/>
      <c r="E797" s="1041"/>
    </row>
    <row r="798" spans="2:18">
      <c r="B798" s="562" t="s">
        <v>638</v>
      </c>
      <c r="C798" s="563">
        <v>2009</v>
      </c>
      <c r="D798" s="563">
        <v>2010</v>
      </c>
      <c r="E798" s="563">
        <v>2011</v>
      </c>
      <c r="F798" s="563">
        <v>2012</v>
      </c>
      <c r="G798" s="563">
        <v>2013</v>
      </c>
      <c r="H798" s="563">
        <v>2014</v>
      </c>
      <c r="I798" s="563">
        <v>2015</v>
      </c>
      <c r="J798" s="563">
        <v>2016</v>
      </c>
      <c r="K798" s="563">
        <v>2017</v>
      </c>
      <c r="L798" s="563">
        <v>2018</v>
      </c>
      <c r="M798" s="563">
        <v>2019</v>
      </c>
      <c r="N798" s="563">
        <v>2020</v>
      </c>
      <c r="O798" s="563">
        <v>2021</v>
      </c>
      <c r="P798" s="563">
        <v>2022</v>
      </c>
      <c r="Q798" s="563">
        <v>2023</v>
      </c>
      <c r="R798" s="564">
        <v>2024</v>
      </c>
    </row>
    <row r="799" spans="2:18">
      <c r="B799" s="569" t="s">
        <v>640</v>
      </c>
      <c r="C799" s="570">
        <v>-105</v>
      </c>
      <c r="D799" s="570">
        <v>-105</v>
      </c>
      <c r="E799" s="570">
        <v>-105</v>
      </c>
      <c r="F799" s="570">
        <v>-105</v>
      </c>
      <c r="G799" s="570">
        <v>-95</v>
      </c>
      <c r="H799" s="570">
        <v>-95</v>
      </c>
      <c r="I799" s="570">
        <v>-95</v>
      </c>
      <c r="J799" s="571">
        <v>185</v>
      </c>
      <c r="K799" s="571">
        <v>185</v>
      </c>
      <c r="L799" s="571">
        <v>185</v>
      </c>
      <c r="M799" s="571">
        <v>185</v>
      </c>
      <c r="N799" s="571">
        <v>185</v>
      </c>
      <c r="O799" s="571">
        <v>185</v>
      </c>
      <c r="P799" s="571">
        <v>185</v>
      </c>
      <c r="Q799" s="571">
        <v>185</v>
      </c>
      <c r="R799" s="572">
        <v>185</v>
      </c>
    </row>
    <row r="800" spans="2:18">
      <c r="B800" s="569" t="s">
        <v>642</v>
      </c>
      <c r="C800" s="577" t="s">
        <v>643</v>
      </c>
      <c r="D800" s="577" t="s">
        <v>643</v>
      </c>
      <c r="E800" s="577" t="s">
        <v>643</v>
      </c>
      <c r="F800" s="577" t="s">
        <v>643</v>
      </c>
      <c r="G800" s="577"/>
      <c r="H800" s="577"/>
      <c r="I800" s="578"/>
      <c r="J800" s="578"/>
      <c r="K800" s="578"/>
      <c r="L800" s="578"/>
      <c r="M800" s="578"/>
      <c r="N800" s="578"/>
      <c r="O800" s="578"/>
      <c r="P800" s="578"/>
      <c r="Q800" s="578"/>
      <c r="R800" s="579"/>
    </row>
    <row r="801" spans="2:18">
      <c r="B801" s="569" t="s">
        <v>645</v>
      </c>
      <c r="C801" s="577" t="s">
        <v>646</v>
      </c>
      <c r="D801" s="577" t="s">
        <v>646</v>
      </c>
      <c r="E801" s="577" t="s">
        <v>647</v>
      </c>
      <c r="F801" s="577" t="s">
        <v>647</v>
      </c>
      <c r="G801" s="578">
        <v>120</v>
      </c>
      <c r="H801" s="578">
        <v>120</v>
      </c>
      <c r="I801" s="578">
        <v>120</v>
      </c>
      <c r="J801" s="578">
        <v>120</v>
      </c>
      <c r="K801" s="578">
        <v>120</v>
      </c>
      <c r="L801" s="578">
        <v>120</v>
      </c>
      <c r="M801" s="578">
        <v>120</v>
      </c>
      <c r="N801" s="578">
        <v>120</v>
      </c>
      <c r="O801" s="578">
        <v>120</v>
      </c>
      <c r="P801" s="578">
        <v>120</v>
      </c>
      <c r="Q801" s="578">
        <v>120</v>
      </c>
      <c r="R801" s="579">
        <v>120</v>
      </c>
    </row>
    <row r="802" spans="2:18">
      <c r="B802" s="569" t="s">
        <v>648</v>
      </c>
      <c r="C802" s="578">
        <f>C799+C800+C801</f>
        <v>-405</v>
      </c>
      <c r="D802" s="578">
        <f t="shared" ref="D802:R802" si="237">D799+D800+D801</f>
        <v>-405</v>
      </c>
      <c r="E802" s="578">
        <f t="shared" si="237"/>
        <v>-285</v>
      </c>
      <c r="F802" s="578">
        <f t="shared" si="237"/>
        <v>-285</v>
      </c>
      <c r="G802" s="578">
        <f t="shared" si="237"/>
        <v>25</v>
      </c>
      <c r="H802" s="578">
        <f t="shared" si="237"/>
        <v>25</v>
      </c>
      <c r="I802" s="578">
        <f t="shared" si="237"/>
        <v>25</v>
      </c>
      <c r="J802" s="578">
        <f t="shared" si="237"/>
        <v>305</v>
      </c>
      <c r="K802" s="578">
        <f t="shared" si="237"/>
        <v>305</v>
      </c>
      <c r="L802" s="578">
        <f t="shared" si="237"/>
        <v>305</v>
      </c>
      <c r="M802" s="578">
        <f t="shared" si="237"/>
        <v>305</v>
      </c>
      <c r="N802" s="578">
        <f t="shared" si="237"/>
        <v>305</v>
      </c>
      <c r="O802" s="578">
        <f t="shared" si="237"/>
        <v>305</v>
      </c>
      <c r="P802" s="578">
        <f t="shared" si="237"/>
        <v>305</v>
      </c>
      <c r="Q802" s="578">
        <f t="shared" si="237"/>
        <v>305</v>
      </c>
      <c r="R802" s="579">
        <f t="shared" si="237"/>
        <v>305</v>
      </c>
    </row>
    <row r="803" spans="2:18" ht="16" thickBot="1">
      <c r="B803" s="580" t="s">
        <v>649</v>
      </c>
      <c r="C803" s="581">
        <f>C802/(1+$C$2)^(C798-$C$3)</f>
        <v>-405</v>
      </c>
      <c r="D803" s="581">
        <f>D802/(1+$C$2)^(D798-$C$3)</f>
        <v>-364.05857459266912</v>
      </c>
      <c r="E803" s="581">
        <f t="shared" ref="E803:R803" si="238">E802/(1+$C$2)^(E798-$C$3)</f>
        <v>-230.29119972148825</v>
      </c>
      <c r="F803" s="581">
        <f t="shared" si="238"/>
        <v>-207.01107632553254</v>
      </c>
      <c r="G803" s="581">
        <f t="shared" si="238"/>
        <v>16.32318764824943</v>
      </c>
      <c r="H803" s="581">
        <f t="shared" si="238"/>
        <v>14.673077600074937</v>
      </c>
      <c r="I803" s="581">
        <f t="shared" si="238"/>
        <v>13.189777076471366</v>
      </c>
      <c r="J803" s="581">
        <f t="shared" si="238"/>
        <v>144.64836441529326</v>
      </c>
      <c r="K803" s="581">
        <f t="shared" si="238"/>
        <v>130.02587003998181</v>
      </c>
      <c r="L803" s="581">
        <f t="shared" si="238"/>
        <v>116.88156273315411</v>
      </c>
      <c r="M803" s="581">
        <f t="shared" si="238"/>
        <v>105.06601265381659</v>
      </c>
      <c r="N803" s="581">
        <f t="shared" si="238"/>
        <v>94.444895814527897</v>
      </c>
      <c r="O803" s="581">
        <f t="shared" si="238"/>
        <v>84.897467031580661</v>
      </c>
      <c r="P803" s="581">
        <f t="shared" si="238"/>
        <v>76.315187244556483</v>
      </c>
      <c r="Q803" s="581">
        <f t="shared" si="238"/>
        <v>68.600489600063895</v>
      </c>
      <c r="R803" s="582">
        <f t="shared" si="238"/>
        <v>61.665670271996241</v>
      </c>
    </row>
    <row r="804" spans="2:18" ht="15" thickBot="1"/>
    <row r="805" spans="2:18">
      <c r="B805" s="562" t="s">
        <v>650</v>
      </c>
      <c r="C805" s="583">
        <v>2009</v>
      </c>
      <c r="D805" s="583">
        <v>2010</v>
      </c>
      <c r="E805" s="583">
        <v>2011</v>
      </c>
      <c r="F805" s="583">
        <v>2012</v>
      </c>
      <c r="G805" s="583">
        <v>2013</v>
      </c>
      <c r="H805" s="583">
        <v>2014</v>
      </c>
      <c r="I805" s="583">
        <v>2015</v>
      </c>
      <c r="J805" s="583">
        <v>2016</v>
      </c>
      <c r="K805" s="583">
        <v>2017</v>
      </c>
      <c r="L805" s="583">
        <v>2018</v>
      </c>
      <c r="M805" s="583">
        <v>2019</v>
      </c>
      <c r="N805" s="583">
        <v>2020</v>
      </c>
      <c r="O805" s="583">
        <v>2021</v>
      </c>
      <c r="P805" s="583">
        <v>2022</v>
      </c>
      <c r="Q805" s="583">
        <v>2023</v>
      </c>
      <c r="R805" s="584">
        <v>2024</v>
      </c>
    </row>
    <row r="806" spans="2:18">
      <c r="B806" s="569"/>
      <c r="C806" s="578">
        <v>94.954999999999998</v>
      </c>
      <c r="D806" s="578">
        <v>94.954999999999998</v>
      </c>
      <c r="E806" s="578">
        <v>94.954999999999998</v>
      </c>
      <c r="F806" s="578">
        <v>94.954999999999998</v>
      </c>
      <c r="G806" s="578">
        <v>94.954999999999998</v>
      </c>
      <c r="H806" s="578">
        <v>94.954999999999998</v>
      </c>
      <c r="I806" s="578">
        <v>94.954999999999998</v>
      </c>
      <c r="J806" s="578">
        <v>94.954999999999998</v>
      </c>
      <c r="K806" s="578">
        <v>94.954999999999998</v>
      </c>
      <c r="L806" s="578">
        <v>94.954999999999998</v>
      </c>
      <c r="M806" s="578">
        <v>94.954999999999998</v>
      </c>
      <c r="N806" s="578">
        <v>94.954999999999998</v>
      </c>
      <c r="O806" s="578">
        <v>94.954999999999998</v>
      </c>
      <c r="P806" s="578">
        <v>94.954999999999998</v>
      </c>
      <c r="Q806" s="578">
        <v>94.954999999999998</v>
      </c>
      <c r="R806" s="579">
        <v>94.954999999999998</v>
      </c>
    </row>
    <row r="807" spans="2:18">
      <c r="B807" s="569" t="s">
        <v>648</v>
      </c>
      <c r="C807" s="585">
        <f>C246</f>
        <v>94.954999999999998</v>
      </c>
      <c r="D807" s="585">
        <f t="shared" ref="D807:R807" si="239">D246</f>
        <v>87.358599999999996</v>
      </c>
      <c r="E807" s="585">
        <f t="shared" si="239"/>
        <v>79.762199999999993</v>
      </c>
      <c r="F807" s="585">
        <f t="shared" si="239"/>
        <v>72.165800000000004</v>
      </c>
      <c r="G807" s="585">
        <f t="shared" si="239"/>
        <v>64.569399999999987</v>
      </c>
      <c r="H807" s="585">
        <f t="shared" si="239"/>
        <v>56.972999999999999</v>
      </c>
      <c r="I807" s="585">
        <f t="shared" si="239"/>
        <v>49.376600000000003</v>
      </c>
      <c r="J807" s="585">
        <f t="shared" si="239"/>
        <v>41.780199999999994</v>
      </c>
      <c r="K807" s="585">
        <f t="shared" si="239"/>
        <v>34.183799999999998</v>
      </c>
      <c r="L807" s="585">
        <f t="shared" si="239"/>
        <v>26.587400000000002</v>
      </c>
      <c r="M807" s="585">
        <f t="shared" si="239"/>
        <v>18.990999999999996</v>
      </c>
      <c r="N807" s="585">
        <f t="shared" si="239"/>
        <v>15.82583333333333</v>
      </c>
      <c r="O807" s="585">
        <f t="shared" si="239"/>
        <v>12.660666666666664</v>
      </c>
      <c r="P807" s="585">
        <f t="shared" si="239"/>
        <v>9.4954999999999981</v>
      </c>
      <c r="Q807" s="585">
        <f t="shared" si="239"/>
        <v>6.330333333333332</v>
      </c>
      <c r="R807" s="585">
        <f t="shared" si="239"/>
        <v>3.165166666666666</v>
      </c>
    </row>
    <row r="808" spans="2:18" ht="16" thickBot="1">
      <c r="B808" s="580" t="s">
        <v>651</v>
      </c>
      <c r="C808" s="581">
        <f>C807/(1+$C$2)^(C805-$C$3)</f>
        <v>94.954999999999998</v>
      </c>
      <c r="D808" s="581">
        <f t="shared" ref="D808:R808" si="240">D807/(1+$C$2)^(D805-$C$3)</f>
        <v>78.527524430644789</v>
      </c>
      <c r="E808" s="581">
        <f t="shared" si="240"/>
        <v>64.450992036579962</v>
      </c>
      <c r="F808" s="581">
        <f t="shared" si="240"/>
        <v>52.417964673309186</v>
      </c>
      <c r="G808" s="581">
        <f t="shared" si="240"/>
        <v>42.159137301395056</v>
      </c>
      <c r="H808" s="581">
        <f t="shared" si="240"/>
        <v>33.438770004362773</v>
      </c>
      <c r="I808" s="581">
        <f t="shared" si="240"/>
        <v>26.050653871763842</v>
      </c>
      <c r="J808" s="581">
        <f t="shared" si="240"/>
        <v>19.814549491619132</v>
      </c>
      <c r="K808" s="581">
        <f t="shared" si="240"/>
        <v>14.573043725484361</v>
      </c>
      <c r="L808" s="581">
        <f t="shared" si="240"/>
        <v>10.188776593480203</v>
      </c>
      <c r="M808" s="581">
        <f t="shared" si="240"/>
        <v>6.5419955616676413</v>
      </c>
      <c r="N808" s="581">
        <f t="shared" si="240"/>
        <v>4.900554689654915</v>
      </c>
      <c r="O808" s="581">
        <f t="shared" si="240"/>
        <v>3.5241263309218538</v>
      </c>
      <c r="P808" s="581">
        <f t="shared" si="240"/>
        <v>2.3759044605924129</v>
      </c>
      <c r="Q808" s="581">
        <f t="shared" si="240"/>
        <v>1.4238162819615443</v>
      </c>
      <c r="R808" s="582">
        <f t="shared" si="240"/>
        <v>0.63994139023796737</v>
      </c>
    </row>
    <row r="809" spans="2:18" ht="15" thickBot="1">
      <c r="C809" s="587"/>
      <c r="D809" s="587"/>
      <c r="E809" s="587"/>
      <c r="F809" s="587"/>
      <c r="G809" s="587"/>
      <c r="H809" s="587"/>
      <c r="I809" s="587"/>
      <c r="J809" s="587"/>
      <c r="K809" s="587"/>
      <c r="L809" s="587"/>
      <c r="M809" s="587"/>
      <c r="N809" s="587"/>
      <c r="O809" s="587"/>
      <c r="P809" s="587"/>
      <c r="Q809" s="587"/>
      <c r="R809" s="587"/>
    </row>
    <row r="810" spans="2:18">
      <c r="B810" s="562" t="s">
        <v>652</v>
      </c>
      <c r="C810" s="583">
        <v>2009</v>
      </c>
      <c r="D810" s="583">
        <v>2010</v>
      </c>
      <c r="E810" s="583">
        <v>2011</v>
      </c>
      <c r="F810" s="583">
        <v>2012</v>
      </c>
      <c r="G810" s="583">
        <v>2013</v>
      </c>
      <c r="H810" s="583">
        <v>2014</v>
      </c>
      <c r="I810" s="583">
        <v>2015</v>
      </c>
      <c r="J810" s="583">
        <v>2016</v>
      </c>
      <c r="K810" s="583">
        <v>2017</v>
      </c>
      <c r="L810" s="583">
        <v>2018</v>
      </c>
      <c r="M810" s="583">
        <v>2019</v>
      </c>
      <c r="N810" s="583">
        <v>2020</v>
      </c>
      <c r="O810" s="583">
        <v>2021</v>
      </c>
      <c r="P810" s="583">
        <v>2022</v>
      </c>
      <c r="Q810" s="583">
        <v>2023</v>
      </c>
      <c r="R810" s="584">
        <v>2024</v>
      </c>
    </row>
    <row r="811" spans="2:18">
      <c r="B811" s="588" t="s">
        <v>653</v>
      </c>
      <c r="C811" s="589">
        <f>V54</f>
        <v>-4.6523076923076925</v>
      </c>
      <c r="D811" s="589">
        <f>W54</f>
        <v>-16.728024760770847</v>
      </c>
      <c r="E811" s="589">
        <f>X54</f>
        <v>-37.460238859854911</v>
      </c>
      <c r="F811" s="589">
        <f>Y54</f>
        <v>-29.226507530881726</v>
      </c>
      <c r="G811" s="589">
        <f>Z54</f>
        <v>1.4483282966021924</v>
      </c>
      <c r="H811" s="589"/>
      <c r="I811" s="589"/>
      <c r="J811" s="589"/>
      <c r="K811" s="589"/>
      <c r="L811" s="578"/>
      <c r="M811" s="578"/>
      <c r="N811" s="578"/>
      <c r="O811" s="578"/>
      <c r="P811" s="578"/>
      <c r="Q811" s="578"/>
      <c r="R811" s="579"/>
    </row>
    <row r="812" spans="2:18">
      <c r="B812" s="590" t="s">
        <v>654</v>
      </c>
      <c r="C812" s="578"/>
      <c r="D812" s="578"/>
      <c r="E812" s="578"/>
      <c r="F812" s="578"/>
      <c r="G812" s="585"/>
      <c r="H812" s="585"/>
      <c r="I812" s="585"/>
      <c r="J812" s="585"/>
      <c r="K812" s="585"/>
      <c r="L812" s="585"/>
      <c r="M812" s="585"/>
      <c r="N812" s="585"/>
      <c r="O812" s="585"/>
      <c r="P812" s="585"/>
      <c r="Q812" s="585"/>
      <c r="R812" s="586"/>
    </row>
    <row r="813" spans="2:18">
      <c r="B813" s="592" t="s">
        <v>648</v>
      </c>
      <c r="C813" s="593">
        <f t="shared" ref="C813:R813" si="241">V64</f>
        <v>-4.6523076923076925</v>
      </c>
      <c r="D813" s="593">
        <f t="shared" si="241"/>
        <v>-18.60923076923077</v>
      </c>
      <c r="E813" s="593">
        <f t="shared" si="241"/>
        <v>-46.359427055702923</v>
      </c>
      <c r="F813" s="593">
        <f t="shared" si="241"/>
        <v>-40.237241379310348</v>
      </c>
      <c r="G813" s="593">
        <f t="shared" si="241"/>
        <v>2.2182068965517248</v>
      </c>
      <c r="H813" s="593">
        <f t="shared" si="241"/>
        <v>0</v>
      </c>
      <c r="I813" s="593">
        <f t="shared" si="241"/>
        <v>0</v>
      </c>
      <c r="J813" s="593">
        <f t="shared" si="241"/>
        <v>0</v>
      </c>
      <c r="K813" s="593">
        <f t="shared" si="241"/>
        <v>0</v>
      </c>
      <c r="L813" s="593">
        <f t="shared" si="241"/>
        <v>0</v>
      </c>
      <c r="M813" s="593">
        <f t="shared" si="241"/>
        <v>0</v>
      </c>
      <c r="N813" s="593">
        <f t="shared" si="241"/>
        <v>0</v>
      </c>
      <c r="O813" s="593">
        <f t="shared" si="241"/>
        <v>0</v>
      </c>
      <c r="P813" s="593">
        <f t="shared" si="241"/>
        <v>0</v>
      </c>
      <c r="Q813" s="593">
        <f t="shared" si="241"/>
        <v>0</v>
      </c>
      <c r="R813" s="593">
        <f t="shared" si="241"/>
        <v>0</v>
      </c>
    </row>
    <row r="814" spans="2:18" ht="16" thickBot="1">
      <c r="B814" s="597" t="str">
        <f>B781</f>
        <v>CF actualisés</v>
      </c>
      <c r="C814" s="598">
        <f t="shared" ref="C814:R814" si="242">C811+C812</f>
        <v>-4.6523076923076925</v>
      </c>
      <c r="D814" s="598">
        <f t="shared" si="242"/>
        <v>-16.728024760770847</v>
      </c>
      <c r="E814" s="598">
        <f t="shared" si="242"/>
        <v>-37.460238859854911</v>
      </c>
      <c r="F814" s="598">
        <f t="shared" si="242"/>
        <v>-29.226507530881726</v>
      </c>
      <c r="G814" s="598">
        <f t="shared" si="242"/>
        <v>1.4483282966021924</v>
      </c>
      <c r="H814" s="598">
        <f t="shared" si="242"/>
        <v>0</v>
      </c>
      <c r="I814" s="598">
        <f t="shared" si="242"/>
        <v>0</v>
      </c>
      <c r="J814" s="598">
        <f t="shared" si="242"/>
        <v>0</v>
      </c>
      <c r="K814" s="598">
        <f t="shared" si="242"/>
        <v>0</v>
      </c>
      <c r="L814" s="598">
        <f t="shared" si="242"/>
        <v>0</v>
      </c>
      <c r="M814" s="598">
        <f t="shared" si="242"/>
        <v>0</v>
      </c>
      <c r="N814" s="598">
        <f t="shared" si="242"/>
        <v>0</v>
      </c>
      <c r="O814" s="598">
        <f t="shared" si="242"/>
        <v>0</v>
      </c>
      <c r="P814" s="598">
        <f t="shared" si="242"/>
        <v>0</v>
      </c>
      <c r="Q814" s="598">
        <f t="shared" si="242"/>
        <v>0</v>
      </c>
      <c r="R814" s="599">
        <f t="shared" si="242"/>
        <v>0</v>
      </c>
    </row>
    <row r="815" spans="2:18" ht="16" thickBot="1">
      <c r="C815" s="603"/>
      <c r="D815" s="603"/>
      <c r="E815" s="603"/>
      <c r="F815" s="603"/>
      <c r="G815" s="603"/>
      <c r="H815" s="603"/>
      <c r="I815" s="603"/>
      <c r="J815" s="603"/>
      <c r="K815" s="603"/>
      <c r="L815" s="603"/>
      <c r="M815" s="603"/>
      <c r="N815" s="603"/>
      <c r="O815" s="603"/>
      <c r="P815" s="603"/>
      <c r="Q815" s="603"/>
      <c r="R815" s="603"/>
    </row>
    <row r="816" spans="2:18" ht="15.5">
      <c r="B816" s="607"/>
      <c r="C816" s="608">
        <v>2009</v>
      </c>
      <c r="D816" s="608">
        <v>2010</v>
      </c>
      <c r="E816" s="608">
        <v>2011</v>
      </c>
      <c r="F816" s="608">
        <v>2012</v>
      </c>
      <c r="G816" s="608">
        <v>2013</v>
      </c>
      <c r="H816" s="608">
        <v>2014</v>
      </c>
      <c r="I816" s="608">
        <v>2015</v>
      </c>
      <c r="J816" s="608">
        <v>2016</v>
      </c>
      <c r="K816" s="608">
        <v>2017</v>
      </c>
      <c r="L816" s="608">
        <v>2018</v>
      </c>
      <c r="M816" s="608">
        <v>2019</v>
      </c>
      <c r="N816" s="608">
        <v>2020</v>
      </c>
      <c r="O816" s="608">
        <v>2021</v>
      </c>
      <c r="P816" s="608">
        <v>2022</v>
      </c>
      <c r="Q816" s="608">
        <v>2023</v>
      </c>
      <c r="R816" s="609">
        <v>2024</v>
      </c>
    </row>
    <row r="817" spans="2:18" ht="15" thickBot="1">
      <c r="B817" s="610" t="s">
        <v>656</v>
      </c>
      <c r="C817" s="611">
        <f t="shared" ref="C817:R817" si="243">C814+C808+C803</f>
        <v>-314.69730769230767</v>
      </c>
      <c r="D817" s="611">
        <f t="shared" si="243"/>
        <v>-302.25907492279521</v>
      </c>
      <c r="E817" s="611">
        <f t="shared" si="243"/>
        <v>-203.30044654476319</v>
      </c>
      <c r="F817" s="611">
        <f t="shared" si="243"/>
        <v>-183.81961918310509</v>
      </c>
      <c r="G817" s="611">
        <f t="shared" si="243"/>
        <v>59.930653246246678</v>
      </c>
      <c r="H817" s="611">
        <f t="shared" si="243"/>
        <v>48.111847604437713</v>
      </c>
      <c r="I817" s="611">
        <f t="shared" si="243"/>
        <v>39.240430948235208</v>
      </c>
      <c r="J817" s="611">
        <f t="shared" si="243"/>
        <v>164.46291390691238</v>
      </c>
      <c r="K817" s="611">
        <f t="shared" si="243"/>
        <v>144.59891376546616</v>
      </c>
      <c r="L817" s="611">
        <f t="shared" si="243"/>
        <v>127.07033932663431</v>
      </c>
      <c r="M817" s="611">
        <f t="shared" si="243"/>
        <v>111.60800821548423</v>
      </c>
      <c r="N817" s="611">
        <f t="shared" si="243"/>
        <v>99.345450504182807</v>
      </c>
      <c r="O817" s="611">
        <f t="shared" si="243"/>
        <v>88.42159336250252</v>
      </c>
      <c r="P817" s="611">
        <f t="shared" si="243"/>
        <v>78.691091705148892</v>
      </c>
      <c r="Q817" s="611">
        <f t="shared" si="243"/>
        <v>70.024305882025445</v>
      </c>
      <c r="R817" s="612">
        <f t="shared" si="243"/>
        <v>62.305611662234206</v>
      </c>
    </row>
    <row r="818" spans="2:18" ht="15" thickBot="1">
      <c r="B818" s="613" t="str">
        <f>B785</f>
        <v>Trésorerie</v>
      </c>
      <c r="C818" s="614">
        <f>C822+C823+C813+C807+C802</f>
        <v>-63.717307692307656</v>
      </c>
      <c r="D818" s="615">
        <f>C818+D813+D807+D802</f>
        <v>-399.96793846153844</v>
      </c>
      <c r="E818" s="615">
        <f t="shared" ref="E818:R818" si="244">D818+E812+E806+E801</f>
        <v>-380.01293846153845</v>
      </c>
      <c r="F818" s="615">
        <f t="shared" si="244"/>
        <v>-360.05793846153847</v>
      </c>
      <c r="G818" s="615">
        <f t="shared" si="244"/>
        <v>-145.10293846153849</v>
      </c>
      <c r="H818" s="615">
        <f t="shared" si="244"/>
        <v>69.852061538461513</v>
      </c>
      <c r="I818" s="615">
        <f t="shared" si="244"/>
        <v>284.80706153846154</v>
      </c>
      <c r="J818" s="615">
        <f t="shared" si="244"/>
        <v>499.76206153846152</v>
      </c>
      <c r="K818" s="615">
        <f t="shared" si="244"/>
        <v>714.71706153846151</v>
      </c>
      <c r="L818" s="615">
        <f t="shared" si="244"/>
        <v>929.67206153846155</v>
      </c>
      <c r="M818" s="615">
        <f t="shared" si="244"/>
        <v>1144.6270615384615</v>
      </c>
      <c r="N818" s="615">
        <f t="shared" si="244"/>
        <v>1359.5820615384614</v>
      </c>
      <c r="O818" s="615">
        <f t="shared" si="244"/>
        <v>1574.5370615384613</v>
      </c>
      <c r="P818" s="615">
        <f t="shared" si="244"/>
        <v>1789.4920615384613</v>
      </c>
      <c r="Q818" s="615">
        <f t="shared" si="244"/>
        <v>2004.4470615384612</v>
      </c>
      <c r="R818" s="616">
        <f t="shared" si="244"/>
        <v>2219.4020615384611</v>
      </c>
    </row>
    <row r="819" spans="2:18" ht="15" thickBot="1"/>
    <row r="820" spans="2:18">
      <c r="B820" s="1039" t="s">
        <v>658</v>
      </c>
      <c r="C820" s="1040"/>
    </row>
    <row r="821" spans="2:18" ht="15.5">
      <c r="B821" s="569" t="s">
        <v>360</v>
      </c>
      <c r="C821" s="617">
        <f>SUM(C817:R817)</f>
        <v>89.734711786539435</v>
      </c>
    </row>
    <row r="822" spans="2:18" ht="15.5">
      <c r="B822" s="569" t="s">
        <v>659</v>
      </c>
      <c r="C822" s="618">
        <f>155.21</f>
        <v>155.21</v>
      </c>
    </row>
    <row r="823" spans="2:18" ht="15.5">
      <c r="B823" s="569" t="s">
        <v>660</v>
      </c>
      <c r="C823" s="618">
        <f>95.77</f>
        <v>95.77</v>
      </c>
    </row>
    <row r="824" spans="2:18" ht="16" thickBot="1">
      <c r="B824" s="619" t="s">
        <v>661</v>
      </c>
      <c r="C824" s="620">
        <f>SUM(C821:C823)</f>
        <v>340.71471178653945</v>
      </c>
    </row>
    <row r="826" spans="2:18" ht="15.5">
      <c r="B826" s="10" t="s">
        <v>662</v>
      </c>
      <c r="C826" s="621">
        <v>15887450</v>
      </c>
    </row>
    <row r="827" spans="2:18">
      <c r="B827" s="10" t="s">
        <v>663</v>
      </c>
      <c r="C827" s="646">
        <f>(C824/C826)*1000000</f>
        <v>21.445525354071261</v>
      </c>
    </row>
    <row r="830" spans="2:18" ht="15" thickBot="1">
      <c r="B830" s="1041" t="s">
        <v>700</v>
      </c>
      <c r="C830" s="1041"/>
      <c r="D830" s="1041"/>
      <c r="E830" s="1041"/>
    </row>
    <row r="831" spans="2:18">
      <c r="B831" s="562" t="s">
        <v>638</v>
      </c>
      <c r="C831" s="563">
        <v>2009</v>
      </c>
      <c r="D831" s="563">
        <v>2010</v>
      </c>
      <c r="E831" s="563">
        <v>2011</v>
      </c>
      <c r="F831" s="563">
        <v>2012</v>
      </c>
      <c r="G831" s="563">
        <v>2013</v>
      </c>
      <c r="H831" s="563">
        <v>2014</v>
      </c>
      <c r="I831" s="563">
        <v>2015</v>
      </c>
      <c r="J831" s="563">
        <v>2016</v>
      </c>
      <c r="K831" s="563">
        <v>2017</v>
      </c>
      <c r="L831" s="563">
        <v>2018</v>
      </c>
      <c r="M831" s="563">
        <v>2019</v>
      </c>
      <c r="N831" s="563">
        <v>2020</v>
      </c>
      <c r="O831" s="563">
        <v>2021</v>
      </c>
      <c r="P831" s="563">
        <v>2022</v>
      </c>
      <c r="Q831" s="563">
        <v>2023</v>
      </c>
      <c r="R831" s="564">
        <v>2024</v>
      </c>
    </row>
    <row r="832" spans="2:18">
      <c r="B832" s="569" t="s">
        <v>640</v>
      </c>
      <c r="C832" s="570">
        <v>-105</v>
      </c>
      <c r="D832" s="570">
        <v>-105</v>
      </c>
      <c r="E832" s="570">
        <v>-105</v>
      </c>
      <c r="F832" s="570">
        <v>-105</v>
      </c>
      <c r="G832" s="570">
        <v>-95</v>
      </c>
      <c r="H832" s="570">
        <v>-95</v>
      </c>
      <c r="I832" s="570">
        <v>-95</v>
      </c>
      <c r="J832" s="571">
        <v>185</v>
      </c>
      <c r="K832" s="571">
        <v>185</v>
      </c>
      <c r="L832" s="571">
        <v>185</v>
      </c>
      <c r="M832" s="571">
        <v>185</v>
      </c>
      <c r="N832" s="571">
        <v>185</v>
      </c>
      <c r="O832" s="571">
        <v>185</v>
      </c>
      <c r="P832" s="571">
        <v>185</v>
      </c>
      <c r="Q832" s="571">
        <v>185</v>
      </c>
      <c r="R832" s="572">
        <v>185</v>
      </c>
    </row>
    <row r="833" spans="2:18">
      <c r="B833" s="569" t="s">
        <v>642</v>
      </c>
      <c r="C833" s="577" t="s">
        <v>643</v>
      </c>
      <c r="D833" s="577" t="s">
        <v>643</v>
      </c>
      <c r="E833" s="577" t="s">
        <v>643</v>
      </c>
      <c r="F833" s="577" t="s">
        <v>643</v>
      </c>
      <c r="G833" s="577" t="s">
        <v>644</v>
      </c>
      <c r="H833" s="577" t="s">
        <v>644</v>
      </c>
      <c r="I833" s="578">
        <v>115</v>
      </c>
      <c r="J833" s="578">
        <v>115</v>
      </c>
      <c r="K833" s="578">
        <v>115</v>
      </c>
      <c r="L833" s="578">
        <v>115</v>
      </c>
      <c r="M833" s="578">
        <v>115</v>
      </c>
      <c r="N833" s="578">
        <v>115</v>
      </c>
      <c r="O833" s="578">
        <v>115</v>
      </c>
      <c r="P833" s="578">
        <v>115</v>
      </c>
      <c r="Q833" s="578">
        <v>115</v>
      </c>
      <c r="R833" s="579">
        <v>115</v>
      </c>
    </row>
    <row r="834" spans="2:18">
      <c r="B834" s="569" t="s">
        <v>645</v>
      </c>
      <c r="C834" s="577" t="s">
        <v>646</v>
      </c>
      <c r="D834" s="577" t="s">
        <v>646</v>
      </c>
      <c r="E834" s="577" t="s">
        <v>647</v>
      </c>
      <c r="F834" s="577" t="s">
        <v>647</v>
      </c>
      <c r="G834" s="578"/>
      <c r="H834" s="578"/>
      <c r="I834" s="578"/>
      <c r="J834" s="578"/>
      <c r="K834" s="578"/>
      <c r="L834" s="578"/>
      <c r="M834" s="578"/>
      <c r="N834" s="578"/>
      <c r="O834" s="578"/>
      <c r="P834" s="578"/>
      <c r="Q834" s="578"/>
      <c r="R834" s="579"/>
    </row>
    <row r="835" spans="2:18">
      <c r="B835" s="569" t="s">
        <v>648</v>
      </c>
      <c r="C835" s="578">
        <f>C832+C833+C834</f>
        <v>-405</v>
      </c>
      <c r="D835" s="578">
        <f t="shared" ref="D835:R835" si="245">D832+D833+D834</f>
        <v>-405</v>
      </c>
      <c r="E835" s="578">
        <f t="shared" si="245"/>
        <v>-285</v>
      </c>
      <c r="F835" s="578">
        <f t="shared" si="245"/>
        <v>-285</v>
      </c>
      <c r="G835" s="578">
        <f t="shared" si="245"/>
        <v>-140</v>
      </c>
      <c r="H835" s="578">
        <f t="shared" si="245"/>
        <v>-140</v>
      </c>
      <c r="I835" s="578">
        <f t="shared" si="245"/>
        <v>20</v>
      </c>
      <c r="J835" s="578">
        <f t="shared" si="245"/>
        <v>300</v>
      </c>
      <c r="K835" s="578">
        <f t="shared" si="245"/>
        <v>300</v>
      </c>
      <c r="L835" s="578">
        <f t="shared" si="245"/>
        <v>300</v>
      </c>
      <c r="M835" s="578">
        <f t="shared" si="245"/>
        <v>300</v>
      </c>
      <c r="N835" s="578">
        <f t="shared" si="245"/>
        <v>300</v>
      </c>
      <c r="O835" s="578">
        <f t="shared" si="245"/>
        <v>300</v>
      </c>
      <c r="P835" s="578">
        <f t="shared" si="245"/>
        <v>300</v>
      </c>
      <c r="Q835" s="578">
        <f t="shared" si="245"/>
        <v>300</v>
      </c>
      <c r="R835" s="579">
        <f t="shared" si="245"/>
        <v>300</v>
      </c>
    </row>
    <row r="836" spans="2:18" ht="16" thickBot="1">
      <c r="B836" s="580" t="s">
        <v>649</v>
      </c>
      <c r="C836" s="581">
        <f>C835/(1+$C$2)^(C831-$C$3)</f>
        <v>-405</v>
      </c>
      <c r="D836" s="581">
        <f>D835/(1+$C$2)^(D831-$C$3)</f>
        <v>-364.05857459266912</v>
      </c>
      <c r="E836" s="581">
        <f t="shared" ref="E836:R836" si="246">E835/(1+$C$2)^(E831-$C$3)</f>
        <v>-230.29119972148825</v>
      </c>
      <c r="F836" s="581">
        <f t="shared" si="246"/>
        <v>-207.01107632553254</v>
      </c>
      <c r="G836" s="581">
        <f t="shared" si="246"/>
        <v>-91.409850830196802</v>
      </c>
      <c r="H836" s="581">
        <f t="shared" si="246"/>
        <v>-82.169234560419639</v>
      </c>
      <c r="I836" s="581">
        <f t="shared" si="246"/>
        <v>10.551821661177092</v>
      </c>
      <c r="J836" s="581">
        <f t="shared" si="246"/>
        <v>142.27707975274748</v>
      </c>
      <c r="K836" s="581">
        <f t="shared" si="246"/>
        <v>127.89429839998211</v>
      </c>
      <c r="L836" s="581">
        <f t="shared" si="246"/>
        <v>114.96547154080733</v>
      </c>
      <c r="M836" s="581">
        <f t="shared" si="246"/>
        <v>103.34361900375403</v>
      </c>
      <c r="N836" s="581">
        <f t="shared" si="246"/>
        <v>92.896618833961867</v>
      </c>
      <c r="O836" s="581">
        <f t="shared" si="246"/>
        <v>83.505705276964591</v>
      </c>
      <c r="P836" s="581">
        <f t="shared" si="246"/>
        <v>75.064118601203091</v>
      </c>
      <c r="Q836" s="581">
        <f t="shared" si="246"/>
        <v>67.475891409898907</v>
      </c>
      <c r="R836" s="582">
        <f t="shared" si="246"/>
        <v>60.654757644586468</v>
      </c>
    </row>
    <row r="837" spans="2:18" ht="15" thickBot="1"/>
    <row r="838" spans="2:18">
      <c r="B838" s="562" t="s">
        <v>650</v>
      </c>
      <c r="C838" s="583">
        <v>2009</v>
      </c>
      <c r="D838" s="583">
        <v>2010</v>
      </c>
      <c r="E838" s="583">
        <v>2011</v>
      </c>
      <c r="F838" s="583">
        <v>2012</v>
      </c>
      <c r="G838" s="583">
        <v>2013</v>
      </c>
      <c r="H838" s="583">
        <v>2014</v>
      </c>
      <c r="I838" s="583">
        <v>2015</v>
      </c>
      <c r="J838" s="583">
        <v>2016</v>
      </c>
      <c r="K838" s="583">
        <v>2017</v>
      </c>
      <c r="L838" s="583">
        <v>2018</v>
      </c>
      <c r="M838" s="583">
        <v>2019</v>
      </c>
      <c r="N838" s="583">
        <v>2020</v>
      </c>
      <c r="O838" s="583">
        <v>2021</v>
      </c>
      <c r="P838" s="583">
        <v>2022</v>
      </c>
      <c r="Q838" s="583">
        <v>2023</v>
      </c>
      <c r="R838" s="584">
        <v>2024</v>
      </c>
    </row>
    <row r="839" spans="2:18">
      <c r="B839" s="569"/>
      <c r="C839" s="578">
        <v>94.954999999999998</v>
      </c>
      <c r="D839" s="578">
        <v>94.954999999999998</v>
      </c>
      <c r="E839" s="578">
        <v>94.954999999999998</v>
      </c>
      <c r="F839" s="578">
        <v>94.954999999999998</v>
      </c>
      <c r="G839" s="578">
        <v>94.954999999999998</v>
      </c>
      <c r="H839" s="578">
        <v>94.954999999999998</v>
      </c>
      <c r="I839" s="578">
        <v>94.954999999999998</v>
      </c>
      <c r="J839" s="578">
        <v>94.954999999999998</v>
      </c>
      <c r="K839" s="578">
        <v>94.954999999999998</v>
      </c>
      <c r="L839" s="578">
        <v>94.954999999999998</v>
      </c>
      <c r="M839" s="578">
        <v>94.954999999999998</v>
      </c>
      <c r="N839" s="578">
        <v>94.954999999999998</v>
      </c>
      <c r="O839" s="578">
        <v>94.954999999999998</v>
      </c>
      <c r="P839" s="578">
        <v>94.954999999999998</v>
      </c>
      <c r="Q839" s="578">
        <v>94.954999999999998</v>
      </c>
      <c r="R839" s="579">
        <v>94.954999999999998</v>
      </c>
    </row>
    <row r="840" spans="2:18">
      <c r="B840" s="569" t="s">
        <v>648</v>
      </c>
      <c r="C840" s="585">
        <f>C246</f>
        <v>94.954999999999998</v>
      </c>
      <c r="D840" s="585">
        <f t="shared" ref="D840:R840" si="247">D246</f>
        <v>87.358599999999996</v>
      </c>
      <c r="E840" s="585">
        <f t="shared" si="247"/>
        <v>79.762199999999993</v>
      </c>
      <c r="F840" s="585">
        <f t="shared" si="247"/>
        <v>72.165800000000004</v>
      </c>
      <c r="G840" s="585">
        <f t="shared" si="247"/>
        <v>64.569399999999987</v>
      </c>
      <c r="H840" s="585">
        <f t="shared" si="247"/>
        <v>56.972999999999999</v>
      </c>
      <c r="I840" s="585">
        <f t="shared" si="247"/>
        <v>49.376600000000003</v>
      </c>
      <c r="J840" s="585">
        <f t="shared" si="247"/>
        <v>41.780199999999994</v>
      </c>
      <c r="K840" s="585">
        <f t="shared" si="247"/>
        <v>34.183799999999998</v>
      </c>
      <c r="L840" s="585">
        <f t="shared" si="247"/>
        <v>26.587400000000002</v>
      </c>
      <c r="M840" s="585">
        <f t="shared" si="247"/>
        <v>18.990999999999996</v>
      </c>
      <c r="N840" s="585">
        <f t="shared" si="247"/>
        <v>15.82583333333333</v>
      </c>
      <c r="O840" s="585">
        <f t="shared" si="247"/>
        <v>12.660666666666664</v>
      </c>
      <c r="P840" s="585">
        <f t="shared" si="247"/>
        <v>9.4954999999999981</v>
      </c>
      <c r="Q840" s="585">
        <f t="shared" si="247"/>
        <v>6.330333333333332</v>
      </c>
      <c r="R840" s="585">
        <f t="shared" si="247"/>
        <v>3.165166666666666</v>
      </c>
    </row>
    <row r="841" spans="2:18" ht="16" thickBot="1">
      <c r="B841" s="580" t="s">
        <v>651</v>
      </c>
      <c r="C841" s="581">
        <f>C840/(1+$C$2)^(C838-$C$3)</f>
        <v>94.954999999999998</v>
      </c>
      <c r="D841" s="581">
        <f t="shared" ref="D841:R841" si="248">D840/(1+$C$2)^(D838-$C$3)</f>
        <v>78.527524430644789</v>
      </c>
      <c r="E841" s="581">
        <f t="shared" si="248"/>
        <v>64.450992036579962</v>
      </c>
      <c r="F841" s="581">
        <f t="shared" si="248"/>
        <v>52.417964673309186</v>
      </c>
      <c r="G841" s="581">
        <f t="shared" si="248"/>
        <v>42.159137301395056</v>
      </c>
      <c r="H841" s="581">
        <f t="shared" si="248"/>
        <v>33.438770004362773</v>
      </c>
      <c r="I841" s="581">
        <f t="shared" si="248"/>
        <v>26.050653871763842</v>
      </c>
      <c r="J841" s="581">
        <f t="shared" si="248"/>
        <v>19.814549491619132</v>
      </c>
      <c r="K841" s="581">
        <f t="shared" si="248"/>
        <v>14.573043725484361</v>
      </c>
      <c r="L841" s="581">
        <f t="shared" si="248"/>
        <v>10.188776593480203</v>
      </c>
      <c r="M841" s="581">
        <f t="shared" si="248"/>
        <v>6.5419955616676413</v>
      </c>
      <c r="N841" s="581">
        <f t="shared" si="248"/>
        <v>4.900554689654915</v>
      </c>
      <c r="O841" s="581">
        <f t="shared" si="248"/>
        <v>3.5241263309218538</v>
      </c>
      <c r="P841" s="581">
        <f t="shared" si="248"/>
        <v>2.3759044605924129</v>
      </c>
      <c r="Q841" s="581">
        <f t="shared" si="248"/>
        <v>1.4238162819615443</v>
      </c>
      <c r="R841" s="582">
        <f t="shared" si="248"/>
        <v>0.63994139023796737</v>
      </c>
    </row>
    <row r="842" spans="2:18" ht="15" thickBot="1">
      <c r="C842" s="587"/>
      <c r="D842" s="587"/>
      <c r="E842" s="587"/>
      <c r="F842" s="587"/>
      <c r="G842" s="587"/>
      <c r="H842" s="587"/>
      <c r="I842" s="587"/>
      <c r="J842" s="587"/>
      <c r="K842" s="587"/>
      <c r="L842" s="587"/>
      <c r="M842" s="587"/>
      <c r="N842" s="587"/>
      <c r="O842" s="587"/>
      <c r="P842" s="587"/>
      <c r="Q842" s="587"/>
      <c r="R842" s="587"/>
    </row>
    <row r="843" spans="2:18">
      <c r="B843" s="562" t="s">
        <v>652</v>
      </c>
      <c r="C843" s="583">
        <v>2009</v>
      </c>
      <c r="D843" s="583">
        <v>2010</v>
      </c>
      <c r="E843" s="583">
        <v>2011</v>
      </c>
      <c r="F843" s="583">
        <v>2012</v>
      </c>
      <c r="G843" s="583">
        <v>2013</v>
      </c>
      <c r="H843" s="583">
        <v>2014</v>
      </c>
      <c r="I843" s="583">
        <v>2015</v>
      </c>
      <c r="J843" s="583">
        <v>2016</v>
      </c>
      <c r="K843" s="583">
        <v>2017</v>
      </c>
      <c r="L843" s="583">
        <v>2018</v>
      </c>
      <c r="M843" s="583">
        <v>2019</v>
      </c>
      <c r="N843" s="583">
        <v>2020</v>
      </c>
      <c r="O843" s="583">
        <v>2021</v>
      </c>
      <c r="P843" s="583">
        <v>2022</v>
      </c>
      <c r="Q843" s="583">
        <v>2023</v>
      </c>
      <c r="R843" s="584">
        <v>2024</v>
      </c>
    </row>
    <row r="844" spans="2:18">
      <c r="B844" s="588" t="s">
        <v>653</v>
      </c>
      <c r="C844" s="589">
        <f>V54</f>
        <v>-4.6523076923076925</v>
      </c>
      <c r="D844" s="589">
        <f>W54</f>
        <v>-16.728024760770847</v>
      </c>
      <c r="E844" s="589">
        <f>X54</f>
        <v>-37.460238859854911</v>
      </c>
      <c r="F844" s="589">
        <f>Y54</f>
        <v>-29.226507530881726</v>
      </c>
      <c r="G844" s="589">
        <f>Z54</f>
        <v>1.4483282966021924</v>
      </c>
      <c r="H844" s="589"/>
      <c r="I844" s="589"/>
      <c r="J844" s="589"/>
      <c r="K844" s="589"/>
      <c r="L844" s="578"/>
      <c r="M844" s="578"/>
      <c r="N844" s="578"/>
      <c r="O844" s="578"/>
      <c r="P844" s="578"/>
      <c r="Q844" s="578"/>
      <c r="R844" s="579"/>
    </row>
    <row r="845" spans="2:18">
      <c r="B845" s="590" t="s">
        <v>654</v>
      </c>
      <c r="C845" s="578"/>
      <c r="D845" s="578"/>
      <c r="E845" s="578"/>
      <c r="F845" s="578"/>
      <c r="G845" s="585"/>
      <c r="H845" s="585"/>
      <c r="I845" s="585"/>
      <c r="J845" s="585"/>
      <c r="K845" s="585"/>
      <c r="L845" s="585"/>
      <c r="M845" s="585"/>
      <c r="N845" s="585"/>
      <c r="O845" s="585"/>
      <c r="P845" s="585"/>
      <c r="Q845" s="585"/>
      <c r="R845" s="586"/>
    </row>
    <row r="846" spans="2:18">
      <c r="B846" s="592" t="s">
        <v>648</v>
      </c>
      <c r="C846" s="593">
        <f t="shared" ref="C846:R846" si="249">V64</f>
        <v>-4.6523076923076925</v>
      </c>
      <c r="D846" s="593">
        <f t="shared" si="249"/>
        <v>-18.60923076923077</v>
      </c>
      <c r="E846" s="593">
        <f t="shared" si="249"/>
        <v>-46.359427055702923</v>
      </c>
      <c r="F846" s="593">
        <f t="shared" si="249"/>
        <v>-40.237241379310348</v>
      </c>
      <c r="G846" s="593">
        <f t="shared" si="249"/>
        <v>2.2182068965517248</v>
      </c>
      <c r="H846" s="593">
        <f t="shared" si="249"/>
        <v>0</v>
      </c>
      <c r="I846" s="593">
        <f t="shared" si="249"/>
        <v>0</v>
      </c>
      <c r="J846" s="593">
        <f t="shared" si="249"/>
        <v>0</v>
      </c>
      <c r="K846" s="593">
        <f t="shared" si="249"/>
        <v>0</v>
      </c>
      <c r="L846" s="593">
        <f t="shared" si="249"/>
        <v>0</v>
      </c>
      <c r="M846" s="593">
        <f t="shared" si="249"/>
        <v>0</v>
      </c>
      <c r="N846" s="593">
        <f t="shared" si="249"/>
        <v>0</v>
      </c>
      <c r="O846" s="593">
        <f t="shared" si="249"/>
        <v>0</v>
      </c>
      <c r="P846" s="593">
        <f t="shared" si="249"/>
        <v>0</v>
      </c>
      <c r="Q846" s="593">
        <f t="shared" si="249"/>
        <v>0</v>
      </c>
      <c r="R846" s="593">
        <f t="shared" si="249"/>
        <v>0</v>
      </c>
    </row>
    <row r="847" spans="2:18" ht="16" thickBot="1">
      <c r="B847" s="597" t="str">
        <f>B814</f>
        <v>CF actualisés</v>
      </c>
      <c r="C847" s="598">
        <f t="shared" ref="C847:R847" si="250">C844+C845</f>
        <v>-4.6523076923076925</v>
      </c>
      <c r="D847" s="598">
        <f t="shared" si="250"/>
        <v>-16.728024760770847</v>
      </c>
      <c r="E847" s="598">
        <f t="shared" si="250"/>
        <v>-37.460238859854911</v>
      </c>
      <c r="F847" s="598">
        <f t="shared" si="250"/>
        <v>-29.226507530881726</v>
      </c>
      <c r="G847" s="598">
        <f t="shared" si="250"/>
        <v>1.4483282966021924</v>
      </c>
      <c r="H847" s="598">
        <f t="shared" si="250"/>
        <v>0</v>
      </c>
      <c r="I847" s="598">
        <f t="shared" si="250"/>
        <v>0</v>
      </c>
      <c r="J847" s="598">
        <f t="shared" si="250"/>
        <v>0</v>
      </c>
      <c r="K847" s="598">
        <f t="shared" si="250"/>
        <v>0</v>
      </c>
      <c r="L847" s="598">
        <f t="shared" si="250"/>
        <v>0</v>
      </c>
      <c r="M847" s="598">
        <f t="shared" si="250"/>
        <v>0</v>
      </c>
      <c r="N847" s="598">
        <f t="shared" si="250"/>
        <v>0</v>
      </c>
      <c r="O847" s="598">
        <f t="shared" si="250"/>
        <v>0</v>
      </c>
      <c r="P847" s="598">
        <f t="shared" si="250"/>
        <v>0</v>
      </c>
      <c r="Q847" s="598">
        <f t="shared" si="250"/>
        <v>0</v>
      </c>
      <c r="R847" s="599">
        <f t="shared" si="250"/>
        <v>0</v>
      </c>
    </row>
    <row r="848" spans="2:18" ht="16" thickBot="1">
      <c r="C848" s="603"/>
      <c r="D848" s="603"/>
      <c r="E848" s="603"/>
      <c r="F848" s="603"/>
      <c r="G848" s="603"/>
      <c r="H848" s="603"/>
      <c r="I848" s="603"/>
      <c r="J848" s="603"/>
      <c r="K848" s="603"/>
      <c r="L848" s="603"/>
      <c r="M848" s="603"/>
      <c r="N848" s="603"/>
      <c r="O848" s="603"/>
      <c r="P848" s="603"/>
      <c r="Q848" s="603"/>
      <c r="R848" s="603"/>
    </row>
    <row r="849" spans="2:18" ht="15.5">
      <c r="B849" s="607"/>
      <c r="C849" s="608">
        <v>2009</v>
      </c>
      <c r="D849" s="608">
        <v>2010</v>
      </c>
      <c r="E849" s="608">
        <v>2011</v>
      </c>
      <c r="F849" s="608">
        <v>2012</v>
      </c>
      <c r="G849" s="608">
        <v>2013</v>
      </c>
      <c r="H849" s="608">
        <v>2014</v>
      </c>
      <c r="I849" s="608">
        <v>2015</v>
      </c>
      <c r="J849" s="608">
        <v>2016</v>
      </c>
      <c r="K849" s="608">
        <v>2017</v>
      </c>
      <c r="L849" s="608">
        <v>2018</v>
      </c>
      <c r="M849" s="608">
        <v>2019</v>
      </c>
      <c r="N849" s="608">
        <v>2020</v>
      </c>
      <c r="O849" s="608">
        <v>2021</v>
      </c>
      <c r="P849" s="608">
        <v>2022</v>
      </c>
      <c r="Q849" s="608">
        <v>2023</v>
      </c>
      <c r="R849" s="609">
        <v>2024</v>
      </c>
    </row>
    <row r="850" spans="2:18" ht="15" thickBot="1">
      <c r="B850" s="610" t="s">
        <v>656</v>
      </c>
      <c r="C850" s="611">
        <f t="shared" ref="C850:R850" si="251">C847+C841+C836</f>
        <v>-314.69730769230767</v>
      </c>
      <c r="D850" s="611">
        <f t="shared" si="251"/>
        <v>-302.25907492279521</v>
      </c>
      <c r="E850" s="611">
        <f t="shared" si="251"/>
        <v>-203.30044654476319</v>
      </c>
      <c r="F850" s="611">
        <f t="shared" si="251"/>
        <v>-183.81961918310509</v>
      </c>
      <c r="G850" s="611">
        <f t="shared" si="251"/>
        <v>-47.802385232199555</v>
      </c>
      <c r="H850" s="611">
        <f t="shared" si="251"/>
        <v>-48.730464556056866</v>
      </c>
      <c r="I850" s="611">
        <f t="shared" si="251"/>
        <v>36.602475532940936</v>
      </c>
      <c r="J850" s="611">
        <f t="shared" si="251"/>
        <v>162.09162924436663</v>
      </c>
      <c r="K850" s="611">
        <f t="shared" si="251"/>
        <v>142.46734212546647</v>
      </c>
      <c r="L850" s="611">
        <f t="shared" si="251"/>
        <v>125.15424813428753</v>
      </c>
      <c r="M850" s="611">
        <f t="shared" si="251"/>
        <v>109.88561456542168</v>
      </c>
      <c r="N850" s="611">
        <f t="shared" si="251"/>
        <v>97.797173523616777</v>
      </c>
      <c r="O850" s="611">
        <f t="shared" si="251"/>
        <v>87.02983160788645</v>
      </c>
      <c r="P850" s="611">
        <f t="shared" si="251"/>
        <v>77.4400230617955</v>
      </c>
      <c r="Q850" s="611">
        <f t="shared" si="251"/>
        <v>68.899707691860456</v>
      </c>
      <c r="R850" s="612">
        <f t="shared" si="251"/>
        <v>61.294699034824433</v>
      </c>
    </row>
    <row r="851" spans="2:18" ht="15" thickBot="1">
      <c r="B851" s="613" t="str">
        <f>B818</f>
        <v>Trésorerie</v>
      </c>
      <c r="C851" s="614">
        <f>C855+C856+C846+C840+C835</f>
        <v>-63.717307692307656</v>
      </c>
      <c r="D851" s="615">
        <f>C851+D846+D840+D835</f>
        <v>-399.96793846153844</v>
      </c>
      <c r="E851" s="615">
        <f t="shared" ref="E851:R851" si="252">D851+E846+E840+E835</f>
        <v>-651.56516551724133</v>
      </c>
      <c r="F851" s="615">
        <f t="shared" si="252"/>
        <v>-904.63660689655171</v>
      </c>
      <c r="G851" s="615">
        <f t="shared" si="252"/>
        <v>-977.84900000000005</v>
      </c>
      <c r="H851" s="615">
        <f t="shared" si="252"/>
        <v>-1060.8760000000002</v>
      </c>
      <c r="I851" s="615">
        <f t="shared" si="252"/>
        <v>-991.49940000000015</v>
      </c>
      <c r="J851" s="615">
        <f t="shared" si="252"/>
        <v>-649.71920000000011</v>
      </c>
      <c r="K851" s="615">
        <f t="shared" si="252"/>
        <v>-315.5354000000001</v>
      </c>
      <c r="L851" s="615">
        <f t="shared" si="252"/>
        <v>11.051999999999907</v>
      </c>
      <c r="M851" s="615">
        <f t="shared" si="252"/>
        <v>330.04299999999989</v>
      </c>
      <c r="N851" s="615">
        <f t="shared" si="252"/>
        <v>645.86883333333321</v>
      </c>
      <c r="O851" s="615">
        <f t="shared" si="252"/>
        <v>958.52949999999987</v>
      </c>
      <c r="P851" s="615">
        <f t="shared" si="252"/>
        <v>1268.0249999999999</v>
      </c>
      <c r="Q851" s="615">
        <f t="shared" si="252"/>
        <v>1574.3553333333332</v>
      </c>
      <c r="R851" s="615">
        <f t="shared" si="252"/>
        <v>1877.5204999999999</v>
      </c>
    </row>
    <row r="852" spans="2:18" ht="15" thickBot="1"/>
    <row r="853" spans="2:18">
      <c r="B853" s="1039" t="s">
        <v>658</v>
      </c>
      <c r="C853" s="1040"/>
    </row>
    <row r="854" spans="2:18" ht="15.5">
      <c r="B854" s="569" t="s">
        <v>360</v>
      </c>
      <c r="C854" s="617">
        <f>SUM(C850:R850)</f>
        <v>-131.94655360876084</v>
      </c>
    </row>
    <row r="855" spans="2:18" ht="15.5">
      <c r="B855" s="569" t="s">
        <v>659</v>
      </c>
      <c r="C855" s="618">
        <f>155.21</f>
        <v>155.21</v>
      </c>
    </row>
    <row r="856" spans="2:18" ht="15.5">
      <c r="B856" s="569" t="s">
        <v>660</v>
      </c>
      <c r="C856" s="618">
        <f>95.77</f>
        <v>95.77</v>
      </c>
    </row>
    <row r="857" spans="2:18" ht="16" thickBot="1">
      <c r="B857" s="619" t="s">
        <v>661</v>
      </c>
      <c r="C857" s="620">
        <f>SUM(C854:C856)</f>
        <v>119.03344639123917</v>
      </c>
    </row>
    <row r="859" spans="2:18" ht="15.5">
      <c r="B859" s="10" t="s">
        <v>662</v>
      </c>
      <c r="C859" s="621">
        <v>15887450</v>
      </c>
    </row>
    <row r="860" spans="2:18">
      <c r="B860" s="10" t="s">
        <v>663</v>
      </c>
      <c r="C860" s="646">
        <f>(C857/C859)*1000000</f>
        <v>7.4922940050945348</v>
      </c>
    </row>
    <row r="863" spans="2:18" ht="15" thickBot="1">
      <c r="B863" s="1041" t="s">
        <v>701</v>
      </c>
      <c r="C863" s="1041"/>
      <c r="D863" s="1041"/>
      <c r="E863" s="1041"/>
    </row>
    <row r="864" spans="2:18">
      <c r="B864" s="562" t="s">
        <v>638</v>
      </c>
      <c r="C864" s="563">
        <v>2009</v>
      </c>
      <c r="D864" s="563">
        <v>2010</v>
      </c>
      <c r="E864" s="563">
        <v>2011</v>
      </c>
      <c r="F864" s="563">
        <v>2012</v>
      </c>
      <c r="G864" s="563">
        <v>2013</v>
      </c>
      <c r="H864" s="563">
        <v>2014</v>
      </c>
      <c r="I864" s="563">
        <v>2015</v>
      </c>
      <c r="J864" s="563">
        <v>2016</v>
      </c>
      <c r="K864" s="563">
        <v>2017</v>
      </c>
      <c r="L864" s="563">
        <v>2018</v>
      </c>
      <c r="M864" s="563">
        <v>2019</v>
      </c>
      <c r="N864" s="563">
        <v>2020</v>
      </c>
      <c r="O864" s="563">
        <v>2021</v>
      </c>
      <c r="P864" s="563">
        <v>2022</v>
      </c>
      <c r="Q864" s="563">
        <v>2023</v>
      </c>
      <c r="R864" s="564">
        <v>2024</v>
      </c>
    </row>
    <row r="865" spans="2:18">
      <c r="B865" s="569" t="s">
        <v>640</v>
      </c>
      <c r="C865" s="570">
        <v>-105</v>
      </c>
      <c r="D865" s="570">
        <v>-105</v>
      </c>
      <c r="E865" s="570">
        <v>-105</v>
      </c>
      <c r="F865" s="570">
        <v>-105</v>
      </c>
      <c r="G865" s="570">
        <v>-95</v>
      </c>
      <c r="H865" s="570">
        <v>-95</v>
      </c>
      <c r="I865" s="570">
        <v>-95</v>
      </c>
      <c r="J865" s="571">
        <v>185</v>
      </c>
      <c r="K865" s="571">
        <v>185</v>
      </c>
      <c r="L865" s="571">
        <v>185</v>
      </c>
      <c r="M865" s="571">
        <v>185</v>
      </c>
      <c r="N865" s="571">
        <v>185</v>
      </c>
      <c r="O865" s="571">
        <v>185</v>
      </c>
      <c r="P865" s="571">
        <v>185</v>
      </c>
      <c r="Q865" s="571">
        <v>185</v>
      </c>
      <c r="R865" s="572">
        <v>185</v>
      </c>
    </row>
    <row r="866" spans="2:18">
      <c r="B866" s="569" t="s">
        <v>642</v>
      </c>
      <c r="C866" s="577" t="s">
        <v>643</v>
      </c>
      <c r="D866" s="577" t="s">
        <v>643</v>
      </c>
      <c r="E866" s="577" t="s">
        <v>643</v>
      </c>
      <c r="F866" s="577" t="s">
        <v>643</v>
      </c>
      <c r="G866" s="577" t="s">
        <v>644</v>
      </c>
      <c r="H866" s="577" t="s">
        <v>644</v>
      </c>
      <c r="I866" s="578">
        <v>115</v>
      </c>
      <c r="J866" s="578">
        <v>115</v>
      </c>
      <c r="K866" s="578">
        <v>115</v>
      </c>
      <c r="L866" s="578">
        <v>115</v>
      </c>
      <c r="M866" s="578">
        <v>115</v>
      </c>
      <c r="N866" s="578">
        <v>115</v>
      </c>
      <c r="O866" s="578">
        <v>115</v>
      </c>
      <c r="P866" s="578">
        <v>115</v>
      </c>
      <c r="Q866" s="578">
        <v>115</v>
      </c>
      <c r="R866" s="579">
        <v>115</v>
      </c>
    </row>
    <row r="867" spans="2:18">
      <c r="B867" s="569" t="s">
        <v>645</v>
      </c>
      <c r="C867" s="577" t="s">
        <v>646</v>
      </c>
      <c r="D867" s="577" t="s">
        <v>646</v>
      </c>
      <c r="E867" s="577"/>
      <c r="F867" s="577"/>
      <c r="G867" s="578"/>
      <c r="H867" s="578"/>
      <c r="I867" s="578"/>
      <c r="J867" s="578"/>
      <c r="K867" s="578"/>
      <c r="L867" s="578"/>
      <c r="M867" s="578"/>
      <c r="N867" s="578"/>
      <c r="O867" s="578"/>
      <c r="P867" s="578"/>
      <c r="Q867" s="578"/>
      <c r="R867" s="579"/>
    </row>
    <row r="868" spans="2:18">
      <c r="B868" s="569" t="s">
        <v>648</v>
      </c>
      <c r="C868" s="578">
        <f>C865+C866+C867</f>
        <v>-405</v>
      </c>
      <c r="D868" s="578">
        <f t="shared" ref="D868:R868" si="253">D865+D866+D867</f>
        <v>-405</v>
      </c>
      <c r="E868" s="578">
        <f t="shared" si="253"/>
        <v>-210</v>
      </c>
      <c r="F868" s="578">
        <f t="shared" si="253"/>
        <v>-210</v>
      </c>
      <c r="G868" s="578">
        <f t="shared" si="253"/>
        <v>-140</v>
      </c>
      <c r="H868" s="578">
        <f t="shared" si="253"/>
        <v>-140</v>
      </c>
      <c r="I868" s="578">
        <f t="shared" si="253"/>
        <v>20</v>
      </c>
      <c r="J868" s="578">
        <f t="shared" si="253"/>
        <v>300</v>
      </c>
      <c r="K868" s="578">
        <f t="shared" si="253"/>
        <v>300</v>
      </c>
      <c r="L868" s="578">
        <f t="shared" si="253"/>
        <v>300</v>
      </c>
      <c r="M868" s="578">
        <f t="shared" si="253"/>
        <v>300</v>
      </c>
      <c r="N868" s="578">
        <f t="shared" si="253"/>
        <v>300</v>
      </c>
      <c r="O868" s="578">
        <f t="shared" si="253"/>
        <v>300</v>
      </c>
      <c r="P868" s="578">
        <f t="shared" si="253"/>
        <v>300</v>
      </c>
      <c r="Q868" s="578">
        <f t="shared" si="253"/>
        <v>300</v>
      </c>
      <c r="R868" s="579">
        <f t="shared" si="253"/>
        <v>300</v>
      </c>
    </row>
    <row r="869" spans="2:18" ht="16" thickBot="1">
      <c r="B869" s="580" t="s">
        <v>649</v>
      </c>
      <c r="C869" s="581">
        <f>C868/(1+$C$2)^(C864-$C$3)</f>
        <v>-405</v>
      </c>
      <c r="D869" s="581">
        <f>D868/(1+$C$2)^(D864-$C$3)</f>
        <v>-364.05857459266912</v>
      </c>
      <c r="E869" s="581">
        <f t="shared" ref="E869:R869" si="254">E868/(1+$C$2)^(E864-$C$3)</f>
        <v>-169.68825242635978</v>
      </c>
      <c r="F869" s="581">
        <f t="shared" si="254"/>
        <v>-152.53447729249768</v>
      </c>
      <c r="G869" s="581">
        <f t="shared" si="254"/>
        <v>-91.409850830196802</v>
      </c>
      <c r="H869" s="581">
        <f t="shared" si="254"/>
        <v>-82.169234560419639</v>
      </c>
      <c r="I869" s="581">
        <f t="shared" si="254"/>
        <v>10.551821661177092</v>
      </c>
      <c r="J869" s="581">
        <f t="shared" si="254"/>
        <v>142.27707975274748</v>
      </c>
      <c r="K869" s="581">
        <f t="shared" si="254"/>
        <v>127.89429839998211</v>
      </c>
      <c r="L869" s="581">
        <f t="shared" si="254"/>
        <v>114.96547154080733</v>
      </c>
      <c r="M869" s="581">
        <f t="shared" si="254"/>
        <v>103.34361900375403</v>
      </c>
      <c r="N869" s="581">
        <f t="shared" si="254"/>
        <v>92.896618833961867</v>
      </c>
      <c r="O869" s="581">
        <f t="shared" si="254"/>
        <v>83.505705276964591</v>
      </c>
      <c r="P869" s="581">
        <f t="shared" si="254"/>
        <v>75.064118601203091</v>
      </c>
      <c r="Q869" s="581">
        <f t="shared" si="254"/>
        <v>67.475891409898907</v>
      </c>
      <c r="R869" s="582">
        <f t="shared" si="254"/>
        <v>60.654757644586468</v>
      </c>
    </row>
    <row r="870" spans="2:18" ht="15" thickBot="1"/>
    <row r="871" spans="2:18">
      <c r="B871" s="562" t="s">
        <v>650</v>
      </c>
      <c r="C871" s="583">
        <v>2009</v>
      </c>
      <c r="D871" s="583">
        <v>2010</v>
      </c>
      <c r="E871" s="583">
        <v>2011</v>
      </c>
      <c r="F871" s="583">
        <v>2012</v>
      </c>
      <c r="G871" s="583">
        <v>2013</v>
      </c>
      <c r="H871" s="583">
        <v>2014</v>
      </c>
      <c r="I871" s="583">
        <v>2015</v>
      </c>
      <c r="J871" s="583">
        <v>2016</v>
      </c>
      <c r="K871" s="583">
        <v>2017</v>
      </c>
      <c r="L871" s="583">
        <v>2018</v>
      </c>
      <c r="M871" s="583">
        <v>2019</v>
      </c>
      <c r="N871" s="583">
        <v>2020</v>
      </c>
      <c r="O871" s="583">
        <v>2021</v>
      </c>
      <c r="P871" s="583">
        <v>2022</v>
      </c>
      <c r="Q871" s="583">
        <v>2023</v>
      </c>
      <c r="R871" s="584">
        <v>2024</v>
      </c>
    </row>
    <row r="872" spans="2:18">
      <c r="B872" s="569"/>
      <c r="C872" s="578">
        <v>94.954999999999998</v>
      </c>
      <c r="D872" s="578">
        <v>94.954999999999998</v>
      </c>
      <c r="E872" s="578">
        <v>94.954999999999998</v>
      </c>
      <c r="F872" s="578">
        <v>94.954999999999998</v>
      </c>
      <c r="G872" s="578">
        <v>94.954999999999998</v>
      </c>
      <c r="H872" s="578">
        <v>94.954999999999998</v>
      </c>
      <c r="I872" s="578">
        <v>94.954999999999998</v>
      </c>
      <c r="J872" s="578">
        <v>94.954999999999998</v>
      </c>
      <c r="K872" s="578">
        <v>94.954999999999998</v>
      </c>
      <c r="L872" s="578">
        <v>94.954999999999998</v>
      </c>
      <c r="M872" s="578">
        <v>94.954999999999998</v>
      </c>
      <c r="N872" s="578">
        <v>94.954999999999998</v>
      </c>
      <c r="O872" s="578">
        <v>94.954999999999998</v>
      </c>
      <c r="P872" s="578">
        <v>94.954999999999998</v>
      </c>
      <c r="Q872" s="578">
        <v>94.954999999999998</v>
      </c>
      <c r="R872" s="579">
        <v>94.954999999999998</v>
      </c>
    </row>
    <row r="873" spans="2:18">
      <c r="B873" s="569" t="s">
        <v>648</v>
      </c>
      <c r="C873" s="585">
        <f>C246</f>
        <v>94.954999999999998</v>
      </c>
      <c r="D873" s="585">
        <f t="shared" ref="D873:R873" si="255">D246</f>
        <v>87.358599999999996</v>
      </c>
      <c r="E873" s="585">
        <f t="shared" si="255"/>
        <v>79.762199999999993</v>
      </c>
      <c r="F873" s="585">
        <f t="shared" si="255"/>
        <v>72.165800000000004</v>
      </c>
      <c r="G873" s="585">
        <f t="shared" si="255"/>
        <v>64.569399999999987</v>
      </c>
      <c r="H873" s="585">
        <f t="shared" si="255"/>
        <v>56.972999999999999</v>
      </c>
      <c r="I873" s="585">
        <f t="shared" si="255"/>
        <v>49.376600000000003</v>
      </c>
      <c r="J873" s="585">
        <f t="shared" si="255"/>
        <v>41.780199999999994</v>
      </c>
      <c r="K873" s="585">
        <f t="shared" si="255"/>
        <v>34.183799999999998</v>
      </c>
      <c r="L873" s="585">
        <f t="shared" si="255"/>
        <v>26.587400000000002</v>
      </c>
      <c r="M873" s="585">
        <f t="shared" si="255"/>
        <v>18.990999999999996</v>
      </c>
      <c r="N873" s="585">
        <f t="shared" si="255"/>
        <v>15.82583333333333</v>
      </c>
      <c r="O873" s="585">
        <f t="shared" si="255"/>
        <v>12.660666666666664</v>
      </c>
      <c r="P873" s="585">
        <f t="shared" si="255"/>
        <v>9.4954999999999981</v>
      </c>
      <c r="Q873" s="585">
        <f t="shared" si="255"/>
        <v>6.330333333333332</v>
      </c>
      <c r="R873" s="585">
        <f t="shared" si="255"/>
        <v>3.165166666666666</v>
      </c>
    </row>
    <row r="874" spans="2:18" ht="16" thickBot="1">
      <c r="B874" s="580" t="s">
        <v>651</v>
      </c>
      <c r="C874" s="581">
        <f>C873/(1+$C$2)^(C871-$C$3)</f>
        <v>94.954999999999998</v>
      </c>
      <c r="D874" s="581">
        <f t="shared" ref="D874:R874" si="256">D873/(1+$C$2)^(D871-$C$3)</f>
        <v>78.527524430644789</v>
      </c>
      <c r="E874" s="581">
        <f t="shared" si="256"/>
        <v>64.450992036579962</v>
      </c>
      <c r="F874" s="581">
        <f t="shared" si="256"/>
        <v>52.417964673309186</v>
      </c>
      <c r="G874" s="581">
        <f t="shared" si="256"/>
        <v>42.159137301395056</v>
      </c>
      <c r="H874" s="581">
        <f t="shared" si="256"/>
        <v>33.438770004362773</v>
      </c>
      <c r="I874" s="581">
        <f t="shared" si="256"/>
        <v>26.050653871763842</v>
      </c>
      <c r="J874" s="581">
        <f t="shared" si="256"/>
        <v>19.814549491619132</v>
      </c>
      <c r="K874" s="581">
        <f t="shared" si="256"/>
        <v>14.573043725484361</v>
      </c>
      <c r="L874" s="581">
        <f t="shared" si="256"/>
        <v>10.188776593480203</v>
      </c>
      <c r="M874" s="581">
        <f t="shared" si="256"/>
        <v>6.5419955616676413</v>
      </c>
      <c r="N874" s="581">
        <f t="shared" si="256"/>
        <v>4.900554689654915</v>
      </c>
      <c r="O874" s="581">
        <f t="shared" si="256"/>
        <v>3.5241263309218538</v>
      </c>
      <c r="P874" s="581">
        <f t="shared" si="256"/>
        <v>2.3759044605924129</v>
      </c>
      <c r="Q874" s="581">
        <f t="shared" si="256"/>
        <v>1.4238162819615443</v>
      </c>
      <c r="R874" s="582">
        <f t="shared" si="256"/>
        <v>0.63994139023796737</v>
      </c>
    </row>
    <row r="875" spans="2:18" ht="15" thickBot="1">
      <c r="C875" s="587"/>
      <c r="D875" s="587"/>
      <c r="E875" s="587"/>
      <c r="F875" s="587"/>
      <c r="G875" s="587"/>
      <c r="H875" s="587"/>
      <c r="I875" s="587"/>
      <c r="J875" s="587"/>
      <c r="K875" s="587"/>
      <c r="L875" s="587"/>
      <c r="M875" s="587"/>
      <c r="N875" s="587"/>
      <c r="O875" s="587"/>
      <c r="P875" s="587"/>
      <c r="Q875" s="587"/>
      <c r="R875" s="587"/>
    </row>
    <row r="876" spans="2:18">
      <c r="B876" s="562" t="s">
        <v>652</v>
      </c>
      <c r="C876" s="583">
        <v>2009</v>
      </c>
      <c r="D876" s="583">
        <v>2010</v>
      </c>
      <c r="E876" s="583">
        <v>2011</v>
      </c>
      <c r="F876" s="583">
        <v>2012</v>
      </c>
      <c r="G876" s="583">
        <v>2013</v>
      </c>
      <c r="H876" s="583">
        <v>2014</v>
      </c>
      <c r="I876" s="583">
        <v>2015</v>
      </c>
      <c r="J876" s="583">
        <v>2016</v>
      </c>
      <c r="K876" s="583">
        <v>2017</v>
      </c>
      <c r="L876" s="583">
        <v>2018</v>
      </c>
      <c r="M876" s="583">
        <v>2019</v>
      </c>
      <c r="N876" s="583">
        <v>2020</v>
      </c>
      <c r="O876" s="583">
        <v>2021</v>
      </c>
      <c r="P876" s="583">
        <v>2022</v>
      </c>
      <c r="Q876" s="583">
        <v>2023</v>
      </c>
      <c r="R876" s="584">
        <v>2024</v>
      </c>
    </row>
    <row r="877" spans="2:18">
      <c r="B877" s="588" t="s">
        <v>653</v>
      </c>
      <c r="C877" s="589">
        <f>V54</f>
        <v>-4.6523076923076925</v>
      </c>
      <c r="D877" s="589">
        <f>W54</f>
        <v>-16.728024760770847</v>
      </c>
      <c r="E877" s="589">
        <f>X54</f>
        <v>-37.460238859854911</v>
      </c>
      <c r="F877" s="589">
        <f>Y54</f>
        <v>-29.226507530881726</v>
      </c>
      <c r="G877" s="589">
        <f>Z54</f>
        <v>1.4483282966021924</v>
      </c>
      <c r="H877" s="589"/>
      <c r="I877" s="589"/>
      <c r="J877" s="589"/>
      <c r="K877" s="589"/>
      <c r="L877" s="578"/>
      <c r="M877" s="578"/>
      <c r="N877" s="578"/>
      <c r="O877" s="578"/>
      <c r="P877" s="578"/>
      <c r="Q877" s="578"/>
      <c r="R877" s="579"/>
    </row>
    <row r="878" spans="2:18">
      <c r="B878" s="590" t="s">
        <v>654</v>
      </c>
      <c r="C878" s="578"/>
      <c r="D878" s="578"/>
      <c r="E878" s="578"/>
      <c r="F878" s="578"/>
      <c r="G878" s="585"/>
      <c r="H878" s="585"/>
      <c r="I878" s="585"/>
      <c r="J878" s="585"/>
      <c r="K878" s="585"/>
      <c r="L878" s="585"/>
      <c r="M878" s="585"/>
      <c r="N878" s="585"/>
      <c r="O878" s="585"/>
      <c r="P878" s="585"/>
      <c r="Q878" s="585"/>
      <c r="R878" s="586"/>
    </row>
    <row r="879" spans="2:18">
      <c r="B879" s="592" t="s">
        <v>648</v>
      </c>
      <c r="C879" s="593">
        <f t="shared" ref="C879:R879" si="257">V64</f>
        <v>-4.6523076923076925</v>
      </c>
      <c r="D879" s="593">
        <f t="shared" si="257"/>
        <v>-18.60923076923077</v>
      </c>
      <c r="E879" s="593">
        <f t="shared" si="257"/>
        <v>-46.359427055702923</v>
      </c>
      <c r="F879" s="593">
        <f t="shared" si="257"/>
        <v>-40.237241379310348</v>
      </c>
      <c r="G879" s="593">
        <f t="shared" si="257"/>
        <v>2.2182068965517248</v>
      </c>
      <c r="H879" s="593">
        <f t="shared" si="257"/>
        <v>0</v>
      </c>
      <c r="I879" s="593">
        <f t="shared" si="257"/>
        <v>0</v>
      </c>
      <c r="J879" s="593">
        <f t="shared" si="257"/>
        <v>0</v>
      </c>
      <c r="K879" s="593">
        <f t="shared" si="257"/>
        <v>0</v>
      </c>
      <c r="L879" s="593">
        <f t="shared" si="257"/>
        <v>0</v>
      </c>
      <c r="M879" s="593">
        <f t="shared" si="257"/>
        <v>0</v>
      </c>
      <c r="N879" s="593">
        <f t="shared" si="257"/>
        <v>0</v>
      </c>
      <c r="O879" s="593">
        <f t="shared" si="257"/>
        <v>0</v>
      </c>
      <c r="P879" s="593">
        <f t="shared" si="257"/>
        <v>0</v>
      </c>
      <c r="Q879" s="593">
        <f t="shared" si="257"/>
        <v>0</v>
      </c>
      <c r="R879" s="593">
        <f t="shared" si="257"/>
        <v>0</v>
      </c>
    </row>
    <row r="880" spans="2:18" ht="16" thickBot="1">
      <c r="B880" s="597" t="str">
        <f>B850</f>
        <v>Total CF Actualisés</v>
      </c>
      <c r="C880" s="598">
        <f t="shared" ref="C880:R880" si="258">C877+C878</f>
        <v>-4.6523076923076925</v>
      </c>
      <c r="D880" s="598">
        <f t="shared" si="258"/>
        <v>-16.728024760770847</v>
      </c>
      <c r="E880" s="598">
        <f t="shared" si="258"/>
        <v>-37.460238859854911</v>
      </c>
      <c r="F880" s="598">
        <f t="shared" si="258"/>
        <v>-29.226507530881726</v>
      </c>
      <c r="G880" s="598">
        <f t="shared" si="258"/>
        <v>1.4483282966021924</v>
      </c>
      <c r="H880" s="598">
        <f t="shared" si="258"/>
        <v>0</v>
      </c>
      <c r="I880" s="598">
        <f t="shared" si="258"/>
        <v>0</v>
      </c>
      <c r="J880" s="598">
        <f t="shared" si="258"/>
        <v>0</v>
      </c>
      <c r="K880" s="598">
        <f t="shared" si="258"/>
        <v>0</v>
      </c>
      <c r="L880" s="598">
        <f t="shared" si="258"/>
        <v>0</v>
      </c>
      <c r="M880" s="598">
        <f t="shared" si="258"/>
        <v>0</v>
      </c>
      <c r="N880" s="598">
        <f t="shared" si="258"/>
        <v>0</v>
      </c>
      <c r="O880" s="598">
        <f t="shared" si="258"/>
        <v>0</v>
      </c>
      <c r="P880" s="598">
        <f t="shared" si="258"/>
        <v>0</v>
      </c>
      <c r="Q880" s="598">
        <f t="shared" si="258"/>
        <v>0</v>
      </c>
      <c r="R880" s="599">
        <f t="shared" si="258"/>
        <v>0</v>
      </c>
    </row>
    <row r="881" spans="2:18" ht="16" thickBot="1">
      <c r="C881" s="603"/>
      <c r="D881" s="603"/>
      <c r="E881" s="603"/>
      <c r="F881" s="603"/>
      <c r="G881" s="603"/>
      <c r="H881" s="603"/>
      <c r="I881" s="603"/>
      <c r="J881" s="603"/>
      <c r="K881" s="603"/>
      <c r="L881" s="603"/>
      <c r="M881" s="603"/>
      <c r="N881" s="603"/>
      <c r="O881" s="603"/>
      <c r="P881" s="603"/>
      <c r="Q881" s="603"/>
      <c r="R881" s="603"/>
    </row>
    <row r="882" spans="2:18" ht="15.5">
      <c r="B882" s="607"/>
      <c r="C882" s="608">
        <v>2009</v>
      </c>
      <c r="D882" s="608">
        <v>2010</v>
      </c>
      <c r="E882" s="608">
        <v>2011</v>
      </c>
      <c r="F882" s="608">
        <v>2012</v>
      </c>
      <c r="G882" s="608">
        <v>2013</v>
      </c>
      <c r="H882" s="608">
        <v>2014</v>
      </c>
      <c r="I882" s="608">
        <v>2015</v>
      </c>
      <c r="J882" s="608">
        <v>2016</v>
      </c>
      <c r="K882" s="608">
        <v>2017</v>
      </c>
      <c r="L882" s="608">
        <v>2018</v>
      </c>
      <c r="M882" s="608">
        <v>2019</v>
      </c>
      <c r="N882" s="608">
        <v>2020</v>
      </c>
      <c r="O882" s="608">
        <v>2021</v>
      </c>
      <c r="P882" s="608">
        <v>2022</v>
      </c>
      <c r="Q882" s="608">
        <v>2023</v>
      </c>
      <c r="R882" s="609">
        <v>2024</v>
      </c>
    </row>
    <row r="883" spans="2:18" ht="15" thickBot="1">
      <c r="B883" s="610" t="s">
        <v>656</v>
      </c>
      <c r="C883" s="611">
        <f t="shared" ref="C883:R883" si="259">C880+C874+C869</f>
        <v>-314.69730769230767</v>
      </c>
      <c r="D883" s="611">
        <f t="shared" si="259"/>
        <v>-302.25907492279521</v>
      </c>
      <c r="E883" s="611">
        <f t="shared" si="259"/>
        <v>-142.69749924963475</v>
      </c>
      <c r="F883" s="611">
        <f t="shared" si="259"/>
        <v>-129.34302015007023</v>
      </c>
      <c r="G883" s="611">
        <f t="shared" si="259"/>
        <v>-47.802385232199555</v>
      </c>
      <c r="H883" s="611">
        <f t="shared" si="259"/>
        <v>-48.730464556056866</v>
      </c>
      <c r="I883" s="611">
        <f t="shared" si="259"/>
        <v>36.602475532940936</v>
      </c>
      <c r="J883" s="611">
        <f t="shared" si="259"/>
        <v>162.09162924436663</v>
      </c>
      <c r="K883" s="611">
        <f t="shared" si="259"/>
        <v>142.46734212546647</v>
      </c>
      <c r="L883" s="611">
        <f t="shared" si="259"/>
        <v>125.15424813428753</v>
      </c>
      <c r="M883" s="611">
        <f t="shared" si="259"/>
        <v>109.88561456542168</v>
      </c>
      <c r="N883" s="611">
        <f t="shared" si="259"/>
        <v>97.797173523616777</v>
      </c>
      <c r="O883" s="611">
        <f t="shared" si="259"/>
        <v>87.02983160788645</v>
      </c>
      <c r="P883" s="611">
        <f t="shared" si="259"/>
        <v>77.4400230617955</v>
      </c>
      <c r="Q883" s="611">
        <f t="shared" si="259"/>
        <v>68.899707691860456</v>
      </c>
      <c r="R883" s="612">
        <f t="shared" si="259"/>
        <v>61.294699034824433</v>
      </c>
    </row>
    <row r="884" spans="2:18" ht="15" thickBot="1">
      <c r="B884" s="613" t="str">
        <f>B851</f>
        <v>Trésorerie</v>
      </c>
      <c r="C884" s="614">
        <f>C888+C889+C879+C873+C868</f>
        <v>-63.717307692307656</v>
      </c>
      <c r="D884" s="615">
        <f>C884+D879+D873+D868</f>
        <v>-399.96793846153844</v>
      </c>
      <c r="E884" s="615">
        <f t="shared" ref="E884:R884" si="260">D884+E879+E873+E868</f>
        <v>-576.56516551724133</v>
      </c>
      <c r="F884" s="615">
        <f t="shared" si="260"/>
        <v>-754.63660689655171</v>
      </c>
      <c r="G884" s="615">
        <f t="shared" si="260"/>
        <v>-827.84900000000005</v>
      </c>
      <c r="H884" s="615">
        <f t="shared" si="260"/>
        <v>-910.87600000000009</v>
      </c>
      <c r="I884" s="615">
        <f t="shared" si="260"/>
        <v>-841.49940000000004</v>
      </c>
      <c r="J884" s="615">
        <f t="shared" si="260"/>
        <v>-499.7192</v>
      </c>
      <c r="K884" s="615">
        <f t="shared" si="260"/>
        <v>-165.53539999999998</v>
      </c>
      <c r="L884" s="615">
        <f t="shared" si="260"/>
        <v>161.05200000000002</v>
      </c>
      <c r="M884" s="615">
        <f t="shared" si="260"/>
        <v>480.04300000000001</v>
      </c>
      <c r="N884" s="615">
        <f t="shared" si="260"/>
        <v>795.86883333333333</v>
      </c>
      <c r="O884" s="615">
        <f t="shared" si="260"/>
        <v>1108.5295000000001</v>
      </c>
      <c r="P884" s="615">
        <f t="shared" si="260"/>
        <v>1418.0250000000001</v>
      </c>
      <c r="Q884" s="615">
        <f t="shared" si="260"/>
        <v>1724.3553333333334</v>
      </c>
      <c r="R884" s="615">
        <f t="shared" si="260"/>
        <v>2027.5205000000001</v>
      </c>
    </row>
    <row r="885" spans="2:18" ht="15" thickBot="1"/>
    <row r="886" spans="2:18">
      <c r="B886" s="1039" t="s">
        <v>658</v>
      </c>
      <c r="C886" s="1040"/>
    </row>
    <row r="887" spans="2:18" ht="15.5">
      <c r="B887" s="569" t="s">
        <v>360</v>
      </c>
      <c r="C887" s="617">
        <f>SUM(C883:R883)</f>
        <v>-16.86700728059742</v>
      </c>
    </row>
    <row r="888" spans="2:18" ht="15.5">
      <c r="B888" s="569" t="s">
        <v>659</v>
      </c>
      <c r="C888" s="618">
        <f>155.21</f>
        <v>155.21</v>
      </c>
    </row>
    <row r="889" spans="2:18" ht="15.5">
      <c r="B889" s="569" t="s">
        <v>660</v>
      </c>
      <c r="C889" s="618">
        <f>95.77</f>
        <v>95.77</v>
      </c>
    </row>
    <row r="890" spans="2:18" ht="16" thickBot="1">
      <c r="B890" s="619" t="s">
        <v>661</v>
      </c>
      <c r="C890" s="620">
        <f>SUM(C887:C889)</f>
        <v>234.1129927194026</v>
      </c>
    </row>
    <row r="892" spans="2:18" ht="15.5">
      <c r="B892" s="10" t="s">
        <v>662</v>
      </c>
      <c r="C892" s="621">
        <v>15887450</v>
      </c>
    </row>
    <row r="893" spans="2:18">
      <c r="B893" s="10" t="s">
        <v>663</v>
      </c>
      <c r="C893" s="646">
        <f>(C890/C892)*1000000</f>
        <v>14.735718615599268</v>
      </c>
    </row>
    <row r="896" spans="2:18" ht="15" thickBot="1">
      <c r="B896" s="1041" t="s">
        <v>702</v>
      </c>
      <c r="C896" s="1041"/>
      <c r="D896" s="1041"/>
      <c r="E896" s="1041"/>
    </row>
    <row r="897" spans="2:18">
      <c r="B897" s="562" t="s">
        <v>638</v>
      </c>
      <c r="C897" s="563">
        <v>2009</v>
      </c>
      <c r="D897" s="563">
        <v>2010</v>
      </c>
      <c r="E897" s="563">
        <v>2011</v>
      </c>
      <c r="F897" s="563">
        <v>2012</v>
      </c>
      <c r="G897" s="563">
        <v>2013</v>
      </c>
      <c r="H897" s="563">
        <v>2014</v>
      </c>
      <c r="I897" s="563">
        <v>2015</v>
      </c>
      <c r="J897" s="563">
        <v>2016</v>
      </c>
      <c r="K897" s="563">
        <v>2017</v>
      </c>
      <c r="L897" s="563">
        <v>2018</v>
      </c>
      <c r="M897" s="563">
        <v>2019</v>
      </c>
      <c r="N897" s="563">
        <v>2020</v>
      </c>
      <c r="O897" s="563">
        <v>2021</v>
      </c>
      <c r="P897" s="563">
        <v>2022</v>
      </c>
      <c r="Q897" s="563">
        <v>2023</v>
      </c>
      <c r="R897" s="564">
        <v>2024</v>
      </c>
    </row>
    <row r="898" spans="2:18">
      <c r="B898" s="569" t="s">
        <v>640</v>
      </c>
      <c r="C898" s="570">
        <v>-105</v>
      </c>
      <c r="D898" s="570">
        <v>-105</v>
      </c>
      <c r="E898" s="570">
        <v>-105</v>
      </c>
      <c r="F898" s="570">
        <v>-105</v>
      </c>
      <c r="G898" s="570">
        <v>-95</v>
      </c>
      <c r="H898" s="570">
        <v>-95</v>
      </c>
      <c r="I898" s="570">
        <v>-95</v>
      </c>
      <c r="J898" s="571"/>
      <c r="K898" s="571"/>
      <c r="L898" s="571"/>
      <c r="M898" s="571"/>
      <c r="N898" s="571"/>
      <c r="O898" s="571"/>
      <c r="P898" s="571"/>
      <c r="Q898" s="571"/>
      <c r="R898" s="572"/>
    </row>
    <row r="899" spans="2:18">
      <c r="B899" s="569" t="s">
        <v>642</v>
      </c>
      <c r="C899" s="577" t="s">
        <v>643</v>
      </c>
      <c r="D899" s="577" t="s">
        <v>643</v>
      </c>
      <c r="E899" s="577" t="s">
        <v>643</v>
      </c>
      <c r="F899" s="577" t="s">
        <v>643</v>
      </c>
      <c r="G899" s="577" t="s">
        <v>644</v>
      </c>
      <c r="H899" s="577" t="s">
        <v>644</v>
      </c>
      <c r="I899" s="578">
        <v>115</v>
      </c>
      <c r="J899" s="578">
        <v>115</v>
      </c>
      <c r="K899" s="578">
        <v>115</v>
      </c>
      <c r="L899" s="578">
        <v>115</v>
      </c>
      <c r="M899" s="578">
        <v>115</v>
      </c>
      <c r="N899" s="578">
        <v>115</v>
      </c>
      <c r="O899" s="578">
        <v>115</v>
      </c>
      <c r="P899" s="578">
        <v>115</v>
      </c>
      <c r="Q899" s="578">
        <v>115</v>
      </c>
      <c r="R899" s="579">
        <v>115</v>
      </c>
    </row>
    <row r="900" spans="2:18">
      <c r="B900" s="569" t="s">
        <v>645</v>
      </c>
      <c r="C900" s="577" t="s">
        <v>646</v>
      </c>
      <c r="D900" s="577" t="s">
        <v>646</v>
      </c>
      <c r="E900" s="577" t="s">
        <v>647</v>
      </c>
      <c r="F900" s="577" t="s">
        <v>647</v>
      </c>
      <c r="G900" s="578">
        <v>120</v>
      </c>
      <c r="H900" s="578">
        <v>120</v>
      </c>
      <c r="I900" s="578">
        <v>120</v>
      </c>
      <c r="J900" s="578">
        <v>120</v>
      </c>
      <c r="K900" s="578">
        <v>120</v>
      </c>
      <c r="L900" s="578">
        <v>120</v>
      </c>
      <c r="M900" s="578">
        <v>120</v>
      </c>
      <c r="N900" s="578">
        <v>120</v>
      </c>
      <c r="O900" s="578">
        <v>120</v>
      </c>
      <c r="P900" s="578">
        <v>120</v>
      </c>
      <c r="Q900" s="578">
        <v>120</v>
      </c>
      <c r="R900" s="579">
        <v>120</v>
      </c>
    </row>
    <row r="901" spans="2:18">
      <c r="B901" s="569" t="s">
        <v>648</v>
      </c>
      <c r="C901" s="578">
        <f>C898+C899+C900</f>
        <v>-405</v>
      </c>
      <c r="D901" s="578">
        <f t="shared" ref="D901:R901" si="261">D898+D899+D900</f>
        <v>-405</v>
      </c>
      <c r="E901" s="578">
        <f t="shared" si="261"/>
        <v>-285</v>
      </c>
      <c r="F901" s="578">
        <f t="shared" si="261"/>
        <v>-285</v>
      </c>
      <c r="G901" s="578">
        <f t="shared" si="261"/>
        <v>-20</v>
      </c>
      <c r="H901" s="578">
        <f t="shared" si="261"/>
        <v>-20</v>
      </c>
      <c r="I901" s="578">
        <f t="shared" si="261"/>
        <v>140</v>
      </c>
      <c r="J901" s="578">
        <f t="shared" si="261"/>
        <v>235</v>
      </c>
      <c r="K901" s="578">
        <f t="shared" si="261"/>
        <v>235</v>
      </c>
      <c r="L901" s="578">
        <f t="shared" si="261"/>
        <v>235</v>
      </c>
      <c r="M901" s="578">
        <f t="shared" si="261"/>
        <v>235</v>
      </c>
      <c r="N901" s="578">
        <f t="shared" si="261"/>
        <v>235</v>
      </c>
      <c r="O901" s="578">
        <f t="shared" si="261"/>
        <v>235</v>
      </c>
      <c r="P901" s="578">
        <f t="shared" si="261"/>
        <v>235</v>
      </c>
      <c r="Q901" s="578">
        <f t="shared" si="261"/>
        <v>235</v>
      </c>
      <c r="R901" s="579">
        <f t="shared" si="261"/>
        <v>235</v>
      </c>
    </row>
    <row r="902" spans="2:18" ht="16" thickBot="1">
      <c r="B902" s="580" t="s">
        <v>649</v>
      </c>
      <c r="C902" s="581">
        <f>C901/(1+$C$2)^(C897-$C$3)</f>
        <v>-405</v>
      </c>
      <c r="D902" s="581">
        <f>D901/(1+$C$2)^(D897-$C$3)</f>
        <v>-364.05857459266912</v>
      </c>
      <c r="E902" s="581">
        <f t="shared" ref="E902:R902" si="262">E901/(1+$C$2)^(E897-$C$3)</f>
        <v>-230.29119972148825</v>
      </c>
      <c r="F902" s="581">
        <f t="shared" si="262"/>
        <v>-207.01107632553254</v>
      </c>
      <c r="G902" s="581">
        <f t="shared" si="262"/>
        <v>-13.058550118599543</v>
      </c>
      <c r="H902" s="581">
        <f t="shared" si="262"/>
        <v>-11.738462080059948</v>
      </c>
      <c r="I902" s="581">
        <f t="shared" si="262"/>
        <v>73.86275162823965</v>
      </c>
      <c r="J902" s="581">
        <f t="shared" si="262"/>
        <v>111.45037913965218</v>
      </c>
      <c r="K902" s="581">
        <f t="shared" si="262"/>
        <v>100.18386707998599</v>
      </c>
      <c r="L902" s="581">
        <f t="shared" si="262"/>
        <v>90.056286040299071</v>
      </c>
      <c r="M902" s="581">
        <f t="shared" si="262"/>
        <v>80.952501552940646</v>
      </c>
      <c r="N902" s="581">
        <f t="shared" si="262"/>
        <v>72.769018086603467</v>
      </c>
      <c r="O902" s="581">
        <f t="shared" si="262"/>
        <v>65.412802466955597</v>
      </c>
      <c r="P902" s="581">
        <f t="shared" si="262"/>
        <v>58.800226237609088</v>
      </c>
      <c r="Q902" s="581">
        <f t="shared" si="262"/>
        <v>52.856114937754143</v>
      </c>
      <c r="R902" s="582">
        <f t="shared" si="262"/>
        <v>47.512893488259401</v>
      </c>
    </row>
    <row r="903" spans="2:18" ht="15" thickBot="1"/>
    <row r="904" spans="2:18">
      <c r="B904" s="562" t="s">
        <v>650</v>
      </c>
      <c r="C904" s="583">
        <v>2009</v>
      </c>
      <c r="D904" s="583">
        <v>2010</v>
      </c>
      <c r="E904" s="583">
        <v>2011</v>
      </c>
      <c r="F904" s="583">
        <v>2012</v>
      </c>
      <c r="G904" s="583">
        <v>2013</v>
      </c>
      <c r="H904" s="583">
        <v>2014</v>
      </c>
      <c r="I904" s="583">
        <v>2015</v>
      </c>
      <c r="J904" s="583">
        <v>2016</v>
      </c>
      <c r="K904" s="583">
        <v>2017</v>
      </c>
      <c r="L904" s="583">
        <v>2018</v>
      </c>
      <c r="M904" s="583">
        <v>2019</v>
      </c>
      <c r="N904" s="583">
        <v>2020</v>
      </c>
      <c r="O904" s="583">
        <v>2021</v>
      </c>
      <c r="P904" s="583">
        <v>2022</v>
      </c>
      <c r="Q904" s="583">
        <v>2023</v>
      </c>
      <c r="R904" s="584">
        <v>2024</v>
      </c>
    </row>
    <row r="905" spans="2:18">
      <c r="B905" s="569"/>
      <c r="C905" s="578">
        <v>94.954999999999998</v>
      </c>
      <c r="D905" s="578">
        <v>94.954999999999998</v>
      </c>
      <c r="E905" s="578">
        <v>94.954999999999998</v>
      </c>
      <c r="F905" s="578">
        <v>94.954999999999998</v>
      </c>
      <c r="G905" s="578">
        <v>94.954999999999998</v>
      </c>
      <c r="H905" s="578">
        <v>94.954999999999998</v>
      </c>
      <c r="I905" s="578">
        <v>94.954999999999998</v>
      </c>
      <c r="J905" s="578">
        <v>94.954999999999998</v>
      </c>
      <c r="K905" s="578">
        <v>94.954999999999998</v>
      </c>
      <c r="L905" s="578">
        <v>94.954999999999998</v>
      </c>
      <c r="M905" s="578">
        <v>94.954999999999998</v>
      </c>
      <c r="N905" s="578">
        <v>94.954999999999998</v>
      </c>
      <c r="O905" s="578">
        <v>94.954999999999998</v>
      </c>
      <c r="P905" s="578">
        <v>94.954999999999998</v>
      </c>
      <c r="Q905" s="578">
        <v>94.954999999999998</v>
      </c>
      <c r="R905" s="579">
        <v>94.954999999999998</v>
      </c>
    </row>
    <row r="906" spans="2:18">
      <c r="B906" s="569" t="s">
        <v>648</v>
      </c>
      <c r="C906" s="585">
        <f>C246</f>
        <v>94.954999999999998</v>
      </c>
      <c r="D906" s="585">
        <f t="shared" ref="D906:R906" si="263">D246</f>
        <v>87.358599999999996</v>
      </c>
      <c r="E906" s="585">
        <f t="shared" si="263"/>
        <v>79.762199999999993</v>
      </c>
      <c r="F906" s="585">
        <f t="shared" si="263"/>
        <v>72.165800000000004</v>
      </c>
      <c r="G906" s="585">
        <f t="shared" si="263"/>
        <v>64.569399999999987</v>
      </c>
      <c r="H906" s="585">
        <f t="shared" si="263"/>
        <v>56.972999999999999</v>
      </c>
      <c r="I906" s="585">
        <f t="shared" si="263"/>
        <v>49.376600000000003</v>
      </c>
      <c r="J906" s="585">
        <f t="shared" si="263"/>
        <v>41.780199999999994</v>
      </c>
      <c r="K906" s="585">
        <f t="shared" si="263"/>
        <v>34.183799999999998</v>
      </c>
      <c r="L906" s="585">
        <f t="shared" si="263"/>
        <v>26.587400000000002</v>
      </c>
      <c r="M906" s="585">
        <f t="shared" si="263"/>
        <v>18.990999999999996</v>
      </c>
      <c r="N906" s="585">
        <f t="shared" si="263"/>
        <v>15.82583333333333</v>
      </c>
      <c r="O906" s="585">
        <f t="shared" si="263"/>
        <v>12.660666666666664</v>
      </c>
      <c r="P906" s="585">
        <f t="shared" si="263"/>
        <v>9.4954999999999981</v>
      </c>
      <c r="Q906" s="585">
        <f t="shared" si="263"/>
        <v>6.330333333333332</v>
      </c>
      <c r="R906" s="585">
        <f t="shared" si="263"/>
        <v>3.165166666666666</v>
      </c>
    </row>
    <row r="907" spans="2:18" ht="16" thickBot="1">
      <c r="B907" s="580" t="s">
        <v>651</v>
      </c>
      <c r="C907" s="581">
        <f>C906/(1+$C$2)^(C904-$C$3)</f>
        <v>94.954999999999998</v>
      </c>
      <c r="D907" s="581">
        <f t="shared" ref="D907:R907" si="264">D906/(1+$C$2)^(D904-$C$3)</f>
        <v>78.527524430644789</v>
      </c>
      <c r="E907" s="581">
        <f t="shared" si="264"/>
        <v>64.450992036579962</v>
      </c>
      <c r="F907" s="581">
        <f t="shared" si="264"/>
        <v>52.417964673309186</v>
      </c>
      <c r="G907" s="581">
        <f t="shared" si="264"/>
        <v>42.159137301395056</v>
      </c>
      <c r="H907" s="581">
        <f t="shared" si="264"/>
        <v>33.438770004362773</v>
      </c>
      <c r="I907" s="581">
        <f t="shared" si="264"/>
        <v>26.050653871763842</v>
      </c>
      <c r="J907" s="581">
        <f t="shared" si="264"/>
        <v>19.814549491619132</v>
      </c>
      <c r="K907" s="581">
        <f t="shared" si="264"/>
        <v>14.573043725484361</v>
      </c>
      <c r="L907" s="581">
        <f t="shared" si="264"/>
        <v>10.188776593480203</v>
      </c>
      <c r="M907" s="581">
        <f t="shared" si="264"/>
        <v>6.5419955616676413</v>
      </c>
      <c r="N907" s="581">
        <f t="shared" si="264"/>
        <v>4.900554689654915</v>
      </c>
      <c r="O907" s="581">
        <f t="shared" si="264"/>
        <v>3.5241263309218538</v>
      </c>
      <c r="P907" s="581">
        <f t="shared" si="264"/>
        <v>2.3759044605924129</v>
      </c>
      <c r="Q907" s="581">
        <f t="shared" si="264"/>
        <v>1.4238162819615443</v>
      </c>
      <c r="R907" s="582">
        <f t="shared" si="264"/>
        <v>0.63994139023796737</v>
      </c>
    </row>
    <row r="908" spans="2:18" ht="15" thickBot="1">
      <c r="C908" s="587"/>
      <c r="D908" s="587"/>
      <c r="E908" s="587"/>
      <c r="F908" s="587"/>
      <c r="G908" s="587"/>
      <c r="H908" s="587"/>
      <c r="I908" s="587"/>
      <c r="J908" s="587"/>
      <c r="K908" s="587"/>
      <c r="L908" s="587"/>
      <c r="M908" s="587"/>
      <c r="N908" s="587"/>
      <c r="O908" s="587"/>
      <c r="P908" s="587"/>
      <c r="Q908" s="587"/>
      <c r="R908" s="587"/>
    </row>
    <row r="909" spans="2:18">
      <c r="B909" s="562" t="s">
        <v>652</v>
      </c>
      <c r="C909" s="583">
        <v>2009</v>
      </c>
      <c r="D909" s="583">
        <v>2010</v>
      </c>
      <c r="E909" s="583">
        <v>2011</v>
      </c>
      <c r="F909" s="583">
        <v>2012</v>
      </c>
      <c r="G909" s="583">
        <v>2013</v>
      </c>
      <c r="H909" s="583">
        <v>2014</v>
      </c>
      <c r="I909" s="583">
        <v>2015</v>
      </c>
      <c r="J909" s="583">
        <v>2016</v>
      </c>
      <c r="K909" s="583">
        <v>2017</v>
      </c>
      <c r="L909" s="583">
        <v>2018</v>
      </c>
      <c r="M909" s="583">
        <v>2019</v>
      </c>
      <c r="N909" s="583">
        <v>2020</v>
      </c>
      <c r="O909" s="583">
        <v>2021</v>
      </c>
      <c r="P909" s="583">
        <v>2022</v>
      </c>
      <c r="Q909" s="583">
        <v>2023</v>
      </c>
      <c r="R909" s="584">
        <v>2024</v>
      </c>
    </row>
    <row r="910" spans="2:18">
      <c r="B910" s="588" t="s">
        <v>653</v>
      </c>
      <c r="C910" s="589">
        <f>V53</f>
        <v>-4.6523076923076925</v>
      </c>
      <c r="D910" s="589">
        <f>W53</f>
        <v>-16.728024760770847</v>
      </c>
      <c r="E910" s="589">
        <f>X53</f>
        <v>-1.2530824794561952</v>
      </c>
      <c r="F910" s="589"/>
      <c r="G910" s="589"/>
      <c r="H910" s="589"/>
      <c r="I910" s="589"/>
      <c r="J910" s="589"/>
      <c r="K910" s="589"/>
      <c r="L910" s="578"/>
      <c r="M910" s="578"/>
      <c r="N910" s="578"/>
      <c r="O910" s="578"/>
      <c r="P910" s="578"/>
      <c r="Q910" s="578"/>
      <c r="R910" s="579"/>
    </row>
    <row r="911" spans="2:18">
      <c r="B911" s="590" t="s">
        <v>654</v>
      </c>
      <c r="C911" s="578"/>
      <c r="D911" s="578"/>
      <c r="E911" s="578"/>
      <c r="F911" s="578"/>
      <c r="G911" s="585"/>
      <c r="H911" s="585"/>
      <c r="I911" s="585"/>
      <c r="J911" s="585"/>
      <c r="K911" s="585"/>
      <c r="L911" s="585"/>
      <c r="M911" s="585"/>
      <c r="N911" s="585"/>
      <c r="O911" s="585"/>
      <c r="P911" s="585"/>
      <c r="Q911" s="585"/>
      <c r="R911" s="586"/>
    </row>
    <row r="912" spans="2:18">
      <c r="B912" s="592" t="s">
        <v>648</v>
      </c>
      <c r="C912" s="593">
        <f t="shared" ref="C912:R912" si="265">V63</f>
        <v>-4.6523076923076925</v>
      </c>
      <c r="D912" s="593">
        <f t="shared" si="265"/>
        <v>-18.60923076923077</v>
      </c>
      <c r="E912" s="593">
        <f t="shared" si="265"/>
        <v>-1.5507692307692307</v>
      </c>
      <c r="F912" s="593">
        <f t="shared" si="265"/>
        <v>0</v>
      </c>
      <c r="G912" s="593">
        <f t="shared" si="265"/>
        <v>0</v>
      </c>
      <c r="H912" s="593">
        <f t="shared" si="265"/>
        <v>0</v>
      </c>
      <c r="I912" s="593">
        <f t="shared" si="265"/>
        <v>0</v>
      </c>
      <c r="J912" s="593">
        <f t="shared" si="265"/>
        <v>0</v>
      </c>
      <c r="K912" s="593">
        <f t="shared" si="265"/>
        <v>0</v>
      </c>
      <c r="L912" s="593">
        <f t="shared" si="265"/>
        <v>0</v>
      </c>
      <c r="M912" s="593">
        <f t="shared" si="265"/>
        <v>0</v>
      </c>
      <c r="N912" s="593">
        <f t="shared" si="265"/>
        <v>0</v>
      </c>
      <c r="O912" s="593">
        <f t="shared" si="265"/>
        <v>0</v>
      </c>
      <c r="P912" s="593">
        <f t="shared" si="265"/>
        <v>0</v>
      </c>
      <c r="Q912" s="593">
        <f t="shared" si="265"/>
        <v>0</v>
      </c>
      <c r="R912" s="593">
        <f t="shared" si="265"/>
        <v>0</v>
      </c>
    </row>
    <row r="913" spans="2:18" ht="16" thickBot="1">
      <c r="B913" s="597" t="str">
        <f>B847</f>
        <v>CF actualisés</v>
      </c>
      <c r="C913" s="598">
        <f t="shared" ref="C913:R913" si="266">C910+C911</f>
        <v>-4.6523076923076925</v>
      </c>
      <c r="D913" s="598">
        <f t="shared" si="266"/>
        <v>-16.728024760770847</v>
      </c>
      <c r="E913" s="598">
        <f t="shared" si="266"/>
        <v>-1.2530824794561952</v>
      </c>
      <c r="F913" s="598">
        <f t="shared" si="266"/>
        <v>0</v>
      </c>
      <c r="G913" s="598">
        <f t="shared" si="266"/>
        <v>0</v>
      </c>
      <c r="H913" s="598">
        <f t="shared" si="266"/>
        <v>0</v>
      </c>
      <c r="I913" s="598">
        <f t="shared" si="266"/>
        <v>0</v>
      </c>
      <c r="J913" s="598">
        <f t="shared" si="266"/>
        <v>0</v>
      </c>
      <c r="K913" s="598">
        <f t="shared" si="266"/>
        <v>0</v>
      </c>
      <c r="L913" s="598">
        <f t="shared" si="266"/>
        <v>0</v>
      </c>
      <c r="M913" s="598">
        <f t="shared" si="266"/>
        <v>0</v>
      </c>
      <c r="N913" s="598">
        <f t="shared" si="266"/>
        <v>0</v>
      </c>
      <c r="O913" s="598">
        <f t="shared" si="266"/>
        <v>0</v>
      </c>
      <c r="P913" s="598">
        <f t="shared" si="266"/>
        <v>0</v>
      </c>
      <c r="Q913" s="598">
        <f t="shared" si="266"/>
        <v>0</v>
      </c>
      <c r="R913" s="599">
        <f t="shared" si="266"/>
        <v>0</v>
      </c>
    </row>
    <row r="914" spans="2:18" ht="16" thickBot="1">
      <c r="C914" s="603"/>
      <c r="D914" s="603"/>
      <c r="E914" s="603"/>
      <c r="F914" s="603"/>
      <c r="G914" s="603"/>
      <c r="H914" s="603"/>
      <c r="I914" s="603"/>
      <c r="J914" s="603"/>
      <c r="K914" s="603"/>
      <c r="L914" s="603"/>
      <c r="M914" s="603"/>
      <c r="N914" s="603"/>
      <c r="O914" s="603"/>
      <c r="P914" s="603"/>
      <c r="Q914" s="603"/>
      <c r="R914" s="603"/>
    </row>
    <row r="915" spans="2:18" ht="15.5">
      <c r="B915" s="607"/>
      <c r="C915" s="608">
        <v>2009</v>
      </c>
      <c r="D915" s="608">
        <v>2010</v>
      </c>
      <c r="E915" s="608">
        <v>2011</v>
      </c>
      <c r="F915" s="608">
        <v>2012</v>
      </c>
      <c r="G915" s="608">
        <v>2013</v>
      </c>
      <c r="H915" s="608">
        <v>2014</v>
      </c>
      <c r="I915" s="608">
        <v>2015</v>
      </c>
      <c r="J915" s="608">
        <v>2016</v>
      </c>
      <c r="K915" s="608">
        <v>2017</v>
      </c>
      <c r="L915" s="608">
        <v>2018</v>
      </c>
      <c r="M915" s="608">
        <v>2019</v>
      </c>
      <c r="N915" s="608">
        <v>2020</v>
      </c>
      <c r="O915" s="608">
        <v>2021</v>
      </c>
      <c r="P915" s="608">
        <v>2022</v>
      </c>
      <c r="Q915" s="608">
        <v>2023</v>
      </c>
      <c r="R915" s="609">
        <v>2024</v>
      </c>
    </row>
    <row r="916" spans="2:18" ht="15" thickBot="1">
      <c r="B916" s="610" t="s">
        <v>656</v>
      </c>
      <c r="C916" s="611">
        <f t="shared" ref="C916:R916" si="267">C913+C907+C902</f>
        <v>-314.69730769230767</v>
      </c>
      <c r="D916" s="611">
        <f t="shared" si="267"/>
        <v>-302.25907492279521</v>
      </c>
      <c r="E916" s="611">
        <f t="shared" si="267"/>
        <v>-167.09329016436448</v>
      </c>
      <c r="F916" s="611">
        <f t="shared" si="267"/>
        <v>-154.59311165222334</v>
      </c>
      <c r="G916" s="611">
        <f t="shared" si="267"/>
        <v>29.100587182795515</v>
      </c>
      <c r="H916" s="611">
        <f t="shared" si="267"/>
        <v>21.700307924302827</v>
      </c>
      <c r="I916" s="611">
        <f t="shared" si="267"/>
        <v>99.913405500003492</v>
      </c>
      <c r="J916" s="611">
        <f t="shared" si="267"/>
        <v>131.26492863127132</v>
      </c>
      <c r="K916" s="611">
        <f t="shared" si="267"/>
        <v>114.75691080547034</v>
      </c>
      <c r="L916" s="611">
        <f t="shared" si="267"/>
        <v>100.24506263377927</v>
      </c>
      <c r="M916" s="611">
        <f t="shared" si="267"/>
        <v>87.494497114608293</v>
      </c>
      <c r="N916" s="611">
        <f t="shared" si="267"/>
        <v>77.669572776258377</v>
      </c>
      <c r="O916" s="611">
        <f t="shared" si="267"/>
        <v>68.936928797877457</v>
      </c>
      <c r="P916" s="611">
        <f t="shared" si="267"/>
        <v>61.176130698201504</v>
      </c>
      <c r="Q916" s="611">
        <f t="shared" si="267"/>
        <v>54.279931219715685</v>
      </c>
      <c r="R916" s="612">
        <f t="shared" si="267"/>
        <v>48.152834878497366</v>
      </c>
    </row>
    <row r="917" spans="2:18" ht="15" thickBot="1">
      <c r="B917" s="613" t="str">
        <f>B884</f>
        <v>Trésorerie</v>
      </c>
      <c r="C917" s="614">
        <f>C921+C922+C912+C906+C901</f>
        <v>-63.717307692307656</v>
      </c>
      <c r="D917" s="615">
        <f>C917+D912+D906+D901</f>
        <v>-399.96793846153844</v>
      </c>
      <c r="E917" s="615">
        <f t="shared" ref="E917:R917" si="268">D917+E912+E906+E901</f>
        <v>-606.75650769230765</v>
      </c>
      <c r="F917" s="615">
        <f t="shared" si="268"/>
        <v>-819.59070769230766</v>
      </c>
      <c r="G917" s="615">
        <f t="shared" si="268"/>
        <v>-775.02130769230769</v>
      </c>
      <c r="H917" s="615">
        <f t="shared" si="268"/>
        <v>-738.04830769230773</v>
      </c>
      <c r="I917" s="615">
        <f t="shared" si="268"/>
        <v>-548.67170769230768</v>
      </c>
      <c r="J917" s="615">
        <f t="shared" si="268"/>
        <v>-271.8915076923077</v>
      </c>
      <c r="K917" s="615">
        <f t="shared" si="268"/>
        <v>-2.7077076923077072</v>
      </c>
      <c r="L917" s="615">
        <f t="shared" si="268"/>
        <v>258.87969230769227</v>
      </c>
      <c r="M917" s="615">
        <f t="shared" si="268"/>
        <v>512.87069230769225</v>
      </c>
      <c r="N917" s="615">
        <f t="shared" si="268"/>
        <v>763.69652564102557</v>
      </c>
      <c r="O917" s="615">
        <f t="shared" si="268"/>
        <v>1011.3571923076922</v>
      </c>
      <c r="P917" s="615">
        <f t="shared" si="268"/>
        <v>1255.8526923076922</v>
      </c>
      <c r="Q917" s="615">
        <f t="shared" si="268"/>
        <v>1497.1830256410256</v>
      </c>
      <c r="R917" s="615">
        <f t="shared" si="268"/>
        <v>1735.3481923076922</v>
      </c>
    </row>
    <row r="918" spans="2:18" ht="15" thickBot="1"/>
    <row r="919" spans="2:18">
      <c r="B919" s="1039" t="s">
        <v>658</v>
      </c>
      <c r="C919" s="1040"/>
    </row>
    <row r="920" spans="2:18" ht="15.5">
      <c r="B920" s="569" t="s">
        <v>360</v>
      </c>
      <c r="C920" s="617">
        <f>SUM(C916:R916)</f>
        <v>-43.951686268909334</v>
      </c>
    </row>
    <row r="921" spans="2:18" ht="15.5">
      <c r="B921" s="569" t="s">
        <v>659</v>
      </c>
      <c r="C921" s="618">
        <f>155.21</f>
        <v>155.21</v>
      </c>
    </row>
    <row r="922" spans="2:18" ht="15.5">
      <c r="B922" s="569" t="s">
        <v>660</v>
      </c>
      <c r="C922" s="618">
        <f>95.77</f>
        <v>95.77</v>
      </c>
    </row>
    <row r="923" spans="2:18" ht="16" thickBot="1">
      <c r="B923" s="619" t="s">
        <v>661</v>
      </c>
      <c r="C923" s="620">
        <f>SUM(C920:C922)</f>
        <v>207.02831373109069</v>
      </c>
    </row>
    <row r="925" spans="2:18" ht="15.5">
      <c r="B925" s="10" t="s">
        <v>662</v>
      </c>
      <c r="C925" s="621">
        <v>15887450</v>
      </c>
    </row>
    <row r="926" spans="2:18">
      <c r="B926" s="10" t="s">
        <v>663</v>
      </c>
      <c r="C926" s="646">
        <f>(C923/C925)*1000000</f>
        <v>13.030934085148385</v>
      </c>
    </row>
    <row r="929" spans="2:18" ht="15" thickBot="1">
      <c r="B929" s="1041" t="s">
        <v>703</v>
      </c>
      <c r="C929" s="1041"/>
      <c r="D929" s="1041"/>
      <c r="E929" s="1041"/>
    </row>
    <row r="930" spans="2:18">
      <c r="B930" s="562" t="s">
        <v>638</v>
      </c>
      <c r="C930" s="563">
        <v>2009</v>
      </c>
      <c r="D930" s="563">
        <v>2010</v>
      </c>
      <c r="E930" s="563">
        <v>2011</v>
      </c>
      <c r="F930" s="563">
        <v>2012</v>
      </c>
      <c r="G930" s="563">
        <v>2013</v>
      </c>
      <c r="H930" s="563">
        <v>2014</v>
      </c>
      <c r="I930" s="563">
        <v>2015</v>
      </c>
      <c r="J930" s="563">
        <v>2016</v>
      </c>
      <c r="K930" s="563">
        <v>2017</v>
      </c>
      <c r="L930" s="563">
        <v>2018</v>
      </c>
      <c r="M930" s="563">
        <v>2019</v>
      </c>
      <c r="N930" s="563">
        <v>2020</v>
      </c>
      <c r="O930" s="563">
        <v>2021</v>
      </c>
      <c r="P930" s="563">
        <v>2022</v>
      </c>
      <c r="Q930" s="563">
        <v>2023</v>
      </c>
      <c r="R930" s="564">
        <v>2024</v>
      </c>
    </row>
    <row r="931" spans="2:18">
      <c r="B931" s="569" t="s">
        <v>640</v>
      </c>
      <c r="C931" s="570">
        <v>-105</v>
      </c>
      <c r="D931" s="570">
        <v>-105</v>
      </c>
      <c r="E931" s="570">
        <v>-105</v>
      </c>
      <c r="F931" s="570">
        <v>-105</v>
      </c>
      <c r="G931" s="570"/>
      <c r="H931" s="570"/>
      <c r="I931" s="570"/>
      <c r="J931" s="571"/>
      <c r="K931" s="571"/>
      <c r="L931" s="571"/>
      <c r="M931" s="571"/>
      <c r="N931" s="571"/>
      <c r="O931" s="571"/>
      <c r="P931" s="571"/>
      <c r="Q931" s="571"/>
      <c r="R931" s="572"/>
    </row>
    <row r="932" spans="2:18">
      <c r="B932" s="569" t="s">
        <v>642</v>
      </c>
      <c r="C932" s="577" t="s">
        <v>643</v>
      </c>
      <c r="D932" s="577" t="s">
        <v>643</v>
      </c>
      <c r="E932" s="577" t="s">
        <v>643</v>
      </c>
      <c r="F932" s="577" t="s">
        <v>643</v>
      </c>
      <c r="G932" s="577" t="s">
        <v>644</v>
      </c>
      <c r="H932" s="577" t="s">
        <v>644</v>
      </c>
      <c r="I932" s="578">
        <v>115</v>
      </c>
      <c r="J932" s="578">
        <v>115</v>
      </c>
      <c r="K932" s="578">
        <v>115</v>
      </c>
      <c r="L932" s="578">
        <v>115</v>
      </c>
      <c r="M932" s="578">
        <v>115</v>
      </c>
      <c r="N932" s="578">
        <v>115</v>
      </c>
      <c r="O932" s="578">
        <v>115</v>
      </c>
      <c r="P932" s="578">
        <v>115</v>
      </c>
      <c r="Q932" s="578">
        <v>115</v>
      </c>
      <c r="R932" s="579">
        <v>115</v>
      </c>
    </row>
    <row r="933" spans="2:18">
      <c r="B933" s="569" t="s">
        <v>645</v>
      </c>
      <c r="C933" s="577" t="s">
        <v>646</v>
      </c>
      <c r="D933" s="577" t="s">
        <v>646</v>
      </c>
      <c r="E933" s="577" t="s">
        <v>647</v>
      </c>
      <c r="F933" s="577" t="s">
        <v>647</v>
      </c>
      <c r="G933" s="578">
        <v>120</v>
      </c>
      <c r="H933" s="578">
        <v>120</v>
      </c>
      <c r="I933" s="578">
        <v>120</v>
      </c>
      <c r="J933" s="578">
        <v>120</v>
      </c>
      <c r="K933" s="578">
        <v>120</v>
      </c>
      <c r="L933" s="578">
        <v>120</v>
      </c>
      <c r="M933" s="578">
        <v>120</v>
      </c>
      <c r="N933" s="578">
        <v>120</v>
      </c>
      <c r="O933" s="578">
        <v>120</v>
      </c>
      <c r="P933" s="578">
        <v>120</v>
      </c>
      <c r="Q933" s="578">
        <v>120</v>
      </c>
      <c r="R933" s="579">
        <v>120</v>
      </c>
    </row>
    <row r="934" spans="2:18">
      <c r="B934" s="569" t="s">
        <v>648</v>
      </c>
      <c r="C934" s="578">
        <f>C931+C932+C933</f>
        <v>-405</v>
      </c>
      <c r="D934" s="578">
        <f t="shared" ref="D934:R934" si="269">D931+D932+D933</f>
        <v>-405</v>
      </c>
      <c r="E934" s="578">
        <f t="shared" si="269"/>
        <v>-285</v>
      </c>
      <c r="F934" s="578">
        <f t="shared" si="269"/>
        <v>-285</v>
      </c>
      <c r="G934" s="578">
        <f t="shared" si="269"/>
        <v>75</v>
      </c>
      <c r="H934" s="578">
        <f t="shared" si="269"/>
        <v>75</v>
      </c>
      <c r="I934" s="578">
        <f t="shared" si="269"/>
        <v>235</v>
      </c>
      <c r="J934" s="578">
        <f t="shared" si="269"/>
        <v>235</v>
      </c>
      <c r="K934" s="578">
        <f t="shared" si="269"/>
        <v>235</v>
      </c>
      <c r="L934" s="578">
        <f t="shared" si="269"/>
        <v>235</v>
      </c>
      <c r="M934" s="578">
        <f t="shared" si="269"/>
        <v>235</v>
      </c>
      <c r="N934" s="578">
        <f t="shared" si="269"/>
        <v>235</v>
      </c>
      <c r="O934" s="578">
        <f t="shared" si="269"/>
        <v>235</v>
      </c>
      <c r="P934" s="578">
        <f t="shared" si="269"/>
        <v>235</v>
      </c>
      <c r="Q934" s="578">
        <f t="shared" si="269"/>
        <v>235</v>
      </c>
      <c r="R934" s="579">
        <f t="shared" si="269"/>
        <v>235</v>
      </c>
    </row>
    <row r="935" spans="2:18" ht="16" thickBot="1">
      <c r="B935" s="580" t="s">
        <v>649</v>
      </c>
      <c r="C935" s="581">
        <f>C934/(1+$C$2)^(C930-$C$3)</f>
        <v>-405</v>
      </c>
      <c r="D935" s="581">
        <f>D934/(1+$C$2)^(D930-$C$3)</f>
        <v>-364.05857459266912</v>
      </c>
      <c r="E935" s="581">
        <f t="shared" ref="E935:R935" si="270">E934/(1+$C$2)^(E930-$C$3)</f>
        <v>-230.29119972148825</v>
      </c>
      <c r="F935" s="581">
        <f t="shared" si="270"/>
        <v>-207.01107632553254</v>
      </c>
      <c r="G935" s="581">
        <f t="shared" si="270"/>
        <v>48.969562944748283</v>
      </c>
      <c r="H935" s="581">
        <f t="shared" si="270"/>
        <v>44.019232800224806</v>
      </c>
      <c r="I935" s="581">
        <f t="shared" si="270"/>
        <v>123.98390451883084</v>
      </c>
      <c r="J935" s="581">
        <f t="shared" si="270"/>
        <v>111.45037913965218</v>
      </c>
      <c r="K935" s="581">
        <f t="shared" si="270"/>
        <v>100.18386707998599</v>
      </c>
      <c r="L935" s="581">
        <f t="shared" si="270"/>
        <v>90.056286040299071</v>
      </c>
      <c r="M935" s="581">
        <f t="shared" si="270"/>
        <v>80.952501552940646</v>
      </c>
      <c r="N935" s="581">
        <f t="shared" si="270"/>
        <v>72.769018086603467</v>
      </c>
      <c r="O935" s="581">
        <f t="shared" si="270"/>
        <v>65.412802466955597</v>
      </c>
      <c r="P935" s="581">
        <f t="shared" si="270"/>
        <v>58.800226237609088</v>
      </c>
      <c r="Q935" s="581">
        <f t="shared" si="270"/>
        <v>52.856114937754143</v>
      </c>
      <c r="R935" s="582">
        <f t="shared" si="270"/>
        <v>47.512893488259401</v>
      </c>
    </row>
    <row r="936" spans="2:18" ht="15" thickBot="1"/>
    <row r="937" spans="2:18">
      <c r="B937" s="562" t="s">
        <v>650</v>
      </c>
      <c r="C937" s="583">
        <v>2009</v>
      </c>
      <c r="D937" s="583">
        <v>2010</v>
      </c>
      <c r="E937" s="583">
        <v>2011</v>
      </c>
      <c r="F937" s="583">
        <v>2012</v>
      </c>
      <c r="G937" s="583">
        <v>2013</v>
      </c>
      <c r="H937" s="583">
        <v>2014</v>
      </c>
      <c r="I937" s="583">
        <v>2015</v>
      </c>
      <c r="J937" s="583">
        <v>2016</v>
      </c>
      <c r="K937" s="583">
        <v>2017</v>
      </c>
      <c r="L937" s="583">
        <v>2018</v>
      </c>
      <c r="M937" s="583">
        <v>2019</v>
      </c>
      <c r="N937" s="583">
        <v>2020</v>
      </c>
      <c r="O937" s="583">
        <v>2021</v>
      </c>
      <c r="P937" s="583">
        <v>2022</v>
      </c>
      <c r="Q937" s="583">
        <v>2023</v>
      </c>
      <c r="R937" s="584">
        <v>2024</v>
      </c>
    </row>
    <row r="938" spans="2:18">
      <c r="B938" s="569"/>
      <c r="C938" s="578">
        <v>94.954999999999998</v>
      </c>
      <c r="D938" s="578">
        <v>94.954999999999998</v>
      </c>
      <c r="E938" s="578">
        <v>94.954999999999998</v>
      </c>
      <c r="F938" s="578">
        <v>94.954999999999998</v>
      </c>
      <c r="G938" s="578">
        <v>94.954999999999998</v>
      </c>
      <c r="H938" s="578">
        <v>94.954999999999998</v>
      </c>
      <c r="I938" s="578">
        <v>94.954999999999998</v>
      </c>
      <c r="J938" s="578">
        <v>94.954999999999998</v>
      </c>
      <c r="K938" s="578">
        <v>94.954999999999998</v>
      </c>
      <c r="L938" s="578">
        <v>94.954999999999998</v>
      </c>
      <c r="M938" s="578">
        <v>94.954999999999998</v>
      </c>
      <c r="N938" s="578">
        <v>94.954999999999998</v>
      </c>
      <c r="O938" s="578">
        <v>94.954999999999998</v>
      </c>
      <c r="P938" s="578">
        <v>94.954999999999998</v>
      </c>
      <c r="Q938" s="578">
        <v>94.954999999999998</v>
      </c>
      <c r="R938" s="579">
        <v>94.954999999999998</v>
      </c>
    </row>
    <row r="939" spans="2:18">
      <c r="B939" s="569" t="s">
        <v>648</v>
      </c>
      <c r="C939" s="585">
        <f>C246</f>
        <v>94.954999999999998</v>
      </c>
      <c r="D939" s="585">
        <f t="shared" ref="D939:R939" si="271">D246</f>
        <v>87.358599999999996</v>
      </c>
      <c r="E939" s="585">
        <f t="shared" si="271"/>
        <v>79.762199999999993</v>
      </c>
      <c r="F939" s="585">
        <f t="shared" si="271"/>
        <v>72.165800000000004</v>
      </c>
      <c r="G939" s="585">
        <f t="shared" si="271"/>
        <v>64.569399999999987</v>
      </c>
      <c r="H939" s="585">
        <f t="shared" si="271"/>
        <v>56.972999999999999</v>
      </c>
      <c r="I939" s="585">
        <f t="shared" si="271"/>
        <v>49.376600000000003</v>
      </c>
      <c r="J939" s="585">
        <f t="shared" si="271"/>
        <v>41.780199999999994</v>
      </c>
      <c r="K939" s="585">
        <f t="shared" si="271"/>
        <v>34.183799999999998</v>
      </c>
      <c r="L939" s="585">
        <f t="shared" si="271"/>
        <v>26.587400000000002</v>
      </c>
      <c r="M939" s="585">
        <f t="shared" si="271"/>
        <v>18.990999999999996</v>
      </c>
      <c r="N939" s="585">
        <f t="shared" si="271"/>
        <v>15.82583333333333</v>
      </c>
      <c r="O939" s="585">
        <f t="shared" si="271"/>
        <v>12.660666666666664</v>
      </c>
      <c r="P939" s="585">
        <f t="shared" si="271"/>
        <v>9.4954999999999981</v>
      </c>
      <c r="Q939" s="585">
        <f t="shared" si="271"/>
        <v>6.330333333333332</v>
      </c>
      <c r="R939" s="585">
        <f t="shared" si="271"/>
        <v>3.165166666666666</v>
      </c>
    </row>
    <row r="940" spans="2:18" ht="16" thickBot="1">
      <c r="B940" s="580" t="s">
        <v>651</v>
      </c>
      <c r="C940" s="581">
        <f>C939/(1+$C$2)^(C937-$C$3)</f>
        <v>94.954999999999998</v>
      </c>
      <c r="D940" s="581">
        <f t="shared" ref="D940:R940" si="272">D939/(1+$C$2)^(D937-$C$3)</f>
        <v>78.527524430644789</v>
      </c>
      <c r="E940" s="581">
        <f t="shared" si="272"/>
        <v>64.450992036579962</v>
      </c>
      <c r="F940" s="581">
        <f t="shared" si="272"/>
        <v>52.417964673309186</v>
      </c>
      <c r="G940" s="581">
        <f t="shared" si="272"/>
        <v>42.159137301395056</v>
      </c>
      <c r="H940" s="581">
        <f t="shared" si="272"/>
        <v>33.438770004362773</v>
      </c>
      <c r="I940" s="581">
        <f t="shared" si="272"/>
        <v>26.050653871763842</v>
      </c>
      <c r="J940" s="581">
        <f t="shared" si="272"/>
        <v>19.814549491619132</v>
      </c>
      <c r="K940" s="581">
        <f t="shared" si="272"/>
        <v>14.573043725484361</v>
      </c>
      <c r="L940" s="581">
        <f t="shared" si="272"/>
        <v>10.188776593480203</v>
      </c>
      <c r="M940" s="581">
        <f t="shared" si="272"/>
        <v>6.5419955616676413</v>
      </c>
      <c r="N940" s="581">
        <f t="shared" si="272"/>
        <v>4.900554689654915</v>
      </c>
      <c r="O940" s="581">
        <f t="shared" si="272"/>
        <v>3.5241263309218538</v>
      </c>
      <c r="P940" s="581">
        <f t="shared" si="272"/>
        <v>2.3759044605924129</v>
      </c>
      <c r="Q940" s="581">
        <f t="shared" si="272"/>
        <v>1.4238162819615443</v>
      </c>
      <c r="R940" s="582">
        <f t="shared" si="272"/>
        <v>0.63994139023796737</v>
      </c>
    </row>
    <row r="941" spans="2:18" ht="15" thickBot="1">
      <c r="C941" s="587"/>
      <c r="D941" s="587"/>
      <c r="E941" s="587"/>
      <c r="F941" s="587"/>
      <c r="G941" s="587"/>
      <c r="H941" s="587"/>
      <c r="I941" s="587"/>
      <c r="J941" s="587"/>
      <c r="K941" s="587"/>
      <c r="L941" s="587"/>
      <c r="M941" s="587"/>
      <c r="N941" s="587"/>
      <c r="O941" s="587"/>
      <c r="P941" s="587"/>
      <c r="Q941" s="587"/>
      <c r="R941" s="587"/>
    </row>
    <row r="942" spans="2:18">
      <c r="B942" s="562" t="s">
        <v>652</v>
      </c>
      <c r="C942" s="583">
        <v>2009</v>
      </c>
      <c r="D942" s="583">
        <v>2010</v>
      </c>
      <c r="E942" s="583">
        <v>2011</v>
      </c>
      <c r="F942" s="583">
        <v>2012</v>
      </c>
      <c r="G942" s="583">
        <v>2013</v>
      </c>
      <c r="H942" s="583">
        <v>2014</v>
      </c>
      <c r="I942" s="583">
        <v>2015</v>
      </c>
      <c r="J942" s="583">
        <v>2016</v>
      </c>
      <c r="K942" s="583">
        <v>2017</v>
      </c>
      <c r="L942" s="583">
        <v>2018</v>
      </c>
      <c r="M942" s="583">
        <v>2019</v>
      </c>
      <c r="N942" s="583">
        <v>2020</v>
      </c>
      <c r="O942" s="583">
        <v>2021</v>
      </c>
      <c r="P942" s="583">
        <v>2022</v>
      </c>
      <c r="Q942" s="583">
        <v>2023</v>
      </c>
      <c r="R942" s="584">
        <v>2024</v>
      </c>
    </row>
    <row r="943" spans="2:18">
      <c r="B943" s="588" t="s">
        <v>653</v>
      </c>
      <c r="C943" s="589">
        <f>V53</f>
        <v>-4.6523076923076925</v>
      </c>
      <c r="D943" s="589">
        <f>W53</f>
        <v>-16.728024760770847</v>
      </c>
      <c r="E943" s="589">
        <f>X53</f>
        <v>-1.2530824794561952</v>
      </c>
      <c r="F943" s="589"/>
      <c r="G943" s="589"/>
      <c r="H943" s="589"/>
      <c r="I943" s="589"/>
      <c r="J943" s="589"/>
      <c r="K943" s="589"/>
      <c r="L943" s="578"/>
      <c r="M943" s="578"/>
      <c r="N943" s="578"/>
      <c r="O943" s="578"/>
      <c r="P943" s="578"/>
      <c r="Q943" s="578"/>
      <c r="R943" s="579"/>
    </row>
    <row r="944" spans="2:18">
      <c r="B944" s="590" t="s">
        <v>654</v>
      </c>
      <c r="C944" s="578"/>
      <c r="D944" s="578"/>
      <c r="E944" s="578"/>
      <c r="F944" s="578"/>
      <c r="G944" s="585"/>
      <c r="H944" s="585"/>
      <c r="I944" s="585"/>
      <c r="J944" s="585"/>
      <c r="K944" s="585"/>
      <c r="L944" s="585"/>
      <c r="M944" s="585"/>
      <c r="N944" s="585"/>
      <c r="O944" s="585"/>
      <c r="P944" s="585"/>
      <c r="Q944" s="585"/>
      <c r="R944" s="586"/>
    </row>
    <row r="945" spans="2:18">
      <c r="B945" s="592" t="s">
        <v>648</v>
      </c>
      <c r="C945" s="593">
        <f t="shared" ref="C945:R945" si="273">V63</f>
        <v>-4.6523076923076925</v>
      </c>
      <c r="D945" s="593">
        <f t="shared" si="273"/>
        <v>-18.60923076923077</v>
      </c>
      <c r="E945" s="593">
        <f t="shared" si="273"/>
        <v>-1.5507692307692307</v>
      </c>
      <c r="F945" s="593">
        <f t="shared" si="273"/>
        <v>0</v>
      </c>
      <c r="G945" s="593">
        <f t="shared" si="273"/>
        <v>0</v>
      </c>
      <c r="H945" s="593">
        <f t="shared" si="273"/>
        <v>0</v>
      </c>
      <c r="I945" s="593">
        <f t="shared" si="273"/>
        <v>0</v>
      </c>
      <c r="J945" s="593">
        <f t="shared" si="273"/>
        <v>0</v>
      </c>
      <c r="K945" s="593">
        <f t="shared" si="273"/>
        <v>0</v>
      </c>
      <c r="L945" s="593">
        <f t="shared" si="273"/>
        <v>0</v>
      </c>
      <c r="M945" s="593">
        <f t="shared" si="273"/>
        <v>0</v>
      </c>
      <c r="N945" s="593">
        <f t="shared" si="273"/>
        <v>0</v>
      </c>
      <c r="O945" s="593">
        <f t="shared" si="273"/>
        <v>0</v>
      </c>
      <c r="P945" s="593">
        <f t="shared" si="273"/>
        <v>0</v>
      </c>
      <c r="Q945" s="593">
        <f t="shared" si="273"/>
        <v>0</v>
      </c>
      <c r="R945" s="593">
        <f t="shared" si="273"/>
        <v>0</v>
      </c>
    </row>
    <row r="946" spans="2:18" ht="16" thickBot="1">
      <c r="B946" s="597" t="str">
        <f>B913</f>
        <v>CF actualisés</v>
      </c>
      <c r="C946" s="598">
        <f t="shared" ref="C946:R946" si="274">C943+C944</f>
        <v>-4.6523076923076925</v>
      </c>
      <c r="D946" s="598">
        <f t="shared" si="274"/>
        <v>-16.728024760770847</v>
      </c>
      <c r="E946" s="598">
        <f t="shared" si="274"/>
        <v>-1.2530824794561952</v>
      </c>
      <c r="F946" s="598">
        <f t="shared" si="274"/>
        <v>0</v>
      </c>
      <c r="G946" s="598">
        <f t="shared" si="274"/>
        <v>0</v>
      </c>
      <c r="H946" s="598">
        <f t="shared" si="274"/>
        <v>0</v>
      </c>
      <c r="I946" s="598">
        <f t="shared" si="274"/>
        <v>0</v>
      </c>
      <c r="J946" s="598">
        <f t="shared" si="274"/>
        <v>0</v>
      </c>
      <c r="K946" s="598">
        <f t="shared" si="274"/>
        <v>0</v>
      </c>
      <c r="L946" s="598">
        <f t="shared" si="274"/>
        <v>0</v>
      </c>
      <c r="M946" s="598">
        <f t="shared" si="274"/>
        <v>0</v>
      </c>
      <c r="N946" s="598">
        <f t="shared" si="274"/>
        <v>0</v>
      </c>
      <c r="O946" s="598">
        <f t="shared" si="274"/>
        <v>0</v>
      </c>
      <c r="P946" s="598">
        <f t="shared" si="274"/>
        <v>0</v>
      </c>
      <c r="Q946" s="598">
        <f t="shared" si="274"/>
        <v>0</v>
      </c>
      <c r="R946" s="599">
        <f t="shared" si="274"/>
        <v>0</v>
      </c>
    </row>
    <row r="947" spans="2:18" ht="16" thickBot="1">
      <c r="C947" s="603"/>
      <c r="D947" s="603"/>
      <c r="E947" s="603"/>
      <c r="F947" s="603"/>
      <c r="G947" s="603"/>
      <c r="H947" s="603"/>
      <c r="I947" s="603"/>
      <c r="J947" s="603"/>
      <c r="K947" s="603"/>
      <c r="L947" s="603"/>
      <c r="M947" s="603"/>
      <c r="N947" s="603"/>
      <c r="O947" s="603"/>
      <c r="P947" s="603"/>
      <c r="Q947" s="603"/>
      <c r="R947" s="603"/>
    </row>
    <row r="948" spans="2:18" ht="15.5">
      <c r="B948" s="607"/>
      <c r="C948" s="608">
        <v>2009</v>
      </c>
      <c r="D948" s="608">
        <v>2010</v>
      </c>
      <c r="E948" s="608">
        <v>2011</v>
      </c>
      <c r="F948" s="608">
        <v>2012</v>
      </c>
      <c r="G948" s="608">
        <v>2013</v>
      </c>
      <c r="H948" s="608">
        <v>2014</v>
      </c>
      <c r="I948" s="608">
        <v>2015</v>
      </c>
      <c r="J948" s="608">
        <v>2016</v>
      </c>
      <c r="K948" s="608">
        <v>2017</v>
      </c>
      <c r="L948" s="608">
        <v>2018</v>
      </c>
      <c r="M948" s="608">
        <v>2019</v>
      </c>
      <c r="N948" s="608">
        <v>2020</v>
      </c>
      <c r="O948" s="608">
        <v>2021</v>
      </c>
      <c r="P948" s="608">
        <v>2022</v>
      </c>
      <c r="Q948" s="608">
        <v>2023</v>
      </c>
      <c r="R948" s="609">
        <v>2024</v>
      </c>
    </row>
    <row r="949" spans="2:18" ht="15" thickBot="1">
      <c r="B949" s="610" t="s">
        <v>656</v>
      </c>
      <c r="C949" s="611">
        <f t="shared" ref="C949:R949" si="275">C946+C940+C935</f>
        <v>-314.69730769230767</v>
      </c>
      <c r="D949" s="611">
        <f t="shared" si="275"/>
        <v>-302.25907492279521</v>
      </c>
      <c r="E949" s="611">
        <f t="shared" si="275"/>
        <v>-167.09329016436448</v>
      </c>
      <c r="F949" s="611">
        <f t="shared" si="275"/>
        <v>-154.59311165222334</v>
      </c>
      <c r="G949" s="611">
        <f t="shared" si="275"/>
        <v>91.128700246143339</v>
      </c>
      <c r="H949" s="611">
        <f t="shared" si="275"/>
        <v>77.458002804587579</v>
      </c>
      <c r="I949" s="611">
        <f t="shared" si="275"/>
        <v>150.03455839059467</v>
      </c>
      <c r="J949" s="611">
        <f t="shared" si="275"/>
        <v>131.26492863127132</v>
      </c>
      <c r="K949" s="611">
        <f t="shared" si="275"/>
        <v>114.75691080547034</v>
      </c>
      <c r="L949" s="611">
        <f t="shared" si="275"/>
        <v>100.24506263377927</v>
      </c>
      <c r="M949" s="611">
        <f t="shared" si="275"/>
        <v>87.494497114608293</v>
      </c>
      <c r="N949" s="611">
        <f t="shared" si="275"/>
        <v>77.669572776258377</v>
      </c>
      <c r="O949" s="611">
        <f t="shared" si="275"/>
        <v>68.936928797877457</v>
      </c>
      <c r="P949" s="611">
        <f t="shared" si="275"/>
        <v>61.176130698201504</v>
      </c>
      <c r="Q949" s="611">
        <f t="shared" si="275"/>
        <v>54.279931219715685</v>
      </c>
      <c r="R949" s="612">
        <f t="shared" si="275"/>
        <v>48.152834878497366</v>
      </c>
    </row>
    <row r="950" spans="2:18" ht="15" thickBot="1">
      <c r="B950" s="613" t="str">
        <f>B917</f>
        <v>Trésorerie</v>
      </c>
      <c r="C950" s="614">
        <f>C954+C955+C945+C939+C934</f>
        <v>-63.717307692307656</v>
      </c>
      <c r="D950" s="615">
        <f>C950+D945+D939+D934</f>
        <v>-399.96793846153844</v>
      </c>
      <c r="E950" s="615">
        <f t="shared" ref="E950:R950" si="276">D950+E945+E939+E934</f>
        <v>-606.75650769230765</v>
      </c>
      <c r="F950" s="615">
        <f t="shared" si="276"/>
        <v>-819.59070769230766</v>
      </c>
      <c r="G950" s="615">
        <f t="shared" si="276"/>
        <v>-680.02130769230769</v>
      </c>
      <c r="H950" s="615">
        <f t="shared" si="276"/>
        <v>-548.04830769230773</v>
      </c>
      <c r="I950" s="615">
        <f t="shared" si="276"/>
        <v>-263.67170769230773</v>
      </c>
      <c r="J950" s="615">
        <f t="shared" si="276"/>
        <v>13.108492307692245</v>
      </c>
      <c r="K950" s="615">
        <f t="shared" si="276"/>
        <v>282.29229230769226</v>
      </c>
      <c r="L950" s="615">
        <f t="shared" si="276"/>
        <v>543.87969230769227</v>
      </c>
      <c r="M950" s="615">
        <f t="shared" si="276"/>
        <v>797.87069230769225</v>
      </c>
      <c r="N950" s="615">
        <f t="shared" si="276"/>
        <v>1048.6965256410256</v>
      </c>
      <c r="O950" s="615">
        <f t="shared" si="276"/>
        <v>1296.3571923076922</v>
      </c>
      <c r="P950" s="615">
        <f t="shared" si="276"/>
        <v>1540.8526923076922</v>
      </c>
      <c r="Q950" s="615">
        <f t="shared" si="276"/>
        <v>1782.1830256410256</v>
      </c>
      <c r="R950" s="615">
        <f t="shared" si="276"/>
        <v>2020.3481923076922</v>
      </c>
    </row>
    <row r="951" spans="2:18" ht="15" thickBot="1"/>
    <row r="952" spans="2:18">
      <c r="B952" s="1039" t="s">
        <v>658</v>
      </c>
      <c r="C952" s="1040"/>
    </row>
    <row r="953" spans="2:18" ht="15.5">
      <c r="B953" s="569" t="s">
        <v>360</v>
      </c>
      <c r="C953" s="617">
        <f>SUM(C949:R949)</f>
        <v>123.95527456531445</v>
      </c>
    </row>
    <row r="954" spans="2:18" ht="15.5">
      <c r="B954" s="569" t="s">
        <v>659</v>
      </c>
      <c r="C954" s="618">
        <f>155.21</f>
        <v>155.21</v>
      </c>
    </row>
    <row r="955" spans="2:18" ht="15.5">
      <c r="B955" s="569" t="s">
        <v>660</v>
      </c>
      <c r="C955" s="618">
        <f>95.77</f>
        <v>95.77</v>
      </c>
    </row>
    <row r="956" spans="2:18" ht="16" thickBot="1">
      <c r="B956" s="619" t="s">
        <v>661</v>
      </c>
      <c r="C956" s="620">
        <f>SUM(C953:C955)</f>
        <v>374.93527456531444</v>
      </c>
    </row>
    <row r="958" spans="2:18" ht="15.5">
      <c r="B958" s="10" t="s">
        <v>662</v>
      </c>
      <c r="C958" s="621">
        <v>15887450</v>
      </c>
    </row>
    <row r="959" spans="2:18">
      <c r="B959" s="10" t="s">
        <v>663</v>
      </c>
      <c r="C959" s="646">
        <f>(C956/C958)*1000000</f>
        <v>23.599462126729868</v>
      </c>
    </row>
    <row r="962" spans="2:18" ht="15" thickBot="1">
      <c r="B962" s="1041" t="s">
        <v>704</v>
      </c>
      <c r="C962" s="1041"/>
      <c r="D962" s="1041"/>
      <c r="E962" s="1041"/>
    </row>
    <row r="963" spans="2:18">
      <c r="B963" s="562" t="s">
        <v>638</v>
      </c>
      <c r="C963" s="563">
        <v>2009</v>
      </c>
      <c r="D963" s="563">
        <v>2010</v>
      </c>
      <c r="E963" s="563">
        <v>2011</v>
      </c>
      <c r="F963" s="563">
        <v>2012</v>
      </c>
      <c r="G963" s="563">
        <v>2013</v>
      </c>
      <c r="H963" s="563">
        <v>2014</v>
      </c>
      <c r="I963" s="563">
        <v>2015</v>
      </c>
      <c r="J963" s="563">
        <v>2016</v>
      </c>
      <c r="K963" s="563">
        <v>2017</v>
      </c>
      <c r="L963" s="563">
        <v>2018</v>
      </c>
      <c r="M963" s="563">
        <v>2019</v>
      </c>
      <c r="N963" s="563">
        <v>2020</v>
      </c>
      <c r="O963" s="563">
        <v>2021</v>
      </c>
      <c r="P963" s="563">
        <v>2022</v>
      </c>
      <c r="Q963" s="563">
        <v>2023</v>
      </c>
      <c r="R963" s="564">
        <v>2024</v>
      </c>
    </row>
    <row r="964" spans="2:18">
      <c r="B964" s="569" t="s">
        <v>640</v>
      </c>
      <c r="C964" s="570">
        <v>-105</v>
      </c>
      <c r="D964" s="570">
        <v>-105</v>
      </c>
      <c r="E964" s="570">
        <v>-105</v>
      </c>
      <c r="F964" s="570">
        <v>-105</v>
      </c>
      <c r="G964" s="570">
        <v>-95</v>
      </c>
      <c r="H964" s="570">
        <v>-95</v>
      </c>
      <c r="I964" s="570">
        <v>-95</v>
      </c>
      <c r="J964" s="571">
        <v>185</v>
      </c>
      <c r="K964" s="571">
        <v>185</v>
      </c>
      <c r="L964" s="571">
        <v>185</v>
      </c>
      <c r="M964" s="571">
        <v>185</v>
      </c>
      <c r="N964" s="571">
        <v>185</v>
      </c>
      <c r="O964" s="571">
        <v>185</v>
      </c>
      <c r="P964" s="571">
        <v>185</v>
      </c>
      <c r="Q964" s="571">
        <v>185</v>
      </c>
      <c r="R964" s="572">
        <v>185</v>
      </c>
    </row>
    <row r="965" spans="2:18">
      <c r="B965" s="569" t="s">
        <v>642</v>
      </c>
      <c r="C965" s="577" t="s">
        <v>643</v>
      </c>
      <c r="D965" s="577" t="s">
        <v>643</v>
      </c>
      <c r="E965" s="577" t="s">
        <v>643</v>
      </c>
      <c r="F965" s="577" t="s">
        <v>643</v>
      </c>
      <c r="G965" s="577" t="s">
        <v>644</v>
      </c>
      <c r="H965" s="577" t="s">
        <v>644</v>
      </c>
      <c r="I965" s="578"/>
      <c r="J965" s="578"/>
      <c r="K965" s="578"/>
      <c r="L965" s="578"/>
      <c r="M965" s="578"/>
      <c r="N965" s="578"/>
      <c r="O965" s="578"/>
      <c r="P965" s="578"/>
      <c r="Q965" s="578"/>
      <c r="R965" s="579"/>
    </row>
    <row r="966" spans="2:18">
      <c r="B966" s="569" t="s">
        <v>645</v>
      </c>
      <c r="C966" s="577" t="s">
        <v>646</v>
      </c>
      <c r="D966" s="577" t="s">
        <v>646</v>
      </c>
      <c r="E966" s="577" t="s">
        <v>647</v>
      </c>
      <c r="F966" s="577" t="s">
        <v>647</v>
      </c>
      <c r="G966" s="578">
        <v>120</v>
      </c>
      <c r="H966" s="578">
        <v>120</v>
      </c>
      <c r="I966" s="578">
        <v>120</v>
      </c>
      <c r="J966" s="578">
        <v>120</v>
      </c>
      <c r="K966" s="578">
        <v>120</v>
      </c>
      <c r="L966" s="578">
        <v>120</v>
      </c>
      <c r="M966" s="578">
        <v>120</v>
      </c>
      <c r="N966" s="578">
        <v>120</v>
      </c>
      <c r="O966" s="578">
        <v>120</v>
      </c>
      <c r="P966" s="578">
        <v>120</v>
      </c>
      <c r="Q966" s="578">
        <v>120</v>
      </c>
      <c r="R966" s="579">
        <v>120</v>
      </c>
    </row>
    <row r="967" spans="2:18">
      <c r="B967" s="569" t="s">
        <v>648</v>
      </c>
      <c r="C967" s="578">
        <f>C964+C965+C966</f>
        <v>-405</v>
      </c>
      <c r="D967" s="578">
        <f t="shared" ref="D967:R967" si="277">D964+D965+D966</f>
        <v>-405</v>
      </c>
      <c r="E967" s="578">
        <f t="shared" si="277"/>
        <v>-285</v>
      </c>
      <c r="F967" s="578">
        <f t="shared" si="277"/>
        <v>-285</v>
      </c>
      <c r="G967" s="578">
        <f t="shared" si="277"/>
        <v>-20</v>
      </c>
      <c r="H967" s="578">
        <f t="shared" si="277"/>
        <v>-20</v>
      </c>
      <c r="I967" s="578">
        <f t="shared" si="277"/>
        <v>25</v>
      </c>
      <c r="J967" s="578">
        <f t="shared" si="277"/>
        <v>305</v>
      </c>
      <c r="K967" s="578">
        <f t="shared" si="277"/>
        <v>305</v>
      </c>
      <c r="L967" s="578">
        <f t="shared" si="277"/>
        <v>305</v>
      </c>
      <c r="M967" s="578">
        <f t="shared" si="277"/>
        <v>305</v>
      </c>
      <c r="N967" s="578">
        <f t="shared" si="277"/>
        <v>305</v>
      </c>
      <c r="O967" s="578">
        <f t="shared" si="277"/>
        <v>305</v>
      </c>
      <c r="P967" s="578">
        <f t="shared" si="277"/>
        <v>305</v>
      </c>
      <c r="Q967" s="578">
        <f t="shared" si="277"/>
        <v>305</v>
      </c>
      <c r="R967" s="579">
        <f t="shared" si="277"/>
        <v>305</v>
      </c>
    </row>
    <row r="968" spans="2:18" ht="16" thickBot="1">
      <c r="B968" s="580" t="s">
        <v>649</v>
      </c>
      <c r="C968" s="581">
        <f>C967/(1+$C$2)^(C963-$C$3)</f>
        <v>-405</v>
      </c>
      <c r="D968" s="581">
        <f>D967/(1+$C$2)^(D963-$C$3)</f>
        <v>-364.05857459266912</v>
      </c>
      <c r="E968" s="581">
        <f t="shared" ref="E968:R968" si="278">E967/(1+$C$2)^(E963-$C$3)</f>
        <v>-230.29119972148825</v>
      </c>
      <c r="F968" s="581">
        <f t="shared" si="278"/>
        <v>-207.01107632553254</v>
      </c>
      <c r="G968" s="581">
        <f t="shared" si="278"/>
        <v>-13.058550118599543</v>
      </c>
      <c r="H968" s="581">
        <f t="shared" si="278"/>
        <v>-11.738462080059948</v>
      </c>
      <c r="I968" s="581">
        <f t="shared" si="278"/>
        <v>13.189777076471366</v>
      </c>
      <c r="J968" s="581">
        <f t="shared" si="278"/>
        <v>144.64836441529326</v>
      </c>
      <c r="K968" s="581">
        <f t="shared" si="278"/>
        <v>130.02587003998181</v>
      </c>
      <c r="L968" s="581">
        <f t="shared" si="278"/>
        <v>116.88156273315411</v>
      </c>
      <c r="M968" s="581">
        <f t="shared" si="278"/>
        <v>105.06601265381659</v>
      </c>
      <c r="N968" s="581">
        <f t="shared" si="278"/>
        <v>94.444895814527897</v>
      </c>
      <c r="O968" s="581">
        <f t="shared" si="278"/>
        <v>84.897467031580661</v>
      </c>
      <c r="P968" s="581">
        <f t="shared" si="278"/>
        <v>76.315187244556483</v>
      </c>
      <c r="Q968" s="581">
        <f t="shared" si="278"/>
        <v>68.600489600063895</v>
      </c>
      <c r="R968" s="582">
        <f t="shared" si="278"/>
        <v>61.665670271996241</v>
      </c>
    </row>
    <row r="969" spans="2:18" ht="15" thickBot="1"/>
    <row r="970" spans="2:18">
      <c r="B970" s="562" t="s">
        <v>650</v>
      </c>
      <c r="C970" s="583">
        <v>2009</v>
      </c>
      <c r="D970" s="583">
        <v>2010</v>
      </c>
      <c r="E970" s="583">
        <v>2011</v>
      </c>
      <c r="F970" s="583">
        <v>2012</v>
      </c>
      <c r="G970" s="583">
        <v>2013</v>
      </c>
      <c r="H970" s="583">
        <v>2014</v>
      </c>
      <c r="I970" s="583">
        <v>2015</v>
      </c>
      <c r="J970" s="583">
        <v>2016</v>
      </c>
      <c r="K970" s="583">
        <v>2017</v>
      </c>
      <c r="L970" s="583">
        <v>2018</v>
      </c>
      <c r="M970" s="583">
        <v>2019</v>
      </c>
      <c r="N970" s="583">
        <v>2020</v>
      </c>
      <c r="O970" s="583">
        <v>2021</v>
      </c>
      <c r="P970" s="583">
        <v>2022</v>
      </c>
      <c r="Q970" s="583">
        <v>2023</v>
      </c>
      <c r="R970" s="584">
        <v>2024</v>
      </c>
    </row>
    <row r="971" spans="2:18">
      <c r="B971" s="569"/>
      <c r="C971" s="578">
        <v>94.954999999999998</v>
      </c>
      <c r="D971" s="578">
        <v>94.954999999999998</v>
      </c>
      <c r="E971" s="578">
        <v>94.954999999999998</v>
      </c>
      <c r="F971" s="578">
        <v>94.954999999999998</v>
      </c>
      <c r="G971" s="578">
        <v>94.954999999999998</v>
      </c>
      <c r="H971" s="578">
        <v>94.954999999999998</v>
      </c>
      <c r="I971" s="578">
        <v>94.954999999999998</v>
      </c>
      <c r="J971" s="578">
        <v>94.954999999999998</v>
      </c>
      <c r="K971" s="578">
        <v>94.954999999999998</v>
      </c>
      <c r="L971" s="578">
        <v>94.954999999999998</v>
      </c>
      <c r="M971" s="578">
        <v>94.954999999999998</v>
      </c>
      <c r="N971" s="578">
        <v>94.954999999999998</v>
      </c>
      <c r="O971" s="578">
        <v>94.954999999999998</v>
      </c>
      <c r="P971" s="578">
        <v>94.954999999999998</v>
      </c>
      <c r="Q971" s="578">
        <v>94.954999999999998</v>
      </c>
      <c r="R971" s="579">
        <v>94.954999999999998</v>
      </c>
    </row>
    <row r="972" spans="2:18">
      <c r="B972" s="569" t="s">
        <v>648</v>
      </c>
      <c r="C972" s="585">
        <f>C246</f>
        <v>94.954999999999998</v>
      </c>
      <c r="D972" s="585">
        <f t="shared" ref="D972:R972" si="279">D246</f>
        <v>87.358599999999996</v>
      </c>
      <c r="E972" s="585">
        <f t="shared" si="279"/>
        <v>79.762199999999993</v>
      </c>
      <c r="F972" s="585">
        <f t="shared" si="279"/>
        <v>72.165800000000004</v>
      </c>
      <c r="G972" s="585">
        <f t="shared" si="279"/>
        <v>64.569399999999987</v>
      </c>
      <c r="H972" s="585">
        <f t="shared" si="279"/>
        <v>56.972999999999999</v>
      </c>
      <c r="I972" s="585">
        <f t="shared" si="279"/>
        <v>49.376600000000003</v>
      </c>
      <c r="J972" s="585">
        <f t="shared" si="279"/>
        <v>41.780199999999994</v>
      </c>
      <c r="K972" s="585">
        <f t="shared" si="279"/>
        <v>34.183799999999998</v>
      </c>
      <c r="L972" s="585">
        <f t="shared" si="279"/>
        <v>26.587400000000002</v>
      </c>
      <c r="M972" s="585">
        <f t="shared" si="279"/>
        <v>18.990999999999996</v>
      </c>
      <c r="N972" s="585">
        <f t="shared" si="279"/>
        <v>15.82583333333333</v>
      </c>
      <c r="O972" s="585">
        <f t="shared" si="279"/>
        <v>12.660666666666664</v>
      </c>
      <c r="P972" s="585">
        <f t="shared" si="279"/>
        <v>9.4954999999999981</v>
      </c>
      <c r="Q972" s="585">
        <f t="shared" si="279"/>
        <v>6.330333333333332</v>
      </c>
      <c r="R972" s="585">
        <f t="shared" si="279"/>
        <v>3.165166666666666</v>
      </c>
    </row>
    <row r="973" spans="2:18" ht="16" thickBot="1">
      <c r="B973" s="580" t="s">
        <v>651</v>
      </c>
      <c r="C973" s="581">
        <f>C972/(1+$C$2)^(C970-$C$3)</f>
        <v>94.954999999999998</v>
      </c>
      <c r="D973" s="581">
        <f t="shared" ref="D973:R973" si="280">D972/(1+$C$2)^(D970-$C$3)</f>
        <v>78.527524430644789</v>
      </c>
      <c r="E973" s="581">
        <f t="shared" si="280"/>
        <v>64.450992036579962</v>
      </c>
      <c r="F973" s="581">
        <f t="shared" si="280"/>
        <v>52.417964673309186</v>
      </c>
      <c r="G973" s="581">
        <f t="shared" si="280"/>
        <v>42.159137301395056</v>
      </c>
      <c r="H973" s="581">
        <f t="shared" si="280"/>
        <v>33.438770004362773</v>
      </c>
      <c r="I973" s="581">
        <f t="shared" si="280"/>
        <v>26.050653871763842</v>
      </c>
      <c r="J973" s="581">
        <f t="shared" si="280"/>
        <v>19.814549491619132</v>
      </c>
      <c r="K973" s="581">
        <f t="shared" si="280"/>
        <v>14.573043725484361</v>
      </c>
      <c r="L973" s="581">
        <f t="shared" si="280"/>
        <v>10.188776593480203</v>
      </c>
      <c r="M973" s="581">
        <f t="shared" si="280"/>
        <v>6.5419955616676413</v>
      </c>
      <c r="N973" s="581">
        <f t="shared" si="280"/>
        <v>4.900554689654915</v>
      </c>
      <c r="O973" s="581">
        <f t="shared" si="280"/>
        <v>3.5241263309218538</v>
      </c>
      <c r="P973" s="581">
        <f t="shared" si="280"/>
        <v>2.3759044605924129</v>
      </c>
      <c r="Q973" s="581">
        <f t="shared" si="280"/>
        <v>1.4238162819615443</v>
      </c>
      <c r="R973" s="582">
        <f t="shared" si="280"/>
        <v>0.63994139023796737</v>
      </c>
    </row>
    <row r="974" spans="2:18" ht="15" thickBot="1">
      <c r="C974" s="587"/>
      <c r="D974" s="587"/>
      <c r="E974" s="587"/>
      <c r="F974" s="587"/>
      <c r="G974" s="587"/>
      <c r="H974" s="587"/>
      <c r="I974" s="587"/>
      <c r="J974" s="587"/>
      <c r="K974" s="587"/>
      <c r="L974" s="587"/>
      <c r="M974" s="587"/>
      <c r="N974" s="587"/>
      <c r="O974" s="587"/>
      <c r="P974" s="587"/>
      <c r="Q974" s="587"/>
      <c r="R974" s="587"/>
    </row>
    <row r="975" spans="2:18">
      <c r="B975" s="562" t="s">
        <v>652</v>
      </c>
      <c r="C975" s="583">
        <v>2009</v>
      </c>
      <c r="D975" s="583">
        <v>2010</v>
      </c>
      <c r="E975" s="583">
        <v>2011</v>
      </c>
      <c r="F975" s="583">
        <v>2012</v>
      </c>
      <c r="G975" s="583">
        <v>2013</v>
      </c>
      <c r="H975" s="583">
        <v>2014</v>
      </c>
      <c r="I975" s="583">
        <v>2015</v>
      </c>
      <c r="J975" s="583">
        <v>2016</v>
      </c>
      <c r="K975" s="583">
        <v>2017</v>
      </c>
      <c r="L975" s="583">
        <v>2018</v>
      </c>
      <c r="M975" s="583">
        <v>2019</v>
      </c>
      <c r="N975" s="583">
        <v>2020</v>
      </c>
      <c r="O975" s="583">
        <v>2021</v>
      </c>
      <c r="P975" s="583">
        <v>2022</v>
      </c>
      <c r="Q975" s="583">
        <v>2023</v>
      </c>
      <c r="R975" s="584">
        <v>2024</v>
      </c>
    </row>
    <row r="976" spans="2:18">
      <c r="B976" s="588" t="s">
        <v>653</v>
      </c>
      <c r="C976" s="589">
        <f>V53</f>
        <v>-4.6523076923076925</v>
      </c>
      <c r="D976" s="589">
        <f>W53</f>
        <v>-16.728024760770847</v>
      </c>
      <c r="E976" s="589">
        <f>X53</f>
        <v>-1.2530824794561952</v>
      </c>
      <c r="F976" s="589"/>
      <c r="G976" s="589"/>
      <c r="H976" s="589"/>
      <c r="I976" s="589"/>
      <c r="J976" s="589"/>
      <c r="K976" s="589"/>
      <c r="L976" s="578"/>
      <c r="M976" s="578"/>
      <c r="N976" s="578"/>
      <c r="O976" s="578"/>
      <c r="P976" s="578"/>
      <c r="Q976" s="578"/>
      <c r="R976" s="579"/>
    </row>
    <row r="977" spans="2:18">
      <c r="B977" s="590" t="s">
        <v>654</v>
      </c>
      <c r="C977" s="578"/>
      <c r="D977" s="578"/>
      <c r="E977" s="578"/>
      <c r="F977" s="578"/>
      <c r="G977" s="585"/>
      <c r="H977" s="585"/>
      <c r="I977" s="585"/>
      <c r="J977" s="585"/>
      <c r="K977" s="585"/>
      <c r="L977" s="585"/>
      <c r="M977" s="585"/>
      <c r="N977" s="585"/>
      <c r="O977" s="585"/>
      <c r="P977" s="585"/>
      <c r="Q977" s="585"/>
      <c r="R977" s="586"/>
    </row>
    <row r="978" spans="2:18">
      <c r="B978" s="592" t="s">
        <v>648</v>
      </c>
      <c r="C978" s="593">
        <f t="shared" ref="C978:R978" si="281">V63</f>
        <v>-4.6523076923076925</v>
      </c>
      <c r="D978" s="593">
        <f t="shared" si="281"/>
        <v>-18.60923076923077</v>
      </c>
      <c r="E978" s="593">
        <f t="shared" si="281"/>
        <v>-1.5507692307692307</v>
      </c>
      <c r="F978" s="593">
        <f t="shared" si="281"/>
        <v>0</v>
      </c>
      <c r="G978" s="593">
        <f t="shared" si="281"/>
        <v>0</v>
      </c>
      <c r="H978" s="593">
        <f t="shared" si="281"/>
        <v>0</v>
      </c>
      <c r="I978" s="593">
        <f t="shared" si="281"/>
        <v>0</v>
      </c>
      <c r="J978" s="593">
        <f t="shared" si="281"/>
        <v>0</v>
      </c>
      <c r="K978" s="593">
        <f t="shared" si="281"/>
        <v>0</v>
      </c>
      <c r="L978" s="593">
        <f t="shared" si="281"/>
        <v>0</v>
      </c>
      <c r="M978" s="593">
        <f t="shared" si="281"/>
        <v>0</v>
      </c>
      <c r="N978" s="593">
        <f t="shared" si="281"/>
        <v>0</v>
      </c>
      <c r="O978" s="593">
        <f t="shared" si="281"/>
        <v>0</v>
      </c>
      <c r="P978" s="593">
        <f t="shared" si="281"/>
        <v>0</v>
      </c>
      <c r="Q978" s="593">
        <f t="shared" si="281"/>
        <v>0</v>
      </c>
      <c r="R978" s="593">
        <f t="shared" si="281"/>
        <v>0</v>
      </c>
    </row>
    <row r="979" spans="2:18" ht="16" thickBot="1">
      <c r="B979" s="597" t="str">
        <f>B946</f>
        <v>CF actualisés</v>
      </c>
      <c r="C979" s="598">
        <f t="shared" ref="C979:R979" si="282">C976+C977</f>
        <v>-4.6523076923076925</v>
      </c>
      <c r="D979" s="598">
        <f t="shared" si="282"/>
        <v>-16.728024760770847</v>
      </c>
      <c r="E979" s="598">
        <f t="shared" si="282"/>
        <v>-1.2530824794561952</v>
      </c>
      <c r="F979" s="598">
        <f t="shared" si="282"/>
        <v>0</v>
      </c>
      <c r="G979" s="598">
        <f t="shared" si="282"/>
        <v>0</v>
      </c>
      <c r="H979" s="598">
        <f t="shared" si="282"/>
        <v>0</v>
      </c>
      <c r="I979" s="598">
        <f t="shared" si="282"/>
        <v>0</v>
      </c>
      <c r="J979" s="598">
        <f t="shared" si="282"/>
        <v>0</v>
      </c>
      <c r="K979" s="598">
        <f t="shared" si="282"/>
        <v>0</v>
      </c>
      <c r="L979" s="598">
        <f t="shared" si="282"/>
        <v>0</v>
      </c>
      <c r="M979" s="598">
        <f t="shared" si="282"/>
        <v>0</v>
      </c>
      <c r="N979" s="598">
        <f t="shared" si="282"/>
        <v>0</v>
      </c>
      <c r="O979" s="598">
        <f t="shared" si="282"/>
        <v>0</v>
      </c>
      <c r="P979" s="598">
        <f t="shared" si="282"/>
        <v>0</v>
      </c>
      <c r="Q979" s="598">
        <f t="shared" si="282"/>
        <v>0</v>
      </c>
      <c r="R979" s="599">
        <f t="shared" si="282"/>
        <v>0</v>
      </c>
    </row>
    <row r="980" spans="2:18" ht="16" thickBot="1">
      <c r="C980" s="603"/>
      <c r="D980" s="603"/>
      <c r="E980" s="603"/>
      <c r="F980" s="603"/>
      <c r="G980" s="603"/>
      <c r="H980" s="603"/>
      <c r="I980" s="603"/>
      <c r="J980" s="603"/>
      <c r="K980" s="603"/>
      <c r="L980" s="603"/>
      <c r="M980" s="603"/>
      <c r="N980" s="603"/>
      <c r="O980" s="603"/>
      <c r="P980" s="603"/>
      <c r="Q980" s="603"/>
      <c r="R980" s="603"/>
    </row>
    <row r="981" spans="2:18" ht="15.5">
      <c r="B981" s="607"/>
      <c r="C981" s="608">
        <v>2009</v>
      </c>
      <c r="D981" s="608">
        <v>2010</v>
      </c>
      <c r="E981" s="608">
        <v>2011</v>
      </c>
      <c r="F981" s="608">
        <v>2012</v>
      </c>
      <c r="G981" s="608">
        <v>2013</v>
      </c>
      <c r="H981" s="608">
        <v>2014</v>
      </c>
      <c r="I981" s="608">
        <v>2015</v>
      </c>
      <c r="J981" s="608">
        <v>2016</v>
      </c>
      <c r="K981" s="608">
        <v>2017</v>
      </c>
      <c r="L981" s="608">
        <v>2018</v>
      </c>
      <c r="M981" s="608">
        <v>2019</v>
      </c>
      <c r="N981" s="608">
        <v>2020</v>
      </c>
      <c r="O981" s="608">
        <v>2021</v>
      </c>
      <c r="P981" s="608">
        <v>2022</v>
      </c>
      <c r="Q981" s="608">
        <v>2023</v>
      </c>
      <c r="R981" s="609">
        <v>2024</v>
      </c>
    </row>
    <row r="982" spans="2:18" ht="15" thickBot="1">
      <c r="B982" s="610" t="s">
        <v>656</v>
      </c>
      <c r="C982" s="611">
        <f t="shared" ref="C982:R982" si="283">C979+C973+C968</f>
        <v>-314.69730769230767</v>
      </c>
      <c r="D982" s="611">
        <f t="shared" si="283"/>
        <v>-302.25907492279521</v>
      </c>
      <c r="E982" s="611">
        <f t="shared" si="283"/>
        <v>-167.09329016436448</v>
      </c>
      <c r="F982" s="611">
        <f t="shared" si="283"/>
        <v>-154.59311165222334</v>
      </c>
      <c r="G982" s="611">
        <f t="shared" si="283"/>
        <v>29.100587182795515</v>
      </c>
      <c r="H982" s="611">
        <f t="shared" si="283"/>
        <v>21.700307924302827</v>
      </c>
      <c r="I982" s="611">
        <f t="shared" si="283"/>
        <v>39.240430948235208</v>
      </c>
      <c r="J982" s="611">
        <f t="shared" si="283"/>
        <v>164.46291390691238</v>
      </c>
      <c r="K982" s="611">
        <f t="shared" si="283"/>
        <v>144.59891376546616</v>
      </c>
      <c r="L982" s="611">
        <f t="shared" si="283"/>
        <v>127.07033932663431</v>
      </c>
      <c r="M982" s="611">
        <f t="shared" si="283"/>
        <v>111.60800821548423</v>
      </c>
      <c r="N982" s="611">
        <f t="shared" si="283"/>
        <v>99.345450504182807</v>
      </c>
      <c r="O982" s="611">
        <f t="shared" si="283"/>
        <v>88.42159336250252</v>
      </c>
      <c r="P982" s="611">
        <f t="shared" si="283"/>
        <v>78.691091705148892</v>
      </c>
      <c r="Q982" s="611">
        <f t="shared" si="283"/>
        <v>70.024305882025445</v>
      </c>
      <c r="R982" s="612">
        <f t="shared" si="283"/>
        <v>62.305611662234206</v>
      </c>
    </row>
    <row r="983" spans="2:18" ht="15" thickBot="1">
      <c r="B983" s="613" t="str">
        <f>B950</f>
        <v>Trésorerie</v>
      </c>
      <c r="C983" s="614">
        <f>C987+C988+C978+C972+C967</f>
        <v>-63.717307692307656</v>
      </c>
      <c r="D983" s="615">
        <f>C983+D978+D972+D967</f>
        <v>-399.96793846153844</v>
      </c>
      <c r="E983" s="615">
        <f t="shared" ref="E983:R983" si="284">D983+E978+E972+E967</f>
        <v>-606.75650769230765</v>
      </c>
      <c r="F983" s="615">
        <f t="shared" si="284"/>
        <v>-819.59070769230766</v>
      </c>
      <c r="G983" s="615">
        <f t="shared" si="284"/>
        <v>-775.02130769230769</v>
      </c>
      <c r="H983" s="615">
        <f t="shared" si="284"/>
        <v>-738.04830769230773</v>
      </c>
      <c r="I983" s="615">
        <f t="shared" si="284"/>
        <v>-663.67170769230768</v>
      </c>
      <c r="J983" s="615">
        <f t="shared" si="284"/>
        <v>-316.89150769230764</v>
      </c>
      <c r="K983" s="615">
        <f t="shared" si="284"/>
        <v>22.292292307692378</v>
      </c>
      <c r="L983" s="615">
        <f t="shared" si="284"/>
        <v>353.87969230769238</v>
      </c>
      <c r="M983" s="615">
        <f t="shared" si="284"/>
        <v>677.87069230769237</v>
      </c>
      <c r="N983" s="615">
        <f t="shared" si="284"/>
        <v>998.69652564102569</v>
      </c>
      <c r="O983" s="615">
        <f t="shared" si="284"/>
        <v>1316.3571923076925</v>
      </c>
      <c r="P983" s="615">
        <f t="shared" si="284"/>
        <v>1630.8526923076925</v>
      </c>
      <c r="Q983" s="615">
        <f t="shared" si="284"/>
        <v>1942.1830256410258</v>
      </c>
      <c r="R983" s="615">
        <f t="shared" si="284"/>
        <v>2250.3481923076924</v>
      </c>
    </row>
    <row r="984" spans="2:18" ht="15" thickBot="1"/>
    <row r="985" spans="2:18">
      <c r="B985" s="1039" t="s">
        <v>658</v>
      </c>
      <c r="C985" s="1040"/>
    </row>
    <row r="986" spans="2:18" ht="15.5">
      <c r="B986" s="569" t="s">
        <v>360</v>
      </c>
      <c r="C986" s="617">
        <f>SUM(C982:R982)</f>
        <v>97.926769954233748</v>
      </c>
    </row>
    <row r="987" spans="2:18" ht="15.5">
      <c r="B987" s="569" t="s">
        <v>659</v>
      </c>
      <c r="C987" s="618">
        <f>155.21</f>
        <v>155.21</v>
      </c>
    </row>
    <row r="988" spans="2:18" ht="15.5">
      <c r="B988" s="569" t="s">
        <v>660</v>
      </c>
      <c r="C988" s="618">
        <f>95.77</f>
        <v>95.77</v>
      </c>
    </row>
    <row r="989" spans="2:18" ht="16" thickBot="1">
      <c r="B989" s="619" t="s">
        <v>661</v>
      </c>
      <c r="C989" s="620">
        <f>SUM(C986:C988)</f>
        <v>348.90676995423377</v>
      </c>
    </row>
    <row r="991" spans="2:18" ht="15.5">
      <c r="B991" s="10" t="s">
        <v>662</v>
      </c>
      <c r="C991" s="621">
        <v>15887450</v>
      </c>
    </row>
    <row r="992" spans="2:18">
      <c r="B992" s="10" t="s">
        <v>663</v>
      </c>
      <c r="C992" s="646">
        <f>(C989/C991)*1000000</f>
        <v>21.961156129790101</v>
      </c>
    </row>
    <row r="995" spans="2:18" ht="15" thickBot="1">
      <c r="B995" s="1041" t="s">
        <v>705</v>
      </c>
      <c r="C995" s="1041"/>
      <c r="D995" s="1041"/>
      <c r="E995" s="1041"/>
    </row>
    <row r="996" spans="2:18">
      <c r="B996" s="562" t="s">
        <v>638</v>
      </c>
      <c r="C996" s="563">
        <v>2009</v>
      </c>
      <c r="D996" s="563">
        <v>2010</v>
      </c>
      <c r="E996" s="563">
        <v>2011</v>
      </c>
      <c r="F996" s="563">
        <v>2012</v>
      </c>
      <c r="G996" s="563">
        <v>2013</v>
      </c>
      <c r="H996" s="563">
        <v>2014</v>
      </c>
      <c r="I996" s="563">
        <v>2015</v>
      </c>
      <c r="J996" s="563">
        <v>2016</v>
      </c>
      <c r="K996" s="563">
        <v>2017</v>
      </c>
      <c r="L996" s="563">
        <v>2018</v>
      </c>
      <c r="M996" s="563">
        <v>2019</v>
      </c>
      <c r="N996" s="563">
        <v>2020</v>
      </c>
      <c r="O996" s="563">
        <v>2021</v>
      </c>
      <c r="P996" s="563">
        <v>2022</v>
      </c>
      <c r="Q996" s="563">
        <v>2023</v>
      </c>
      <c r="R996" s="564">
        <v>2024</v>
      </c>
    </row>
    <row r="997" spans="2:18">
      <c r="B997" s="569" t="s">
        <v>640</v>
      </c>
      <c r="C997" s="570">
        <v>-105</v>
      </c>
      <c r="D997" s="570">
        <v>-105</v>
      </c>
      <c r="E997" s="570">
        <v>-105</v>
      </c>
      <c r="F997" s="570">
        <v>-105</v>
      </c>
      <c r="G997" s="570">
        <v>-95</v>
      </c>
      <c r="H997" s="570">
        <v>-95</v>
      </c>
      <c r="I997" s="570">
        <v>-95</v>
      </c>
      <c r="J997" s="571">
        <v>185</v>
      </c>
      <c r="K997" s="571">
        <v>185</v>
      </c>
      <c r="L997" s="571">
        <v>185</v>
      </c>
      <c r="M997" s="571">
        <v>185</v>
      </c>
      <c r="N997" s="571">
        <v>185</v>
      </c>
      <c r="O997" s="571">
        <v>185</v>
      </c>
      <c r="P997" s="571">
        <v>185</v>
      </c>
      <c r="Q997" s="571">
        <v>185</v>
      </c>
      <c r="R997" s="572">
        <v>185</v>
      </c>
    </row>
    <row r="998" spans="2:18">
      <c r="B998" s="569" t="s">
        <v>642</v>
      </c>
      <c r="C998" s="577" t="s">
        <v>643</v>
      </c>
      <c r="D998" s="577" t="s">
        <v>643</v>
      </c>
      <c r="E998" s="577" t="s">
        <v>643</v>
      </c>
      <c r="F998" s="577" t="s">
        <v>643</v>
      </c>
      <c r="G998" s="577"/>
      <c r="H998" s="577"/>
      <c r="I998" s="578"/>
      <c r="J998" s="578"/>
      <c r="K998" s="578"/>
      <c r="L998" s="578"/>
      <c r="M998" s="578"/>
      <c r="N998" s="578"/>
      <c r="O998" s="578"/>
      <c r="P998" s="578"/>
      <c r="Q998" s="578"/>
      <c r="R998" s="579"/>
    </row>
    <row r="999" spans="2:18">
      <c r="B999" s="569" t="s">
        <v>645</v>
      </c>
      <c r="C999" s="577" t="s">
        <v>646</v>
      </c>
      <c r="D999" s="577" t="s">
        <v>646</v>
      </c>
      <c r="E999" s="577" t="s">
        <v>647</v>
      </c>
      <c r="F999" s="577" t="s">
        <v>647</v>
      </c>
      <c r="G999" s="578">
        <v>120</v>
      </c>
      <c r="H999" s="578">
        <v>120</v>
      </c>
      <c r="I999" s="578">
        <v>120</v>
      </c>
      <c r="J999" s="578">
        <v>120</v>
      </c>
      <c r="K999" s="578">
        <v>120</v>
      </c>
      <c r="L999" s="578">
        <v>120</v>
      </c>
      <c r="M999" s="578">
        <v>120</v>
      </c>
      <c r="N999" s="578">
        <v>120</v>
      </c>
      <c r="O999" s="578">
        <v>120</v>
      </c>
      <c r="P999" s="578">
        <v>120</v>
      </c>
      <c r="Q999" s="578">
        <v>120</v>
      </c>
      <c r="R999" s="579">
        <v>120</v>
      </c>
    </row>
    <row r="1000" spans="2:18">
      <c r="B1000" s="569" t="s">
        <v>648</v>
      </c>
      <c r="C1000" s="578">
        <f>C997+C998+C999</f>
        <v>-405</v>
      </c>
      <c r="D1000" s="578">
        <f t="shared" ref="D1000:R1000" si="285">D997+D998+D999</f>
        <v>-405</v>
      </c>
      <c r="E1000" s="578">
        <f t="shared" si="285"/>
        <v>-285</v>
      </c>
      <c r="F1000" s="578">
        <f t="shared" si="285"/>
        <v>-285</v>
      </c>
      <c r="G1000" s="578">
        <f t="shared" si="285"/>
        <v>25</v>
      </c>
      <c r="H1000" s="578">
        <f t="shared" si="285"/>
        <v>25</v>
      </c>
      <c r="I1000" s="578">
        <f t="shared" si="285"/>
        <v>25</v>
      </c>
      <c r="J1000" s="578">
        <f t="shared" si="285"/>
        <v>305</v>
      </c>
      <c r="K1000" s="578">
        <f t="shared" si="285"/>
        <v>305</v>
      </c>
      <c r="L1000" s="578">
        <f t="shared" si="285"/>
        <v>305</v>
      </c>
      <c r="M1000" s="578">
        <f t="shared" si="285"/>
        <v>305</v>
      </c>
      <c r="N1000" s="578">
        <f t="shared" si="285"/>
        <v>305</v>
      </c>
      <c r="O1000" s="578">
        <f t="shared" si="285"/>
        <v>305</v>
      </c>
      <c r="P1000" s="578">
        <f t="shared" si="285"/>
        <v>305</v>
      </c>
      <c r="Q1000" s="578">
        <f t="shared" si="285"/>
        <v>305</v>
      </c>
      <c r="R1000" s="579">
        <f t="shared" si="285"/>
        <v>305</v>
      </c>
    </row>
    <row r="1001" spans="2:18" ht="16" thickBot="1">
      <c r="B1001" s="580" t="s">
        <v>649</v>
      </c>
      <c r="C1001" s="581">
        <f>C1000/(1+$C$2)^(C996-$C$3)</f>
        <v>-405</v>
      </c>
      <c r="D1001" s="581">
        <f>D1000/(1+$C$2)^(D996-$C$3)</f>
        <v>-364.05857459266912</v>
      </c>
      <c r="E1001" s="581">
        <f t="shared" ref="E1001:R1001" si="286">E1000/(1+$C$2)^(E996-$C$3)</f>
        <v>-230.29119972148825</v>
      </c>
      <c r="F1001" s="581">
        <f t="shared" si="286"/>
        <v>-207.01107632553254</v>
      </c>
      <c r="G1001" s="581">
        <f t="shared" si="286"/>
        <v>16.32318764824943</v>
      </c>
      <c r="H1001" s="581">
        <f t="shared" si="286"/>
        <v>14.673077600074937</v>
      </c>
      <c r="I1001" s="581">
        <f t="shared" si="286"/>
        <v>13.189777076471366</v>
      </c>
      <c r="J1001" s="581">
        <f t="shared" si="286"/>
        <v>144.64836441529326</v>
      </c>
      <c r="K1001" s="581">
        <f t="shared" si="286"/>
        <v>130.02587003998181</v>
      </c>
      <c r="L1001" s="581">
        <f t="shared" si="286"/>
        <v>116.88156273315411</v>
      </c>
      <c r="M1001" s="581">
        <f t="shared" si="286"/>
        <v>105.06601265381659</v>
      </c>
      <c r="N1001" s="581">
        <f t="shared" si="286"/>
        <v>94.444895814527897</v>
      </c>
      <c r="O1001" s="581">
        <f t="shared" si="286"/>
        <v>84.897467031580661</v>
      </c>
      <c r="P1001" s="581">
        <f t="shared" si="286"/>
        <v>76.315187244556483</v>
      </c>
      <c r="Q1001" s="581">
        <f t="shared" si="286"/>
        <v>68.600489600063895</v>
      </c>
      <c r="R1001" s="582">
        <f t="shared" si="286"/>
        <v>61.665670271996241</v>
      </c>
    </row>
    <row r="1002" spans="2:18" ht="15" thickBot="1"/>
    <row r="1003" spans="2:18">
      <c r="B1003" s="562" t="s">
        <v>650</v>
      </c>
      <c r="C1003" s="583">
        <v>2009</v>
      </c>
      <c r="D1003" s="583">
        <v>2010</v>
      </c>
      <c r="E1003" s="583">
        <v>2011</v>
      </c>
      <c r="F1003" s="583">
        <v>2012</v>
      </c>
      <c r="G1003" s="583">
        <v>2013</v>
      </c>
      <c r="H1003" s="583">
        <v>2014</v>
      </c>
      <c r="I1003" s="583">
        <v>2015</v>
      </c>
      <c r="J1003" s="583">
        <v>2016</v>
      </c>
      <c r="K1003" s="583">
        <v>2017</v>
      </c>
      <c r="L1003" s="583">
        <v>2018</v>
      </c>
      <c r="M1003" s="583">
        <v>2019</v>
      </c>
      <c r="N1003" s="583">
        <v>2020</v>
      </c>
      <c r="O1003" s="583">
        <v>2021</v>
      </c>
      <c r="P1003" s="583">
        <v>2022</v>
      </c>
      <c r="Q1003" s="583">
        <v>2023</v>
      </c>
      <c r="R1003" s="584">
        <v>2024</v>
      </c>
    </row>
    <row r="1004" spans="2:18">
      <c r="B1004" s="569"/>
      <c r="C1004" s="578">
        <v>94.954999999999998</v>
      </c>
      <c r="D1004" s="578">
        <v>94.954999999999998</v>
      </c>
      <c r="E1004" s="578">
        <v>94.954999999999998</v>
      </c>
      <c r="F1004" s="578">
        <v>94.954999999999998</v>
      </c>
      <c r="G1004" s="578">
        <v>94.954999999999998</v>
      </c>
      <c r="H1004" s="578">
        <v>94.954999999999998</v>
      </c>
      <c r="I1004" s="578">
        <v>94.954999999999998</v>
      </c>
      <c r="J1004" s="578">
        <v>94.954999999999998</v>
      </c>
      <c r="K1004" s="578">
        <v>94.954999999999998</v>
      </c>
      <c r="L1004" s="578">
        <v>94.954999999999998</v>
      </c>
      <c r="M1004" s="578">
        <v>94.954999999999998</v>
      </c>
      <c r="N1004" s="578">
        <v>94.954999999999998</v>
      </c>
      <c r="O1004" s="578">
        <v>94.954999999999998</v>
      </c>
      <c r="P1004" s="578">
        <v>94.954999999999998</v>
      </c>
      <c r="Q1004" s="578">
        <v>94.954999999999998</v>
      </c>
      <c r="R1004" s="579">
        <v>94.954999999999998</v>
      </c>
    </row>
    <row r="1005" spans="2:18">
      <c r="B1005" s="569" t="s">
        <v>648</v>
      </c>
      <c r="C1005" s="585">
        <f>C246</f>
        <v>94.954999999999998</v>
      </c>
      <c r="D1005" s="585">
        <f t="shared" ref="D1005:R1005" si="287">D246</f>
        <v>87.358599999999996</v>
      </c>
      <c r="E1005" s="585">
        <f t="shared" si="287"/>
        <v>79.762199999999993</v>
      </c>
      <c r="F1005" s="585">
        <f t="shared" si="287"/>
        <v>72.165800000000004</v>
      </c>
      <c r="G1005" s="585">
        <f t="shared" si="287"/>
        <v>64.569399999999987</v>
      </c>
      <c r="H1005" s="585">
        <f t="shared" si="287"/>
        <v>56.972999999999999</v>
      </c>
      <c r="I1005" s="585">
        <f t="shared" si="287"/>
        <v>49.376600000000003</v>
      </c>
      <c r="J1005" s="585">
        <f t="shared" si="287"/>
        <v>41.780199999999994</v>
      </c>
      <c r="K1005" s="585">
        <f t="shared" si="287"/>
        <v>34.183799999999998</v>
      </c>
      <c r="L1005" s="585">
        <f t="shared" si="287"/>
        <v>26.587400000000002</v>
      </c>
      <c r="M1005" s="585">
        <f t="shared" si="287"/>
        <v>18.990999999999996</v>
      </c>
      <c r="N1005" s="585">
        <f t="shared" si="287"/>
        <v>15.82583333333333</v>
      </c>
      <c r="O1005" s="585">
        <f t="shared" si="287"/>
        <v>12.660666666666664</v>
      </c>
      <c r="P1005" s="585">
        <f t="shared" si="287"/>
        <v>9.4954999999999981</v>
      </c>
      <c r="Q1005" s="585">
        <f t="shared" si="287"/>
        <v>6.330333333333332</v>
      </c>
      <c r="R1005" s="585">
        <f t="shared" si="287"/>
        <v>3.165166666666666</v>
      </c>
    </row>
    <row r="1006" spans="2:18" ht="16" thickBot="1">
      <c r="B1006" s="580" t="s">
        <v>651</v>
      </c>
      <c r="C1006" s="581">
        <f>C1005/(1+$C$2)^(C1003-$C$3)</f>
        <v>94.954999999999998</v>
      </c>
      <c r="D1006" s="581">
        <f t="shared" ref="D1006:R1006" si="288">D1005/(1+$C$2)^(D1003-$C$3)</f>
        <v>78.527524430644789</v>
      </c>
      <c r="E1006" s="581">
        <f t="shared" si="288"/>
        <v>64.450992036579962</v>
      </c>
      <c r="F1006" s="581">
        <f t="shared" si="288"/>
        <v>52.417964673309186</v>
      </c>
      <c r="G1006" s="581">
        <f t="shared" si="288"/>
        <v>42.159137301395056</v>
      </c>
      <c r="H1006" s="581">
        <f t="shared" si="288"/>
        <v>33.438770004362773</v>
      </c>
      <c r="I1006" s="581">
        <f t="shared" si="288"/>
        <v>26.050653871763842</v>
      </c>
      <c r="J1006" s="581">
        <f t="shared" si="288"/>
        <v>19.814549491619132</v>
      </c>
      <c r="K1006" s="581">
        <f t="shared" si="288"/>
        <v>14.573043725484361</v>
      </c>
      <c r="L1006" s="581">
        <f t="shared" si="288"/>
        <v>10.188776593480203</v>
      </c>
      <c r="M1006" s="581">
        <f t="shared" si="288"/>
        <v>6.5419955616676413</v>
      </c>
      <c r="N1006" s="581">
        <f t="shared" si="288"/>
        <v>4.900554689654915</v>
      </c>
      <c r="O1006" s="581">
        <f t="shared" si="288"/>
        <v>3.5241263309218538</v>
      </c>
      <c r="P1006" s="581">
        <f t="shared" si="288"/>
        <v>2.3759044605924129</v>
      </c>
      <c r="Q1006" s="581">
        <f t="shared" si="288"/>
        <v>1.4238162819615443</v>
      </c>
      <c r="R1006" s="582">
        <f t="shared" si="288"/>
        <v>0.63994139023796737</v>
      </c>
    </row>
    <row r="1007" spans="2:18" ht="15" thickBot="1">
      <c r="C1007" s="587"/>
      <c r="D1007" s="587"/>
      <c r="E1007" s="587"/>
      <c r="F1007" s="587"/>
      <c r="G1007" s="587"/>
      <c r="H1007" s="587"/>
      <c r="I1007" s="587"/>
      <c r="J1007" s="587"/>
      <c r="K1007" s="587"/>
      <c r="L1007" s="587"/>
      <c r="M1007" s="587"/>
      <c r="N1007" s="587"/>
      <c r="O1007" s="587"/>
      <c r="P1007" s="587"/>
      <c r="Q1007" s="587"/>
      <c r="R1007" s="587"/>
    </row>
    <row r="1008" spans="2:18">
      <c r="B1008" s="562" t="s">
        <v>652</v>
      </c>
      <c r="C1008" s="583">
        <v>2009</v>
      </c>
      <c r="D1008" s="583">
        <v>2010</v>
      </c>
      <c r="E1008" s="583">
        <v>2011</v>
      </c>
      <c r="F1008" s="583">
        <v>2012</v>
      </c>
      <c r="G1008" s="583">
        <v>2013</v>
      </c>
      <c r="H1008" s="583">
        <v>2014</v>
      </c>
      <c r="I1008" s="583">
        <v>2015</v>
      </c>
      <c r="J1008" s="583">
        <v>2016</v>
      </c>
      <c r="K1008" s="583">
        <v>2017</v>
      </c>
      <c r="L1008" s="583">
        <v>2018</v>
      </c>
      <c r="M1008" s="583">
        <v>2019</v>
      </c>
      <c r="N1008" s="583">
        <v>2020</v>
      </c>
      <c r="O1008" s="583">
        <v>2021</v>
      </c>
      <c r="P1008" s="583">
        <v>2022</v>
      </c>
      <c r="Q1008" s="583">
        <v>2023</v>
      </c>
      <c r="R1008" s="584">
        <v>2024</v>
      </c>
    </row>
    <row r="1009" spans="2:18">
      <c r="B1009" s="588" t="s">
        <v>653</v>
      </c>
      <c r="C1009" s="589">
        <f>V53</f>
        <v>-4.6523076923076925</v>
      </c>
      <c r="D1009" s="589">
        <f>W53</f>
        <v>-16.728024760770847</v>
      </c>
      <c r="E1009" s="589">
        <f>X53</f>
        <v>-1.2530824794561952</v>
      </c>
      <c r="F1009" s="589"/>
      <c r="G1009" s="589"/>
      <c r="H1009" s="589"/>
      <c r="I1009" s="589"/>
      <c r="J1009" s="589"/>
      <c r="K1009" s="589"/>
      <c r="L1009" s="578"/>
      <c r="M1009" s="578"/>
      <c r="N1009" s="578"/>
      <c r="O1009" s="578"/>
      <c r="P1009" s="578"/>
      <c r="Q1009" s="578"/>
      <c r="R1009" s="579"/>
    </row>
    <row r="1010" spans="2:18">
      <c r="B1010" s="590" t="s">
        <v>654</v>
      </c>
      <c r="C1010" s="578"/>
      <c r="D1010" s="578"/>
      <c r="E1010" s="578"/>
      <c r="F1010" s="578"/>
      <c r="G1010" s="585"/>
      <c r="H1010" s="585"/>
      <c r="I1010" s="585"/>
      <c r="J1010" s="585"/>
      <c r="K1010" s="585"/>
      <c r="L1010" s="585"/>
      <c r="M1010" s="585"/>
      <c r="N1010" s="585"/>
      <c r="O1010" s="585"/>
      <c r="P1010" s="585"/>
      <c r="Q1010" s="585"/>
      <c r="R1010" s="586"/>
    </row>
    <row r="1011" spans="2:18">
      <c r="B1011" s="592" t="s">
        <v>648</v>
      </c>
      <c r="C1011" s="593">
        <f t="shared" ref="C1011:R1011" si="289">V63</f>
        <v>-4.6523076923076925</v>
      </c>
      <c r="D1011" s="593">
        <f t="shared" si="289"/>
        <v>-18.60923076923077</v>
      </c>
      <c r="E1011" s="593">
        <f t="shared" si="289"/>
        <v>-1.5507692307692307</v>
      </c>
      <c r="F1011" s="593">
        <f t="shared" si="289"/>
        <v>0</v>
      </c>
      <c r="G1011" s="593">
        <f t="shared" si="289"/>
        <v>0</v>
      </c>
      <c r="H1011" s="593">
        <f t="shared" si="289"/>
        <v>0</v>
      </c>
      <c r="I1011" s="593">
        <f t="shared" si="289"/>
        <v>0</v>
      </c>
      <c r="J1011" s="593">
        <f t="shared" si="289"/>
        <v>0</v>
      </c>
      <c r="K1011" s="593">
        <f t="shared" si="289"/>
        <v>0</v>
      </c>
      <c r="L1011" s="593">
        <f t="shared" si="289"/>
        <v>0</v>
      </c>
      <c r="M1011" s="593">
        <f t="shared" si="289"/>
        <v>0</v>
      </c>
      <c r="N1011" s="593">
        <f t="shared" si="289"/>
        <v>0</v>
      </c>
      <c r="O1011" s="593">
        <f t="shared" si="289"/>
        <v>0</v>
      </c>
      <c r="P1011" s="593">
        <f t="shared" si="289"/>
        <v>0</v>
      </c>
      <c r="Q1011" s="593">
        <f t="shared" si="289"/>
        <v>0</v>
      </c>
      <c r="R1011" s="593">
        <f t="shared" si="289"/>
        <v>0</v>
      </c>
    </row>
    <row r="1012" spans="2:18" ht="16" thickBot="1">
      <c r="B1012" s="597" t="str">
        <f>B979</f>
        <v>CF actualisés</v>
      </c>
      <c r="C1012" s="598">
        <f t="shared" ref="C1012:R1012" si="290">C1009+C1010</f>
        <v>-4.6523076923076925</v>
      </c>
      <c r="D1012" s="598">
        <f t="shared" si="290"/>
        <v>-16.728024760770847</v>
      </c>
      <c r="E1012" s="598">
        <f t="shared" si="290"/>
        <v>-1.2530824794561952</v>
      </c>
      <c r="F1012" s="598">
        <f t="shared" si="290"/>
        <v>0</v>
      </c>
      <c r="G1012" s="598">
        <f t="shared" si="290"/>
        <v>0</v>
      </c>
      <c r="H1012" s="598">
        <f t="shared" si="290"/>
        <v>0</v>
      </c>
      <c r="I1012" s="598">
        <f t="shared" si="290"/>
        <v>0</v>
      </c>
      <c r="J1012" s="598">
        <f t="shared" si="290"/>
        <v>0</v>
      </c>
      <c r="K1012" s="598">
        <f t="shared" si="290"/>
        <v>0</v>
      </c>
      <c r="L1012" s="598">
        <f t="shared" si="290"/>
        <v>0</v>
      </c>
      <c r="M1012" s="598">
        <f t="shared" si="290"/>
        <v>0</v>
      </c>
      <c r="N1012" s="598">
        <f t="shared" si="290"/>
        <v>0</v>
      </c>
      <c r="O1012" s="598">
        <f t="shared" si="290"/>
        <v>0</v>
      </c>
      <c r="P1012" s="598">
        <f t="shared" si="290"/>
        <v>0</v>
      </c>
      <c r="Q1012" s="598">
        <f t="shared" si="290"/>
        <v>0</v>
      </c>
      <c r="R1012" s="599">
        <f t="shared" si="290"/>
        <v>0</v>
      </c>
    </row>
    <row r="1013" spans="2:18" ht="16" thickBot="1">
      <c r="C1013" s="603"/>
      <c r="D1013" s="603"/>
      <c r="E1013" s="603"/>
      <c r="F1013" s="603"/>
      <c r="G1013" s="603"/>
      <c r="H1013" s="603"/>
      <c r="I1013" s="603"/>
      <c r="J1013" s="603"/>
      <c r="K1013" s="603"/>
      <c r="L1013" s="603"/>
      <c r="M1013" s="603"/>
      <c r="N1013" s="603"/>
      <c r="O1013" s="603"/>
      <c r="P1013" s="603"/>
      <c r="Q1013" s="603"/>
      <c r="R1013" s="603"/>
    </row>
    <row r="1014" spans="2:18" ht="15.5">
      <c r="B1014" s="607"/>
      <c r="C1014" s="608">
        <v>2009</v>
      </c>
      <c r="D1014" s="608">
        <v>2010</v>
      </c>
      <c r="E1014" s="608">
        <v>2011</v>
      </c>
      <c r="F1014" s="608">
        <v>2012</v>
      </c>
      <c r="G1014" s="608">
        <v>2013</v>
      </c>
      <c r="H1014" s="608">
        <v>2014</v>
      </c>
      <c r="I1014" s="608">
        <v>2015</v>
      </c>
      <c r="J1014" s="608">
        <v>2016</v>
      </c>
      <c r="K1014" s="608">
        <v>2017</v>
      </c>
      <c r="L1014" s="608">
        <v>2018</v>
      </c>
      <c r="M1014" s="608">
        <v>2019</v>
      </c>
      <c r="N1014" s="608">
        <v>2020</v>
      </c>
      <c r="O1014" s="608">
        <v>2021</v>
      </c>
      <c r="P1014" s="608">
        <v>2022</v>
      </c>
      <c r="Q1014" s="608">
        <v>2023</v>
      </c>
      <c r="R1014" s="609">
        <v>2024</v>
      </c>
    </row>
    <row r="1015" spans="2:18" ht="15" thickBot="1">
      <c r="B1015" s="610" t="s">
        <v>656</v>
      </c>
      <c r="C1015" s="611">
        <f t="shared" ref="C1015:R1015" si="291">C1012+C1006+C1001</f>
        <v>-314.69730769230767</v>
      </c>
      <c r="D1015" s="611">
        <f t="shared" si="291"/>
        <v>-302.25907492279521</v>
      </c>
      <c r="E1015" s="611">
        <f t="shared" si="291"/>
        <v>-167.09329016436448</v>
      </c>
      <c r="F1015" s="611">
        <f t="shared" si="291"/>
        <v>-154.59311165222334</v>
      </c>
      <c r="G1015" s="611">
        <f t="shared" si="291"/>
        <v>58.482324949644486</v>
      </c>
      <c r="H1015" s="611">
        <f t="shared" si="291"/>
        <v>48.111847604437713</v>
      </c>
      <c r="I1015" s="611">
        <f t="shared" si="291"/>
        <v>39.240430948235208</v>
      </c>
      <c r="J1015" s="611">
        <f t="shared" si="291"/>
        <v>164.46291390691238</v>
      </c>
      <c r="K1015" s="611">
        <f t="shared" si="291"/>
        <v>144.59891376546616</v>
      </c>
      <c r="L1015" s="611">
        <f t="shared" si="291"/>
        <v>127.07033932663431</v>
      </c>
      <c r="M1015" s="611">
        <f t="shared" si="291"/>
        <v>111.60800821548423</v>
      </c>
      <c r="N1015" s="611">
        <f t="shared" si="291"/>
        <v>99.345450504182807</v>
      </c>
      <c r="O1015" s="611">
        <f t="shared" si="291"/>
        <v>88.42159336250252</v>
      </c>
      <c r="P1015" s="611">
        <f t="shared" si="291"/>
        <v>78.691091705148892</v>
      </c>
      <c r="Q1015" s="611">
        <f t="shared" si="291"/>
        <v>70.024305882025445</v>
      </c>
      <c r="R1015" s="612">
        <f t="shared" si="291"/>
        <v>62.305611662234206</v>
      </c>
    </row>
    <row r="1016" spans="2:18" ht="15" thickBot="1">
      <c r="B1016" s="613" t="str">
        <f>B983</f>
        <v>Trésorerie</v>
      </c>
      <c r="C1016" s="614">
        <f>C1020+C1021+C1011+C1005+C1000</f>
        <v>-63.717307692307656</v>
      </c>
      <c r="D1016" s="615">
        <f>C1016+D1011+D1005+D1000</f>
        <v>-399.96793846153844</v>
      </c>
      <c r="E1016" s="615">
        <f t="shared" ref="E1016:R1016" si="292">D1016+E1011+E1005+E1000</f>
        <v>-606.75650769230765</v>
      </c>
      <c r="F1016" s="615">
        <f t="shared" si="292"/>
        <v>-819.59070769230766</v>
      </c>
      <c r="G1016" s="615">
        <f t="shared" si="292"/>
        <v>-730.02130769230769</v>
      </c>
      <c r="H1016" s="615">
        <f t="shared" si="292"/>
        <v>-648.04830769230773</v>
      </c>
      <c r="I1016" s="615">
        <f t="shared" si="292"/>
        <v>-573.67170769230768</v>
      </c>
      <c r="J1016" s="615">
        <f t="shared" si="292"/>
        <v>-226.89150769230764</v>
      </c>
      <c r="K1016" s="615">
        <f t="shared" si="292"/>
        <v>112.29229230769235</v>
      </c>
      <c r="L1016" s="615">
        <f t="shared" si="292"/>
        <v>443.87969230769238</v>
      </c>
      <c r="M1016" s="615">
        <f t="shared" si="292"/>
        <v>767.87069230769237</v>
      </c>
      <c r="N1016" s="615">
        <f t="shared" si="292"/>
        <v>1088.6965256410258</v>
      </c>
      <c r="O1016" s="615">
        <f t="shared" si="292"/>
        <v>1406.3571923076925</v>
      </c>
      <c r="P1016" s="615">
        <f t="shared" si="292"/>
        <v>1720.8526923076925</v>
      </c>
      <c r="Q1016" s="615">
        <f t="shared" si="292"/>
        <v>2032.1830256410258</v>
      </c>
      <c r="R1016" s="615">
        <f t="shared" si="292"/>
        <v>2340.3481923076924</v>
      </c>
    </row>
    <row r="1017" spans="2:18" ht="15" thickBot="1"/>
    <row r="1018" spans="2:18">
      <c r="B1018" s="1039" t="s">
        <v>658</v>
      </c>
      <c r="C1018" s="1040"/>
    </row>
    <row r="1019" spans="2:18" ht="15.5">
      <c r="B1019" s="569" t="s">
        <v>360</v>
      </c>
      <c r="C1019" s="617">
        <f>SUM(C1015:R1015)</f>
        <v>153.72004740121764</v>
      </c>
    </row>
    <row r="1020" spans="2:18" ht="15.5">
      <c r="B1020" s="569" t="s">
        <v>659</v>
      </c>
      <c r="C1020" s="618">
        <f>155.21</f>
        <v>155.21</v>
      </c>
    </row>
    <row r="1021" spans="2:18" ht="15.5">
      <c r="B1021" s="569" t="s">
        <v>660</v>
      </c>
      <c r="C1021" s="618">
        <f>95.77</f>
        <v>95.77</v>
      </c>
    </row>
    <row r="1022" spans="2:18" ht="16" thickBot="1">
      <c r="B1022" s="619" t="s">
        <v>661</v>
      </c>
      <c r="C1022" s="620">
        <f>SUM(C1019:C1021)</f>
        <v>404.7000474012176</v>
      </c>
    </row>
    <row r="1024" spans="2:18" ht="15.5">
      <c r="B1024" s="10" t="s">
        <v>662</v>
      </c>
      <c r="C1024" s="621">
        <v>15887450</v>
      </c>
    </row>
    <row r="1025" spans="2:18">
      <c r="B1025" s="10" t="s">
        <v>663</v>
      </c>
      <c r="C1025" s="646">
        <f>(C1022/C1024)*1000000</f>
        <v>25.47293916904334</v>
      </c>
    </row>
    <row r="1028" spans="2:18" ht="15" thickBot="1">
      <c r="B1028" s="1041" t="s">
        <v>706</v>
      </c>
      <c r="C1028" s="1041"/>
      <c r="D1028" s="1041"/>
      <c r="E1028" s="1041"/>
    </row>
    <row r="1029" spans="2:18">
      <c r="B1029" s="562" t="s">
        <v>638</v>
      </c>
      <c r="C1029" s="563">
        <v>2009</v>
      </c>
      <c r="D1029" s="563">
        <v>2010</v>
      </c>
      <c r="E1029" s="563">
        <v>2011</v>
      </c>
      <c r="F1029" s="563">
        <v>2012</v>
      </c>
      <c r="G1029" s="563">
        <v>2013</v>
      </c>
      <c r="H1029" s="563">
        <v>2014</v>
      </c>
      <c r="I1029" s="563">
        <v>2015</v>
      </c>
      <c r="J1029" s="563">
        <v>2016</v>
      </c>
      <c r="K1029" s="563">
        <v>2017</v>
      </c>
      <c r="L1029" s="563">
        <v>2018</v>
      </c>
      <c r="M1029" s="563">
        <v>2019</v>
      </c>
      <c r="N1029" s="563">
        <v>2020</v>
      </c>
      <c r="O1029" s="563">
        <v>2021</v>
      </c>
      <c r="P1029" s="563">
        <v>2022</v>
      </c>
      <c r="Q1029" s="563">
        <v>2023</v>
      </c>
      <c r="R1029" s="564">
        <v>2024</v>
      </c>
    </row>
    <row r="1030" spans="2:18">
      <c r="B1030" s="569" t="s">
        <v>640</v>
      </c>
      <c r="C1030" s="570">
        <v>-105</v>
      </c>
      <c r="D1030" s="570">
        <v>-105</v>
      </c>
      <c r="E1030" s="570">
        <v>-105</v>
      </c>
      <c r="F1030" s="570">
        <v>-105</v>
      </c>
      <c r="G1030" s="570">
        <v>-95</v>
      </c>
      <c r="H1030" s="570">
        <v>-95</v>
      </c>
      <c r="I1030" s="570">
        <v>-95</v>
      </c>
      <c r="J1030" s="571">
        <v>185</v>
      </c>
      <c r="K1030" s="571">
        <v>185</v>
      </c>
      <c r="L1030" s="571">
        <v>185</v>
      </c>
      <c r="M1030" s="571">
        <v>185</v>
      </c>
      <c r="N1030" s="571">
        <v>185</v>
      </c>
      <c r="O1030" s="571">
        <v>185</v>
      </c>
      <c r="P1030" s="571">
        <v>185</v>
      </c>
      <c r="Q1030" s="571">
        <v>185</v>
      </c>
      <c r="R1030" s="572">
        <v>185</v>
      </c>
    </row>
    <row r="1031" spans="2:18">
      <c r="B1031" s="569" t="s">
        <v>642</v>
      </c>
      <c r="C1031" s="577" t="s">
        <v>643</v>
      </c>
      <c r="D1031" s="577" t="s">
        <v>643</v>
      </c>
      <c r="E1031" s="577" t="s">
        <v>643</v>
      </c>
      <c r="F1031" s="577" t="s">
        <v>643</v>
      </c>
      <c r="G1031" s="577" t="s">
        <v>644</v>
      </c>
      <c r="H1031" s="577" t="s">
        <v>644</v>
      </c>
      <c r="I1031" s="578">
        <v>115</v>
      </c>
      <c r="J1031" s="578">
        <v>115</v>
      </c>
      <c r="K1031" s="578">
        <v>115</v>
      </c>
      <c r="L1031" s="578">
        <v>115</v>
      </c>
      <c r="M1031" s="578">
        <v>115</v>
      </c>
      <c r="N1031" s="578">
        <v>115</v>
      </c>
      <c r="O1031" s="578">
        <v>115</v>
      </c>
      <c r="P1031" s="578">
        <v>115</v>
      </c>
      <c r="Q1031" s="578">
        <v>115</v>
      </c>
      <c r="R1031" s="579">
        <v>115</v>
      </c>
    </row>
    <row r="1032" spans="2:18">
      <c r="B1032" s="569" t="s">
        <v>645</v>
      </c>
      <c r="C1032" s="577" t="s">
        <v>646</v>
      </c>
      <c r="D1032" s="577" t="s">
        <v>646</v>
      </c>
      <c r="E1032" s="577" t="s">
        <v>647</v>
      </c>
      <c r="F1032" s="577" t="s">
        <v>647</v>
      </c>
      <c r="G1032" s="578"/>
      <c r="H1032" s="578"/>
      <c r="I1032" s="578"/>
      <c r="J1032" s="578"/>
      <c r="K1032" s="578"/>
      <c r="L1032" s="578"/>
      <c r="M1032" s="578"/>
      <c r="N1032" s="578"/>
      <c r="O1032" s="578"/>
      <c r="P1032" s="578"/>
      <c r="Q1032" s="578"/>
      <c r="R1032" s="579"/>
    </row>
    <row r="1033" spans="2:18">
      <c r="B1033" s="569" t="s">
        <v>648</v>
      </c>
      <c r="C1033" s="578">
        <f>C1030+C1031+C1032</f>
        <v>-405</v>
      </c>
      <c r="D1033" s="578">
        <f t="shared" ref="D1033:R1033" si="293">D1030+D1031+D1032</f>
        <v>-405</v>
      </c>
      <c r="E1033" s="578">
        <f t="shared" si="293"/>
        <v>-285</v>
      </c>
      <c r="F1033" s="578">
        <f t="shared" si="293"/>
        <v>-285</v>
      </c>
      <c r="G1033" s="578">
        <f t="shared" si="293"/>
        <v>-140</v>
      </c>
      <c r="H1033" s="578">
        <f t="shared" si="293"/>
        <v>-140</v>
      </c>
      <c r="I1033" s="578">
        <f t="shared" si="293"/>
        <v>20</v>
      </c>
      <c r="J1033" s="578">
        <f t="shared" si="293"/>
        <v>300</v>
      </c>
      <c r="K1033" s="578">
        <f t="shared" si="293"/>
        <v>300</v>
      </c>
      <c r="L1033" s="578">
        <f t="shared" si="293"/>
        <v>300</v>
      </c>
      <c r="M1033" s="578">
        <f t="shared" si="293"/>
        <v>300</v>
      </c>
      <c r="N1033" s="578">
        <f t="shared" si="293"/>
        <v>300</v>
      </c>
      <c r="O1033" s="578">
        <f t="shared" si="293"/>
        <v>300</v>
      </c>
      <c r="P1033" s="578">
        <f t="shared" si="293"/>
        <v>300</v>
      </c>
      <c r="Q1033" s="578">
        <f t="shared" si="293"/>
        <v>300</v>
      </c>
      <c r="R1033" s="579">
        <f t="shared" si="293"/>
        <v>300</v>
      </c>
    </row>
    <row r="1034" spans="2:18" ht="16" thickBot="1">
      <c r="B1034" s="580" t="s">
        <v>649</v>
      </c>
      <c r="C1034" s="581">
        <f>C1033/(1+$C$2)^(C1029-$C$3)</f>
        <v>-405</v>
      </c>
      <c r="D1034" s="581">
        <f>D1033/(1+$C$2)^(D1029-$C$3)</f>
        <v>-364.05857459266912</v>
      </c>
      <c r="E1034" s="581">
        <f t="shared" ref="E1034:R1034" si="294">E1033/(1+$C$2)^(E1029-$C$3)</f>
        <v>-230.29119972148825</v>
      </c>
      <c r="F1034" s="581">
        <f t="shared" si="294"/>
        <v>-207.01107632553254</v>
      </c>
      <c r="G1034" s="581">
        <f t="shared" si="294"/>
        <v>-91.409850830196802</v>
      </c>
      <c r="H1034" s="581">
        <f t="shared" si="294"/>
        <v>-82.169234560419639</v>
      </c>
      <c r="I1034" s="581">
        <f t="shared" si="294"/>
        <v>10.551821661177092</v>
      </c>
      <c r="J1034" s="581">
        <f t="shared" si="294"/>
        <v>142.27707975274748</v>
      </c>
      <c r="K1034" s="581">
        <f t="shared" si="294"/>
        <v>127.89429839998211</v>
      </c>
      <c r="L1034" s="581">
        <f t="shared" si="294"/>
        <v>114.96547154080733</v>
      </c>
      <c r="M1034" s="581">
        <f t="shared" si="294"/>
        <v>103.34361900375403</v>
      </c>
      <c r="N1034" s="581">
        <f t="shared" si="294"/>
        <v>92.896618833961867</v>
      </c>
      <c r="O1034" s="581">
        <f t="shared" si="294"/>
        <v>83.505705276964591</v>
      </c>
      <c r="P1034" s="581">
        <f t="shared" si="294"/>
        <v>75.064118601203091</v>
      </c>
      <c r="Q1034" s="581">
        <f t="shared" si="294"/>
        <v>67.475891409898907</v>
      </c>
      <c r="R1034" s="582">
        <f t="shared" si="294"/>
        <v>60.654757644586468</v>
      </c>
    </row>
    <row r="1035" spans="2:18" ht="15" thickBot="1"/>
    <row r="1036" spans="2:18">
      <c r="B1036" s="562" t="s">
        <v>650</v>
      </c>
      <c r="C1036" s="583">
        <v>2009</v>
      </c>
      <c r="D1036" s="583">
        <v>2010</v>
      </c>
      <c r="E1036" s="583">
        <v>2011</v>
      </c>
      <c r="F1036" s="583">
        <v>2012</v>
      </c>
      <c r="G1036" s="583">
        <v>2013</v>
      </c>
      <c r="H1036" s="583">
        <v>2014</v>
      </c>
      <c r="I1036" s="583">
        <v>2015</v>
      </c>
      <c r="J1036" s="583">
        <v>2016</v>
      </c>
      <c r="K1036" s="583">
        <v>2017</v>
      </c>
      <c r="L1036" s="583">
        <v>2018</v>
      </c>
      <c r="M1036" s="583">
        <v>2019</v>
      </c>
      <c r="N1036" s="583">
        <v>2020</v>
      </c>
      <c r="O1036" s="583">
        <v>2021</v>
      </c>
      <c r="P1036" s="583">
        <v>2022</v>
      </c>
      <c r="Q1036" s="583">
        <v>2023</v>
      </c>
      <c r="R1036" s="584">
        <v>2024</v>
      </c>
    </row>
    <row r="1037" spans="2:18">
      <c r="B1037" s="569"/>
      <c r="C1037" s="578">
        <v>94.954999999999998</v>
      </c>
      <c r="D1037" s="578">
        <v>94.954999999999998</v>
      </c>
      <c r="E1037" s="578">
        <v>94.954999999999998</v>
      </c>
      <c r="F1037" s="578">
        <v>94.954999999999998</v>
      </c>
      <c r="G1037" s="578">
        <v>94.954999999999998</v>
      </c>
      <c r="H1037" s="578">
        <v>94.954999999999998</v>
      </c>
      <c r="I1037" s="578">
        <v>94.954999999999998</v>
      </c>
      <c r="J1037" s="578">
        <v>94.954999999999998</v>
      </c>
      <c r="K1037" s="578">
        <v>94.954999999999998</v>
      </c>
      <c r="L1037" s="578">
        <v>94.954999999999998</v>
      </c>
      <c r="M1037" s="578">
        <v>94.954999999999998</v>
      </c>
      <c r="N1037" s="578">
        <v>94.954999999999998</v>
      </c>
      <c r="O1037" s="578">
        <v>94.954999999999998</v>
      </c>
      <c r="P1037" s="578">
        <v>94.954999999999998</v>
      </c>
      <c r="Q1037" s="578">
        <v>94.954999999999998</v>
      </c>
      <c r="R1037" s="579">
        <v>94.954999999999998</v>
      </c>
    </row>
    <row r="1038" spans="2:18">
      <c r="B1038" s="569" t="s">
        <v>648</v>
      </c>
      <c r="C1038" s="585">
        <f>C246</f>
        <v>94.954999999999998</v>
      </c>
      <c r="D1038" s="585">
        <f t="shared" ref="D1038:R1038" si="295">D246</f>
        <v>87.358599999999996</v>
      </c>
      <c r="E1038" s="585">
        <f t="shared" si="295"/>
        <v>79.762199999999993</v>
      </c>
      <c r="F1038" s="585">
        <f t="shared" si="295"/>
        <v>72.165800000000004</v>
      </c>
      <c r="G1038" s="585">
        <f t="shared" si="295"/>
        <v>64.569399999999987</v>
      </c>
      <c r="H1038" s="585">
        <f t="shared" si="295"/>
        <v>56.972999999999999</v>
      </c>
      <c r="I1038" s="585">
        <f t="shared" si="295"/>
        <v>49.376600000000003</v>
      </c>
      <c r="J1038" s="585">
        <f t="shared" si="295"/>
        <v>41.780199999999994</v>
      </c>
      <c r="K1038" s="585">
        <f t="shared" si="295"/>
        <v>34.183799999999998</v>
      </c>
      <c r="L1038" s="585">
        <f t="shared" si="295"/>
        <v>26.587400000000002</v>
      </c>
      <c r="M1038" s="585">
        <f t="shared" si="295"/>
        <v>18.990999999999996</v>
      </c>
      <c r="N1038" s="585">
        <f t="shared" si="295"/>
        <v>15.82583333333333</v>
      </c>
      <c r="O1038" s="585">
        <f t="shared" si="295"/>
        <v>12.660666666666664</v>
      </c>
      <c r="P1038" s="585">
        <f t="shared" si="295"/>
        <v>9.4954999999999981</v>
      </c>
      <c r="Q1038" s="585">
        <f t="shared" si="295"/>
        <v>6.330333333333332</v>
      </c>
      <c r="R1038" s="585">
        <f t="shared" si="295"/>
        <v>3.165166666666666</v>
      </c>
    </row>
    <row r="1039" spans="2:18" ht="16" thickBot="1">
      <c r="B1039" s="580" t="s">
        <v>651</v>
      </c>
      <c r="C1039" s="581">
        <f>C1038/(1+$C$2)^(C1036-$C$3)</f>
        <v>94.954999999999998</v>
      </c>
      <c r="D1039" s="581">
        <f t="shared" ref="D1039:R1039" si="296">D1038/(1+$C$2)^(D1036-$C$3)</f>
        <v>78.527524430644789</v>
      </c>
      <c r="E1039" s="581">
        <f t="shared" si="296"/>
        <v>64.450992036579962</v>
      </c>
      <c r="F1039" s="581">
        <f t="shared" si="296"/>
        <v>52.417964673309186</v>
      </c>
      <c r="G1039" s="581">
        <f t="shared" si="296"/>
        <v>42.159137301395056</v>
      </c>
      <c r="H1039" s="581">
        <f t="shared" si="296"/>
        <v>33.438770004362773</v>
      </c>
      <c r="I1039" s="581">
        <f t="shared" si="296"/>
        <v>26.050653871763842</v>
      </c>
      <c r="J1039" s="581">
        <f t="shared" si="296"/>
        <v>19.814549491619132</v>
      </c>
      <c r="K1039" s="581">
        <f t="shared" si="296"/>
        <v>14.573043725484361</v>
      </c>
      <c r="L1039" s="581">
        <f t="shared" si="296"/>
        <v>10.188776593480203</v>
      </c>
      <c r="M1039" s="581">
        <f t="shared" si="296"/>
        <v>6.5419955616676413</v>
      </c>
      <c r="N1039" s="581">
        <f t="shared" si="296"/>
        <v>4.900554689654915</v>
      </c>
      <c r="O1039" s="581">
        <f t="shared" si="296"/>
        <v>3.5241263309218538</v>
      </c>
      <c r="P1039" s="581">
        <f t="shared" si="296"/>
        <v>2.3759044605924129</v>
      </c>
      <c r="Q1039" s="581">
        <f t="shared" si="296"/>
        <v>1.4238162819615443</v>
      </c>
      <c r="R1039" s="582">
        <f t="shared" si="296"/>
        <v>0.63994139023796737</v>
      </c>
    </row>
    <row r="1040" spans="2:18" ht="15" thickBot="1">
      <c r="C1040" s="587"/>
      <c r="D1040" s="587"/>
      <c r="E1040" s="587"/>
      <c r="F1040" s="587"/>
      <c r="G1040" s="587"/>
      <c r="H1040" s="587"/>
      <c r="I1040" s="587"/>
      <c r="J1040" s="587"/>
      <c r="K1040" s="587"/>
      <c r="L1040" s="587"/>
      <c r="M1040" s="587"/>
      <c r="N1040" s="587"/>
      <c r="O1040" s="587"/>
      <c r="P1040" s="587"/>
      <c r="Q1040" s="587"/>
      <c r="R1040" s="587"/>
    </row>
    <row r="1041" spans="2:18">
      <c r="B1041" s="562" t="s">
        <v>652</v>
      </c>
      <c r="C1041" s="583">
        <v>2009</v>
      </c>
      <c r="D1041" s="583">
        <v>2010</v>
      </c>
      <c r="E1041" s="583">
        <v>2011</v>
      </c>
      <c r="F1041" s="583">
        <v>2012</v>
      </c>
      <c r="G1041" s="583">
        <v>2013</v>
      </c>
      <c r="H1041" s="583">
        <v>2014</v>
      </c>
      <c r="I1041" s="583">
        <v>2015</v>
      </c>
      <c r="J1041" s="583">
        <v>2016</v>
      </c>
      <c r="K1041" s="583">
        <v>2017</v>
      </c>
      <c r="L1041" s="583">
        <v>2018</v>
      </c>
      <c r="M1041" s="583">
        <v>2019</v>
      </c>
      <c r="N1041" s="583">
        <v>2020</v>
      </c>
      <c r="O1041" s="583">
        <v>2021</v>
      </c>
      <c r="P1041" s="583">
        <v>2022</v>
      </c>
      <c r="Q1041" s="583">
        <v>2023</v>
      </c>
      <c r="R1041" s="584">
        <v>2024</v>
      </c>
    </row>
    <row r="1042" spans="2:18">
      <c r="B1042" s="588" t="s">
        <v>653</v>
      </c>
      <c r="C1042" s="589">
        <f>V53</f>
        <v>-4.6523076923076925</v>
      </c>
      <c r="D1042" s="589">
        <f>W53</f>
        <v>-16.728024760770847</v>
      </c>
      <c r="E1042" s="589">
        <f>X53</f>
        <v>-1.2530824794561952</v>
      </c>
      <c r="F1042" s="589"/>
      <c r="G1042" s="589"/>
      <c r="H1042" s="589"/>
      <c r="I1042" s="589"/>
      <c r="J1042" s="589"/>
      <c r="K1042" s="589"/>
      <c r="L1042" s="578"/>
      <c r="M1042" s="578"/>
      <c r="N1042" s="578"/>
      <c r="O1042" s="578"/>
      <c r="P1042" s="578"/>
      <c r="Q1042" s="578"/>
      <c r="R1042" s="579"/>
    </row>
    <row r="1043" spans="2:18">
      <c r="B1043" s="590" t="s">
        <v>654</v>
      </c>
      <c r="C1043" s="578"/>
      <c r="D1043" s="578"/>
      <c r="E1043" s="578"/>
      <c r="F1043" s="578"/>
      <c r="G1043" s="585"/>
      <c r="H1043" s="585"/>
      <c r="I1043" s="585"/>
      <c r="J1043" s="585"/>
      <c r="K1043" s="585"/>
      <c r="L1043" s="585"/>
      <c r="M1043" s="585"/>
      <c r="N1043" s="585"/>
      <c r="O1043" s="585"/>
      <c r="P1043" s="585"/>
      <c r="Q1043" s="585"/>
      <c r="R1043" s="586"/>
    </row>
    <row r="1044" spans="2:18">
      <c r="B1044" s="592" t="s">
        <v>648</v>
      </c>
      <c r="C1044" s="593">
        <f t="shared" ref="C1044:R1044" si="297">V63</f>
        <v>-4.6523076923076925</v>
      </c>
      <c r="D1044" s="593">
        <f t="shared" si="297"/>
        <v>-18.60923076923077</v>
      </c>
      <c r="E1044" s="593">
        <f t="shared" si="297"/>
        <v>-1.5507692307692307</v>
      </c>
      <c r="F1044" s="593">
        <f t="shared" si="297"/>
        <v>0</v>
      </c>
      <c r="G1044" s="593">
        <f t="shared" si="297"/>
        <v>0</v>
      </c>
      <c r="H1044" s="593">
        <f t="shared" si="297"/>
        <v>0</v>
      </c>
      <c r="I1044" s="593">
        <f t="shared" si="297"/>
        <v>0</v>
      </c>
      <c r="J1044" s="593">
        <f t="shared" si="297"/>
        <v>0</v>
      </c>
      <c r="K1044" s="593">
        <f t="shared" si="297"/>
        <v>0</v>
      </c>
      <c r="L1044" s="593">
        <f t="shared" si="297"/>
        <v>0</v>
      </c>
      <c r="M1044" s="593">
        <f t="shared" si="297"/>
        <v>0</v>
      </c>
      <c r="N1044" s="593">
        <f t="shared" si="297"/>
        <v>0</v>
      </c>
      <c r="O1044" s="593">
        <f t="shared" si="297"/>
        <v>0</v>
      </c>
      <c r="P1044" s="593">
        <f t="shared" si="297"/>
        <v>0</v>
      </c>
      <c r="Q1044" s="593">
        <f t="shared" si="297"/>
        <v>0</v>
      </c>
      <c r="R1044" s="593">
        <f t="shared" si="297"/>
        <v>0</v>
      </c>
    </row>
    <row r="1045" spans="2:18" ht="16" thickBot="1">
      <c r="B1045" s="597" t="str">
        <f>B1012</f>
        <v>CF actualisés</v>
      </c>
      <c r="C1045" s="598">
        <f t="shared" ref="C1045:R1045" si="298">C1042+C1043</f>
        <v>-4.6523076923076925</v>
      </c>
      <c r="D1045" s="598">
        <f t="shared" si="298"/>
        <v>-16.728024760770847</v>
      </c>
      <c r="E1045" s="598">
        <f t="shared" si="298"/>
        <v>-1.2530824794561952</v>
      </c>
      <c r="F1045" s="598">
        <f t="shared" si="298"/>
        <v>0</v>
      </c>
      <c r="G1045" s="598">
        <f t="shared" si="298"/>
        <v>0</v>
      </c>
      <c r="H1045" s="598">
        <f t="shared" si="298"/>
        <v>0</v>
      </c>
      <c r="I1045" s="598">
        <f t="shared" si="298"/>
        <v>0</v>
      </c>
      <c r="J1045" s="598">
        <f t="shared" si="298"/>
        <v>0</v>
      </c>
      <c r="K1045" s="598">
        <f t="shared" si="298"/>
        <v>0</v>
      </c>
      <c r="L1045" s="598">
        <f t="shared" si="298"/>
        <v>0</v>
      </c>
      <c r="M1045" s="598">
        <f t="shared" si="298"/>
        <v>0</v>
      </c>
      <c r="N1045" s="598">
        <f t="shared" si="298"/>
        <v>0</v>
      </c>
      <c r="O1045" s="598">
        <f t="shared" si="298"/>
        <v>0</v>
      </c>
      <c r="P1045" s="598">
        <f t="shared" si="298"/>
        <v>0</v>
      </c>
      <c r="Q1045" s="598">
        <f t="shared" si="298"/>
        <v>0</v>
      </c>
      <c r="R1045" s="599">
        <f t="shared" si="298"/>
        <v>0</v>
      </c>
    </row>
    <row r="1046" spans="2:18" ht="16" thickBot="1">
      <c r="C1046" s="603"/>
      <c r="D1046" s="603"/>
      <c r="E1046" s="603"/>
      <c r="F1046" s="603"/>
      <c r="G1046" s="603"/>
      <c r="H1046" s="603"/>
      <c r="I1046" s="603"/>
      <c r="J1046" s="603"/>
      <c r="K1046" s="603"/>
      <c r="L1046" s="603"/>
      <c r="M1046" s="603"/>
      <c r="N1046" s="603"/>
      <c r="O1046" s="603"/>
      <c r="P1046" s="603"/>
      <c r="Q1046" s="603"/>
      <c r="R1046" s="603"/>
    </row>
    <row r="1047" spans="2:18" ht="15.5">
      <c r="B1047" s="607"/>
      <c r="C1047" s="608">
        <v>2009</v>
      </c>
      <c r="D1047" s="608">
        <v>2010</v>
      </c>
      <c r="E1047" s="608">
        <v>2011</v>
      </c>
      <c r="F1047" s="608">
        <v>2012</v>
      </c>
      <c r="G1047" s="608">
        <v>2013</v>
      </c>
      <c r="H1047" s="608">
        <v>2014</v>
      </c>
      <c r="I1047" s="608">
        <v>2015</v>
      </c>
      <c r="J1047" s="608">
        <v>2016</v>
      </c>
      <c r="K1047" s="608">
        <v>2017</v>
      </c>
      <c r="L1047" s="608">
        <v>2018</v>
      </c>
      <c r="M1047" s="608">
        <v>2019</v>
      </c>
      <c r="N1047" s="608">
        <v>2020</v>
      </c>
      <c r="O1047" s="608">
        <v>2021</v>
      </c>
      <c r="P1047" s="608">
        <v>2022</v>
      </c>
      <c r="Q1047" s="608">
        <v>2023</v>
      </c>
      <c r="R1047" s="609">
        <v>2024</v>
      </c>
    </row>
    <row r="1048" spans="2:18" ht="15" thickBot="1">
      <c r="B1048" s="610" t="s">
        <v>656</v>
      </c>
      <c r="C1048" s="611">
        <f t="shared" ref="C1048:R1048" si="299">C1045+C1039+C1034</f>
        <v>-314.69730769230767</v>
      </c>
      <c r="D1048" s="611">
        <f t="shared" si="299"/>
        <v>-302.25907492279521</v>
      </c>
      <c r="E1048" s="611">
        <f t="shared" si="299"/>
        <v>-167.09329016436448</v>
      </c>
      <c r="F1048" s="611">
        <f t="shared" si="299"/>
        <v>-154.59311165222334</v>
      </c>
      <c r="G1048" s="611">
        <f t="shared" si="299"/>
        <v>-49.250713528801747</v>
      </c>
      <c r="H1048" s="611">
        <f t="shared" si="299"/>
        <v>-48.730464556056866</v>
      </c>
      <c r="I1048" s="611">
        <f t="shared" si="299"/>
        <v>36.602475532940936</v>
      </c>
      <c r="J1048" s="611">
        <f t="shared" si="299"/>
        <v>162.09162924436663</v>
      </c>
      <c r="K1048" s="611">
        <f t="shared" si="299"/>
        <v>142.46734212546647</v>
      </c>
      <c r="L1048" s="611">
        <f t="shared" si="299"/>
        <v>125.15424813428753</v>
      </c>
      <c r="M1048" s="611">
        <f t="shared" si="299"/>
        <v>109.88561456542168</v>
      </c>
      <c r="N1048" s="611">
        <f t="shared" si="299"/>
        <v>97.797173523616777</v>
      </c>
      <c r="O1048" s="611">
        <f t="shared" si="299"/>
        <v>87.02983160788645</v>
      </c>
      <c r="P1048" s="611">
        <f t="shared" si="299"/>
        <v>77.4400230617955</v>
      </c>
      <c r="Q1048" s="611">
        <f t="shared" si="299"/>
        <v>68.899707691860456</v>
      </c>
      <c r="R1048" s="612">
        <f t="shared" si="299"/>
        <v>61.294699034824433</v>
      </c>
    </row>
    <row r="1049" spans="2:18" ht="15" thickBot="1">
      <c r="B1049" s="613" t="str">
        <f>B1016</f>
        <v>Trésorerie</v>
      </c>
      <c r="C1049" s="614">
        <f>C1053+C1054+C1044+C1038+C1033</f>
        <v>-63.717307692307656</v>
      </c>
      <c r="D1049" s="615">
        <f>C1049+D1044+D1038+D1033</f>
        <v>-399.96793846153844</v>
      </c>
      <c r="E1049" s="615">
        <f t="shared" ref="E1049:R1049" si="300">D1049+E1044+E1038+E1033</f>
        <v>-606.75650769230765</v>
      </c>
      <c r="F1049" s="615">
        <f t="shared" si="300"/>
        <v>-819.59070769230766</v>
      </c>
      <c r="G1049" s="615">
        <f t="shared" si="300"/>
        <v>-895.02130769230769</v>
      </c>
      <c r="H1049" s="615">
        <f t="shared" si="300"/>
        <v>-978.04830769230773</v>
      </c>
      <c r="I1049" s="615">
        <f t="shared" si="300"/>
        <v>-908.67170769230768</v>
      </c>
      <c r="J1049" s="615">
        <f t="shared" si="300"/>
        <v>-566.89150769230764</v>
      </c>
      <c r="K1049" s="615">
        <f t="shared" si="300"/>
        <v>-232.70770769230762</v>
      </c>
      <c r="L1049" s="615">
        <f t="shared" si="300"/>
        <v>93.87969230769238</v>
      </c>
      <c r="M1049" s="615">
        <f t="shared" si="300"/>
        <v>412.87069230769237</v>
      </c>
      <c r="N1049" s="615">
        <f t="shared" si="300"/>
        <v>728.69652564102569</v>
      </c>
      <c r="O1049" s="615">
        <f t="shared" si="300"/>
        <v>1041.3571923076925</v>
      </c>
      <c r="P1049" s="615">
        <f t="shared" si="300"/>
        <v>1350.8526923076925</v>
      </c>
      <c r="Q1049" s="615">
        <f t="shared" si="300"/>
        <v>1657.1830256410258</v>
      </c>
      <c r="R1049" s="615">
        <f t="shared" si="300"/>
        <v>1960.3481923076924</v>
      </c>
    </row>
    <row r="1050" spans="2:18" ht="15" thickBot="1"/>
    <row r="1051" spans="2:18">
      <c r="B1051" s="1039" t="s">
        <v>658</v>
      </c>
      <c r="C1051" s="1040"/>
    </row>
    <row r="1052" spans="2:18" ht="15.5">
      <c r="B1052" s="569" t="s">
        <v>360</v>
      </c>
      <c r="C1052" s="617">
        <f>SUM(C1048:R1048)</f>
        <v>-67.961217994082617</v>
      </c>
    </row>
    <row r="1053" spans="2:18" ht="15.5">
      <c r="B1053" s="569" t="s">
        <v>659</v>
      </c>
      <c r="C1053" s="618">
        <f>155.21</f>
        <v>155.21</v>
      </c>
    </row>
    <row r="1054" spans="2:18" ht="15.5">
      <c r="B1054" s="569" t="s">
        <v>660</v>
      </c>
      <c r="C1054" s="618">
        <f>95.77</f>
        <v>95.77</v>
      </c>
    </row>
    <row r="1055" spans="2:18" ht="16" thickBot="1">
      <c r="B1055" s="619" t="s">
        <v>661</v>
      </c>
      <c r="C1055" s="620">
        <f>SUM(C1052:C1054)</f>
        <v>183.01878200591739</v>
      </c>
    </row>
    <row r="1057" spans="2:18" ht="15.5">
      <c r="B1057" s="10" t="s">
        <v>662</v>
      </c>
      <c r="C1057" s="621">
        <v>15887450</v>
      </c>
    </row>
    <row r="1058" spans="2:18">
      <c r="B1058" s="10" t="s">
        <v>663</v>
      </c>
      <c r="C1058" s="646">
        <f>(C1055/C1057)*1000000</f>
        <v>11.519707820066618</v>
      </c>
    </row>
    <row r="1061" spans="2:18" ht="15" thickBot="1">
      <c r="B1061" s="1041" t="s">
        <v>707</v>
      </c>
      <c r="C1061" s="1041"/>
      <c r="D1061" s="1041"/>
      <c r="E1061" s="1041"/>
    </row>
    <row r="1062" spans="2:18">
      <c r="B1062" s="562" t="s">
        <v>638</v>
      </c>
      <c r="C1062" s="563">
        <v>2009</v>
      </c>
      <c r="D1062" s="563">
        <v>2010</v>
      </c>
      <c r="E1062" s="563">
        <v>2011</v>
      </c>
      <c r="F1062" s="563">
        <v>2012</v>
      </c>
      <c r="G1062" s="563">
        <v>2013</v>
      </c>
      <c r="H1062" s="563">
        <v>2014</v>
      </c>
      <c r="I1062" s="563">
        <v>2015</v>
      </c>
      <c r="J1062" s="563">
        <v>2016</v>
      </c>
      <c r="K1062" s="563">
        <v>2017</v>
      </c>
      <c r="L1062" s="563">
        <v>2018</v>
      </c>
      <c r="M1062" s="563">
        <v>2019</v>
      </c>
      <c r="N1062" s="563">
        <v>2020</v>
      </c>
      <c r="O1062" s="563">
        <v>2021</v>
      </c>
      <c r="P1062" s="563">
        <v>2022</v>
      </c>
      <c r="Q1062" s="563">
        <v>2023</v>
      </c>
      <c r="R1062" s="564">
        <v>2024</v>
      </c>
    </row>
    <row r="1063" spans="2:18">
      <c r="B1063" s="569" t="s">
        <v>640</v>
      </c>
      <c r="C1063" s="570">
        <v>-105</v>
      </c>
      <c r="D1063" s="570">
        <v>-105</v>
      </c>
      <c r="E1063" s="570">
        <v>-105</v>
      </c>
      <c r="F1063" s="570">
        <v>-105</v>
      </c>
      <c r="G1063" s="570">
        <v>-95</v>
      </c>
      <c r="H1063" s="570">
        <v>-95</v>
      </c>
      <c r="I1063" s="570">
        <v>-95</v>
      </c>
      <c r="J1063" s="571">
        <v>185</v>
      </c>
      <c r="K1063" s="571">
        <v>185</v>
      </c>
      <c r="L1063" s="571">
        <v>185</v>
      </c>
      <c r="M1063" s="571">
        <v>185</v>
      </c>
      <c r="N1063" s="571">
        <v>185</v>
      </c>
      <c r="O1063" s="571">
        <v>185</v>
      </c>
      <c r="P1063" s="571">
        <v>185</v>
      </c>
      <c r="Q1063" s="571">
        <v>185</v>
      </c>
      <c r="R1063" s="572">
        <v>185</v>
      </c>
    </row>
    <row r="1064" spans="2:18">
      <c r="B1064" s="569" t="s">
        <v>642</v>
      </c>
      <c r="C1064" s="577" t="s">
        <v>643</v>
      </c>
      <c r="D1064" s="577" t="s">
        <v>643</v>
      </c>
      <c r="E1064" s="577" t="s">
        <v>643</v>
      </c>
      <c r="F1064" s="577" t="s">
        <v>643</v>
      </c>
      <c r="G1064" s="577" t="s">
        <v>644</v>
      </c>
      <c r="H1064" s="577" t="s">
        <v>644</v>
      </c>
      <c r="I1064" s="578">
        <v>115</v>
      </c>
      <c r="J1064" s="578">
        <v>115</v>
      </c>
      <c r="K1064" s="578">
        <v>115</v>
      </c>
      <c r="L1064" s="578">
        <v>115</v>
      </c>
      <c r="M1064" s="578">
        <v>115</v>
      </c>
      <c r="N1064" s="578">
        <v>115</v>
      </c>
      <c r="O1064" s="578">
        <v>115</v>
      </c>
      <c r="P1064" s="578">
        <v>115</v>
      </c>
      <c r="Q1064" s="578">
        <v>115</v>
      </c>
      <c r="R1064" s="579">
        <v>115</v>
      </c>
    </row>
    <row r="1065" spans="2:18">
      <c r="B1065" s="569" t="s">
        <v>645</v>
      </c>
      <c r="C1065" s="577" t="s">
        <v>646</v>
      </c>
      <c r="D1065" s="577" t="s">
        <v>646</v>
      </c>
      <c r="E1065" s="577"/>
      <c r="F1065" s="577"/>
      <c r="G1065" s="578"/>
      <c r="H1065" s="578"/>
      <c r="I1065" s="578"/>
      <c r="J1065" s="578"/>
      <c r="K1065" s="578"/>
      <c r="L1065" s="578"/>
      <c r="M1065" s="578"/>
      <c r="N1065" s="578"/>
      <c r="O1065" s="578"/>
      <c r="P1065" s="578"/>
      <c r="Q1065" s="578"/>
      <c r="R1065" s="579"/>
    </row>
    <row r="1066" spans="2:18">
      <c r="B1066" s="569" t="s">
        <v>648</v>
      </c>
      <c r="C1066" s="578">
        <f>C1063+C1064+C1065</f>
        <v>-405</v>
      </c>
      <c r="D1066" s="578">
        <f t="shared" ref="D1066:R1066" si="301">D1063+D1064+D1065</f>
        <v>-405</v>
      </c>
      <c r="E1066" s="578">
        <f t="shared" si="301"/>
        <v>-210</v>
      </c>
      <c r="F1066" s="578">
        <f t="shared" si="301"/>
        <v>-210</v>
      </c>
      <c r="G1066" s="578">
        <f t="shared" si="301"/>
        <v>-140</v>
      </c>
      <c r="H1066" s="578">
        <f t="shared" si="301"/>
        <v>-140</v>
      </c>
      <c r="I1066" s="578">
        <f t="shared" si="301"/>
        <v>20</v>
      </c>
      <c r="J1066" s="578">
        <f t="shared" si="301"/>
        <v>300</v>
      </c>
      <c r="K1066" s="578">
        <f t="shared" si="301"/>
        <v>300</v>
      </c>
      <c r="L1066" s="578">
        <f t="shared" si="301"/>
        <v>300</v>
      </c>
      <c r="M1066" s="578">
        <f t="shared" si="301"/>
        <v>300</v>
      </c>
      <c r="N1066" s="578">
        <f t="shared" si="301"/>
        <v>300</v>
      </c>
      <c r="O1066" s="578">
        <f t="shared" si="301"/>
        <v>300</v>
      </c>
      <c r="P1066" s="578">
        <f t="shared" si="301"/>
        <v>300</v>
      </c>
      <c r="Q1066" s="578">
        <f t="shared" si="301"/>
        <v>300</v>
      </c>
      <c r="R1066" s="579">
        <f t="shared" si="301"/>
        <v>300</v>
      </c>
    </row>
    <row r="1067" spans="2:18" ht="16" thickBot="1">
      <c r="B1067" s="580" t="s">
        <v>649</v>
      </c>
      <c r="C1067" s="581">
        <f>C1066/(1+$C$2)^(C1062-$C$3)</f>
        <v>-405</v>
      </c>
      <c r="D1067" s="581">
        <f>D1066/(1+$C$2)^(D1062-$C$3)</f>
        <v>-364.05857459266912</v>
      </c>
      <c r="E1067" s="581">
        <f t="shared" ref="E1067:R1067" si="302">E1066/(1+$C$2)^(E1062-$C$3)</f>
        <v>-169.68825242635978</v>
      </c>
      <c r="F1067" s="581">
        <f t="shared" si="302"/>
        <v>-152.53447729249768</v>
      </c>
      <c r="G1067" s="581">
        <f t="shared" si="302"/>
        <v>-91.409850830196802</v>
      </c>
      <c r="H1067" s="581">
        <f t="shared" si="302"/>
        <v>-82.169234560419639</v>
      </c>
      <c r="I1067" s="581">
        <f t="shared" si="302"/>
        <v>10.551821661177092</v>
      </c>
      <c r="J1067" s="581">
        <f t="shared" si="302"/>
        <v>142.27707975274748</v>
      </c>
      <c r="K1067" s="581">
        <f t="shared" si="302"/>
        <v>127.89429839998211</v>
      </c>
      <c r="L1067" s="581">
        <f t="shared" si="302"/>
        <v>114.96547154080733</v>
      </c>
      <c r="M1067" s="581">
        <f t="shared" si="302"/>
        <v>103.34361900375403</v>
      </c>
      <c r="N1067" s="581">
        <f t="shared" si="302"/>
        <v>92.896618833961867</v>
      </c>
      <c r="O1067" s="581">
        <f t="shared" si="302"/>
        <v>83.505705276964591</v>
      </c>
      <c r="P1067" s="581">
        <f t="shared" si="302"/>
        <v>75.064118601203091</v>
      </c>
      <c r="Q1067" s="581">
        <f t="shared" si="302"/>
        <v>67.475891409898907</v>
      </c>
      <c r="R1067" s="582">
        <f t="shared" si="302"/>
        <v>60.654757644586468</v>
      </c>
    </row>
    <row r="1068" spans="2:18" ht="15" thickBot="1"/>
    <row r="1069" spans="2:18">
      <c r="B1069" s="562" t="s">
        <v>650</v>
      </c>
      <c r="C1069" s="583">
        <v>2009</v>
      </c>
      <c r="D1069" s="583">
        <v>2010</v>
      </c>
      <c r="E1069" s="583">
        <v>2011</v>
      </c>
      <c r="F1069" s="583">
        <v>2012</v>
      </c>
      <c r="G1069" s="583">
        <v>2013</v>
      </c>
      <c r="H1069" s="583">
        <v>2014</v>
      </c>
      <c r="I1069" s="583">
        <v>2015</v>
      </c>
      <c r="J1069" s="583">
        <v>2016</v>
      </c>
      <c r="K1069" s="583">
        <v>2017</v>
      </c>
      <c r="L1069" s="583">
        <v>2018</v>
      </c>
      <c r="M1069" s="583">
        <v>2019</v>
      </c>
      <c r="N1069" s="583">
        <v>2020</v>
      </c>
      <c r="O1069" s="583">
        <v>2021</v>
      </c>
      <c r="P1069" s="583">
        <v>2022</v>
      </c>
      <c r="Q1069" s="583">
        <v>2023</v>
      </c>
      <c r="R1069" s="584">
        <v>2024</v>
      </c>
    </row>
    <row r="1070" spans="2:18">
      <c r="B1070" s="569"/>
      <c r="C1070" s="578">
        <v>94.954999999999998</v>
      </c>
      <c r="D1070" s="578">
        <v>94.954999999999998</v>
      </c>
      <c r="E1070" s="578">
        <v>94.954999999999998</v>
      </c>
      <c r="F1070" s="578">
        <v>94.954999999999998</v>
      </c>
      <c r="G1070" s="578">
        <v>94.954999999999998</v>
      </c>
      <c r="H1070" s="578">
        <v>94.954999999999998</v>
      </c>
      <c r="I1070" s="578">
        <v>94.954999999999998</v>
      </c>
      <c r="J1070" s="578">
        <v>94.954999999999998</v>
      </c>
      <c r="K1070" s="578">
        <v>94.954999999999998</v>
      </c>
      <c r="L1070" s="578">
        <v>94.954999999999998</v>
      </c>
      <c r="M1070" s="578">
        <v>94.954999999999998</v>
      </c>
      <c r="N1070" s="578">
        <v>94.954999999999998</v>
      </c>
      <c r="O1070" s="578">
        <v>94.954999999999998</v>
      </c>
      <c r="P1070" s="578">
        <v>94.954999999999998</v>
      </c>
      <c r="Q1070" s="578">
        <v>94.954999999999998</v>
      </c>
      <c r="R1070" s="579">
        <v>94.954999999999998</v>
      </c>
    </row>
    <row r="1071" spans="2:18">
      <c r="B1071" s="569" t="s">
        <v>648</v>
      </c>
      <c r="C1071" s="585">
        <f>C246</f>
        <v>94.954999999999998</v>
      </c>
      <c r="D1071" s="585">
        <f t="shared" ref="D1071:R1071" si="303">D246</f>
        <v>87.358599999999996</v>
      </c>
      <c r="E1071" s="585">
        <f t="shared" si="303"/>
        <v>79.762199999999993</v>
      </c>
      <c r="F1071" s="585">
        <f t="shared" si="303"/>
        <v>72.165800000000004</v>
      </c>
      <c r="G1071" s="585">
        <f t="shared" si="303"/>
        <v>64.569399999999987</v>
      </c>
      <c r="H1071" s="585">
        <f t="shared" si="303"/>
        <v>56.972999999999999</v>
      </c>
      <c r="I1071" s="585">
        <f t="shared" si="303"/>
        <v>49.376600000000003</v>
      </c>
      <c r="J1071" s="585">
        <f t="shared" si="303"/>
        <v>41.780199999999994</v>
      </c>
      <c r="K1071" s="585">
        <f t="shared" si="303"/>
        <v>34.183799999999998</v>
      </c>
      <c r="L1071" s="585">
        <f t="shared" si="303"/>
        <v>26.587400000000002</v>
      </c>
      <c r="M1071" s="585">
        <f t="shared" si="303"/>
        <v>18.990999999999996</v>
      </c>
      <c r="N1071" s="585">
        <f t="shared" si="303"/>
        <v>15.82583333333333</v>
      </c>
      <c r="O1071" s="585">
        <f t="shared" si="303"/>
        <v>12.660666666666664</v>
      </c>
      <c r="P1071" s="585">
        <f t="shared" si="303"/>
        <v>9.4954999999999981</v>
      </c>
      <c r="Q1071" s="585">
        <f t="shared" si="303"/>
        <v>6.330333333333332</v>
      </c>
      <c r="R1071" s="585">
        <f t="shared" si="303"/>
        <v>3.165166666666666</v>
      </c>
    </row>
    <row r="1072" spans="2:18" ht="16" thickBot="1">
      <c r="B1072" s="580" t="s">
        <v>651</v>
      </c>
      <c r="C1072" s="581">
        <f>C1071/(1+$C$2)^(C1069-$C$3)</f>
        <v>94.954999999999998</v>
      </c>
      <c r="D1072" s="581">
        <f t="shared" ref="D1072:R1072" si="304">D1071/(1+$C$2)^(D1069-$C$3)</f>
        <v>78.527524430644789</v>
      </c>
      <c r="E1072" s="581">
        <f t="shared" si="304"/>
        <v>64.450992036579962</v>
      </c>
      <c r="F1072" s="581">
        <f t="shared" si="304"/>
        <v>52.417964673309186</v>
      </c>
      <c r="G1072" s="581">
        <f t="shared" si="304"/>
        <v>42.159137301395056</v>
      </c>
      <c r="H1072" s="581">
        <f t="shared" si="304"/>
        <v>33.438770004362773</v>
      </c>
      <c r="I1072" s="581">
        <f t="shared" si="304"/>
        <v>26.050653871763842</v>
      </c>
      <c r="J1072" s="581">
        <f t="shared" si="304"/>
        <v>19.814549491619132</v>
      </c>
      <c r="K1072" s="581">
        <f t="shared" si="304"/>
        <v>14.573043725484361</v>
      </c>
      <c r="L1072" s="581">
        <f t="shared" si="304"/>
        <v>10.188776593480203</v>
      </c>
      <c r="M1072" s="581">
        <f t="shared" si="304"/>
        <v>6.5419955616676413</v>
      </c>
      <c r="N1072" s="581">
        <f t="shared" si="304"/>
        <v>4.900554689654915</v>
      </c>
      <c r="O1072" s="581">
        <f t="shared" si="304"/>
        <v>3.5241263309218538</v>
      </c>
      <c r="P1072" s="581">
        <f t="shared" si="304"/>
        <v>2.3759044605924129</v>
      </c>
      <c r="Q1072" s="581">
        <f t="shared" si="304"/>
        <v>1.4238162819615443</v>
      </c>
      <c r="R1072" s="582">
        <f t="shared" si="304"/>
        <v>0.63994139023796737</v>
      </c>
    </row>
    <row r="1073" spans="2:18" ht="15" thickBot="1">
      <c r="C1073" s="587"/>
      <c r="D1073" s="587"/>
      <c r="E1073" s="587"/>
      <c r="F1073" s="587"/>
      <c r="G1073" s="587"/>
      <c r="H1073" s="587"/>
      <c r="I1073" s="587"/>
      <c r="J1073" s="587"/>
      <c r="K1073" s="587"/>
      <c r="L1073" s="587"/>
      <c r="M1073" s="587"/>
      <c r="N1073" s="587"/>
      <c r="O1073" s="587"/>
      <c r="P1073" s="587"/>
      <c r="Q1073" s="587"/>
      <c r="R1073" s="587"/>
    </row>
    <row r="1074" spans="2:18">
      <c r="B1074" s="562" t="s">
        <v>652</v>
      </c>
      <c r="C1074" s="583">
        <v>2009</v>
      </c>
      <c r="D1074" s="583">
        <v>2010</v>
      </c>
      <c r="E1074" s="583">
        <v>2011</v>
      </c>
      <c r="F1074" s="583">
        <v>2012</v>
      </c>
      <c r="G1074" s="583">
        <v>2013</v>
      </c>
      <c r="H1074" s="583">
        <v>2014</v>
      </c>
      <c r="I1074" s="583">
        <v>2015</v>
      </c>
      <c r="J1074" s="583">
        <v>2016</v>
      </c>
      <c r="K1074" s="583">
        <v>2017</v>
      </c>
      <c r="L1074" s="583">
        <v>2018</v>
      </c>
      <c r="M1074" s="583">
        <v>2019</v>
      </c>
      <c r="N1074" s="583">
        <v>2020</v>
      </c>
      <c r="O1074" s="583">
        <v>2021</v>
      </c>
      <c r="P1074" s="583">
        <v>2022</v>
      </c>
      <c r="Q1074" s="583">
        <v>2023</v>
      </c>
      <c r="R1074" s="584">
        <v>2024</v>
      </c>
    </row>
    <row r="1075" spans="2:18">
      <c r="B1075" s="588" t="s">
        <v>653</v>
      </c>
      <c r="C1075" s="589">
        <f>V53</f>
        <v>-4.6523076923076925</v>
      </c>
      <c r="D1075" s="589">
        <f>W53</f>
        <v>-16.728024760770847</v>
      </c>
      <c r="E1075" s="589">
        <f>X53</f>
        <v>-1.2530824794561952</v>
      </c>
      <c r="F1075" s="589"/>
      <c r="G1075" s="589"/>
      <c r="H1075" s="589"/>
      <c r="I1075" s="589"/>
      <c r="J1075" s="589"/>
      <c r="K1075" s="589"/>
      <c r="L1075" s="578"/>
      <c r="M1075" s="578"/>
      <c r="N1075" s="578"/>
      <c r="O1075" s="578"/>
      <c r="P1075" s="578"/>
      <c r="Q1075" s="578"/>
      <c r="R1075" s="579"/>
    </row>
    <row r="1076" spans="2:18">
      <c r="B1076" s="590" t="s">
        <v>654</v>
      </c>
      <c r="C1076" s="578"/>
      <c r="D1076" s="578"/>
      <c r="E1076" s="578"/>
      <c r="F1076" s="578"/>
      <c r="G1076" s="585"/>
      <c r="H1076" s="585"/>
      <c r="I1076" s="585"/>
      <c r="J1076" s="585"/>
      <c r="K1076" s="585"/>
      <c r="L1076" s="585"/>
      <c r="M1076" s="585"/>
      <c r="N1076" s="585"/>
      <c r="O1076" s="585"/>
      <c r="P1076" s="585"/>
      <c r="Q1076" s="585"/>
      <c r="R1076" s="586"/>
    </row>
    <row r="1077" spans="2:18">
      <c r="B1077" s="592" t="s">
        <v>648</v>
      </c>
      <c r="C1077" s="593">
        <f t="shared" ref="C1077:R1077" si="305">V63</f>
        <v>-4.6523076923076925</v>
      </c>
      <c r="D1077" s="593">
        <f t="shared" si="305"/>
        <v>-18.60923076923077</v>
      </c>
      <c r="E1077" s="593">
        <f t="shared" si="305"/>
        <v>-1.5507692307692307</v>
      </c>
      <c r="F1077" s="593">
        <f t="shared" si="305"/>
        <v>0</v>
      </c>
      <c r="G1077" s="593">
        <f t="shared" si="305"/>
        <v>0</v>
      </c>
      <c r="H1077" s="593">
        <f t="shared" si="305"/>
        <v>0</v>
      </c>
      <c r="I1077" s="593">
        <f t="shared" si="305"/>
        <v>0</v>
      </c>
      <c r="J1077" s="593">
        <f t="shared" si="305"/>
        <v>0</v>
      </c>
      <c r="K1077" s="593">
        <f t="shared" si="305"/>
        <v>0</v>
      </c>
      <c r="L1077" s="593">
        <f t="shared" si="305"/>
        <v>0</v>
      </c>
      <c r="M1077" s="593">
        <f t="shared" si="305"/>
        <v>0</v>
      </c>
      <c r="N1077" s="593">
        <f t="shared" si="305"/>
        <v>0</v>
      </c>
      <c r="O1077" s="593">
        <f t="shared" si="305"/>
        <v>0</v>
      </c>
      <c r="P1077" s="593">
        <f t="shared" si="305"/>
        <v>0</v>
      </c>
      <c r="Q1077" s="593">
        <f t="shared" si="305"/>
        <v>0</v>
      </c>
      <c r="R1077" s="593">
        <f t="shared" si="305"/>
        <v>0</v>
      </c>
    </row>
    <row r="1078" spans="2:18" ht="16" thickBot="1">
      <c r="B1078" s="597" t="str">
        <f>B1045</f>
        <v>CF actualisés</v>
      </c>
      <c r="C1078" s="598">
        <f>C1075+C1076</f>
        <v>-4.6523076923076925</v>
      </c>
      <c r="D1078" s="598">
        <f>D1075+D1076</f>
        <v>-16.728024760770847</v>
      </c>
      <c r="E1078" s="598">
        <f>E1075+E1076</f>
        <v>-1.2530824794561952</v>
      </c>
      <c r="F1078" s="598">
        <f>F1075+F1076</f>
        <v>0</v>
      </c>
      <c r="G1078" s="598">
        <f>G1075+G1076</f>
        <v>0</v>
      </c>
      <c r="H1078" s="598">
        <f t="shared" ref="H1078:R1078" si="306">H1075+H1076</f>
        <v>0</v>
      </c>
      <c r="I1078" s="598">
        <f t="shared" si="306"/>
        <v>0</v>
      </c>
      <c r="J1078" s="598">
        <f t="shared" si="306"/>
        <v>0</v>
      </c>
      <c r="K1078" s="598">
        <f t="shared" si="306"/>
        <v>0</v>
      </c>
      <c r="L1078" s="598">
        <f t="shared" si="306"/>
        <v>0</v>
      </c>
      <c r="M1078" s="598">
        <f t="shared" si="306"/>
        <v>0</v>
      </c>
      <c r="N1078" s="598">
        <f t="shared" si="306"/>
        <v>0</v>
      </c>
      <c r="O1078" s="598">
        <f t="shared" si="306"/>
        <v>0</v>
      </c>
      <c r="P1078" s="598">
        <f t="shared" si="306"/>
        <v>0</v>
      </c>
      <c r="Q1078" s="598">
        <f t="shared" si="306"/>
        <v>0</v>
      </c>
      <c r="R1078" s="599">
        <f t="shared" si="306"/>
        <v>0</v>
      </c>
    </row>
    <row r="1079" spans="2:18" ht="16" thickBot="1">
      <c r="C1079" s="603"/>
      <c r="D1079" s="603"/>
      <c r="E1079" s="603"/>
      <c r="F1079" s="603"/>
      <c r="G1079" s="603"/>
      <c r="H1079" s="603"/>
      <c r="I1079" s="603"/>
      <c r="J1079" s="603"/>
      <c r="K1079" s="603"/>
      <c r="L1079" s="603"/>
      <c r="M1079" s="603"/>
      <c r="N1079" s="603"/>
      <c r="O1079" s="603"/>
      <c r="P1079" s="603"/>
      <c r="Q1079" s="603"/>
      <c r="R1079" s="603"/>
    </row>
    <row r="1080" spans="2:18" ht="15.5">
      <c r="B1080" s="607"/>
      <c r="C1080" s="608">
        <v>2009</v>
      </c>
      <c r="D1080" s="608">
        <v>2010</v>
      </c>
      <c r="E1080" s="608">
        <v>2011</v>
      </c>
      <c r="F1080" s="608">
        <v>2012</v>
      </c>
      <c r="G1080" s="608">
        <v>2013</v>
      </c>
      <c r="H1080" s="608">
        <v>2014</v>
      </c>
      <c r="I1080" s="608">
        <v>2015</v>
      </c>
      <c r="J1080" s="608">
        <v>2016</v>
      </c>
      <c r="K1080" s="608">
        <v>2017</v>
      </c>
      <c r="L1080" s="608">
        <v>2018</v>
      </c>
      <c r="M1080" s="608">
        <v>2019</v>
      </c>
      <c r="N1080" s="608">
        <v>2020</v>
      </c>
      <c r="O1080" s="608">
        <v>2021</v>
      </c>
      <c r="P1080" s="608">
        <v>2022</v>
      </c>
      <c r="Q1080" s="608">
        <v>2023</v>
      </c>
      <c r="R1080" s="609">
        <v>2024</v>
      </c>
    </row>
    <row r="1081" spans="2:18" ht="15" thickBot="1">
      <c r="B1081" s="610" t="s">
        <v>656</v>
      </c>
      <c r="C1081" s="611">
        <f t="shared" ref="C1081:R1081" si="307">C1078+C1072+C1067</f>
        <v>-314.69730769230767</v>
      </c>
      <c r="D1081" s="611">
        <f t="shared" si="307"/>
        <v>-302.25907492279521</v>
      </c>
      <c r="E1081" s="611">
        <f t="shared" si="307"/>
        <v>-106.49034286923602</v>
      </c>
      <c r="F1081" s="611">
        <f t="shared" si="307"/>
        <v>-100.1165126191885</v>
      </c>
      <c r="G1081" s="611">
        <f t="shared" si="307"/>
        <v>-49.250713528801747</v>
      </c>
      <c r="H1081" s="611">
        <f t="shared" si="307"/>
        <v>-48.730464556056866</v>
      </c>
      <c r="I1081" s="611">
        <f t="shared" si="307"/>
        <v>36.602475532940936</v>
      </c>
      <c r="J1081" s="611">
        <f t="shared" si="307"/>
        <v>162.09162924436663</v>
      </c>
      <c r="K1081" s="611">
        <f t="shared" si="307"/>
        <v>142.46734212546647</v>
      </c>
      <c r="L1081" s="611">
        <f t="shared" si="307"/>
        <v>125.15424813428753</v>
      </c>
      <c r="M1081" s="611">
        <f t="shared" si="307"/>
        <v>109.88561456542168</v>
      </c>
      <c r="N1081" s="611">
        <f t="shared" si="307"/>
        <v>97.797173523616777</v>
      </c>
      <c r="O1081" s="611">
        <f t="shared" si="307"/>
        <v>87.02983160788645</v>
      </c>
      <c r="P1081" s="611">
        <f t="shared" si="307"/>
        <v>77.4400230617955</v>
      </c>
      <c r="Q1081" s="611">
        <f t="shared" si="307"/>
        <v>68.899707691860456</v>
      </c>
      <c r="R1081" s="612">
        <f t="shared" si="307"/>
        <v>61.294699034824433</v>
      </c>
    </row>
    <row r="1082" spans="2:18" ht="15" thickBot="1">
      <c r="B1082" s="613" t="str">
        <f>B1049</f>
        <v>Trésorerie</v>
      </c>
      <c r="C1082" s="614">
        <f>C1086+C1087+C1077+C1071+C1066</f>
        <v>-63.717307692307656</v>
      </c>
      <c r="D1082" s="615">
        <f>C1082+D1077+D1071+D1066</f>
        <v>-399.96793846153844</v>
      </c>
      <c r="E1082" s="615">
        <f t="shared" ref="E1082:R1082" si="308">D1082+E1077+E1071+E1066</f>
        <v>-531.75650769230765</v>
      </c>
      <c r="F1082" s="615">
        <f t="shared" si="308"/>
        <v>-669.59070769230766</v>
      </c>
      <c r="G1082" s="615">
        <f t="shared" si="308"/>
        <v>-745.02130769230769</v>
      </c>
      <c r="H1082" s="615">
        <f t="shared" si="308"/>
        <v>-828.04830769230773</v>
      </c>
      <c r="I1082" s="615">
        <f t="shared" si="308"/>
        <v>-758.67170769230768</v>
      </c>
      <c r="J1082" s="615">
        <f t="shared" si="308"/>
        <v>-416.89150769230764</v>
      </c>
      <c r="K1082" s="615">
        <f t="shared" si="308"/>
        <v>-82.707707692307622</v>
      </c>
      <c r="L1082" s="615">
        <f t="shared" si="308"/>
        <v>243.87969230769238</v>
      </c>
      <c r="M1082" s="615">
        <f t="shared" si="308"/>
        <v>562.87069230769237</v>
      </c>
      <c r="N1082" s="615">
        <f t="shared" si="308"/>
        <v>878.69652564102569</v>
      </c>
      <c r="O1082" s="615">
        <f t="shared" si="308"/>
        <v>1191.3571923076925</v>
      </c>
      <c r="P1082" s="615">
        <f t="shared" si="308"/>
        <v>1500.8526923076925</v>
      </c>
      <c r="Q1082" s="615">
        <f t="shared" si="308"/>
        <v>1807.1830256410258</v>
      </c>
      <c r="R1082" s="615">
        <f t="shared" si="308"/>
        <v>2110.3481923076924</v>
      </c>
    </row>
    <row r="1083" spans="2:18" ht="15" thickBot="1"/>
    <row r="1084" spans="2:18">
      <c r="B1084" s="1039" t="s">
        <v>658</v>
      </c>
      <c r="C1084" s="1040"/>
    </row>
    <row r="1085" spans="2:18" ht="15.5">
      <c r="B1085" s="569" t="s">
        <v>360</v>
      </c>
      <c r="C1085" s="617">
        <f>SUM(C1081:R1081)</f>
        <v>47.118328334081014</v>
      </c>
    </row>
    <row r="1086" spans="2:18" ht="15.5">
      <c r="B1086" s="569" t="s">
        <v>659</v>
      </c>
      <c r="C1086" s="618">
        <f>155.21</f>
        <v>155.21</v>
      </c>
    </row>
    <row r="1087" spans="2:18" ht="15.5">
      <c r="B1087" s="569" t="s">
        <v>660</v>
      </c>
      <c r="C1087" s="618">
        <f>95.77</f>
        <v>95.77</v>
      </c>
    </row>
    <row r="1088" spans="2:18" ht="16" thickBot="1">
      <c r="B1088" s="619" t="s">
        <v>661</v>
      </c>
      <c r="C1088" s="620">
        <f>SUM(C1085:C1087)</f>
        <v>298.09832833408103</v>
      </c>
    </row>
    <row r="1090" spans="2:3" ht="15.5">
      <c r="B1090" s="10" t="s">
        <v>662</v>
      </c>
      <c r="C1090" s="621">
        <v>15887450</v>
      </c>
    </row>
    <row r="1091" spans="2:3">
      <c r="B1091" s="10" t="s">
        <v>663</v>
      </c>
      <c r="C1091" s="646">
        <f>(C1088/C1090)*1000000</f>
        <v>18.763132430571364</v>
      </c>
    </row>
  </sheetData>
  <mergeCells count="70">
    <mergeCell ref="B1018:C1018"/>
    <mergeCell ref="B1028:E1028"/>
    <mergeCell ref="B1051:C1051"/>
    <mergeCell ref="B1061:E1061"/>
    <mergeCell ref="B1084:C1084"/>
    <mergeCell ref="B731:E731"/>
    <mergeCell ref="B754:C754"/>
    <mergeCell ref="B764:E764"/>
    <mergeCell ref="B787:C787"/>
    <mergeCell ref="B698:E698"/>
    <mergeCell ref="B632:E632"/>
    <mergeCell ref="B655:C655"/>
    <mergeCell ref="B665:E665"/>
    <mergeCell ref="B688:C688"/>
    <mergeCell ref="B721:C721"/>
    <mergeCell ref="B566:E566"/>
    <mergeCell ref="B589:C589"/>
    <mergeCell ref="B985:C985"/>
    <mergeCell ref="B995:E995"/>
    <mergeCell ref="B820:C820"/>
    <mergeCell ref="B830:E830"/>
    <mergeCell ref="B853:C853"/>
    <mergeCell ref="B863:E863"/>
    <mergeCell ref="B886:C886"/>
    <mergeCell ref="B896:E896"/>
    <mergeCell ref="B919:C919"/>
    <mergeCell ref="B929:E929"/>
    <mergeCell ref="B952:C952"/>
    <mergeCell ref="B962:E962"/>
    <mergeCell ref="B797:E797"/>
    <mergeCell ref="B622:C622"/>
    <mergeCell ref="B599:E599"/>
    <mergeCell ref="B500:E500"/>
    <mergeCell ref="B325:C325"/>
    <mergeCell ref="B335:F335"/>
    <mergeCell ref="B358:C358"/>
    <mergeCell ref="B368:F368"/>
    <mergeCell ref="B391:C391"/>
    <mergeCell ref="B401:E401"/>
    <mergeCell ref="B424:C424"/>
    <mergeCell ref="B434:E434"/>
    <mergeCell ref="B457:C457"/>
    <mergeCell ref="B467:E467"/>
    <mergeCell ref="B490:C490"/>
    <mergeCell ref="B523:C523"/>
    <mergeCell ref="B533:E533"/>
    <mergeCell ref="B556:C556"/>
    <mergeCell ref="B302:F302"/>
    <mergeCell ref="B127:C127"/>
    <mergeCell ref="B137:E137"/>
    <mergeCell ref="B160:C160"/>
    <mergeCell ref="B170:E170"/>
    <mergeCell ref="B193:C193"/>
    <mergeCell ref="B203:E203"/>
    <mergeCell ref="B226:C226"/>
    <mergeCell ref="B236:E236"/>
    <mergeCell ref="B259:C259"/>
    <mergeCell ref="B269:E269"/>
    <mergeCell ref="B292:C292"/>
    <mergeCell ref="B94:C94"/>
    <mergeCell ref="B104:E104"/>
    <mergeCell ref="B5:E5"/>
    <mergeCell ref="B28:C28"/>
    <mergeCell ref="B38:E38"/>
    <mergeCell ref="T51:U51"/>
    <mergeCell ref="T56:U56"/>
    <mergeCell ref="T61:U61"/>
    <mergeCell ref="B61:C61"/>
    <mergeCell ref="B71:E71"/>
    <mergeCell ref="T66:U66"/>
  </mergeCells>
  <conditionalFormatting sqref="W6:AL18 W20:AL20 W22:AL22 W31:AL38 W24:AL29">
    <cfRule type="cellIs" dxfId="22" priority="10" operator="lessThan">
      <formula>0</formula>
    </cfRule>
  </conditionalFormatting>
  <conditionalFormatting sqref="W6:AM18 W20:AM20 W22:AM22 W31:AM38 W24:AM29">
    <cfRule type="cellIs" dxfId="21" priority="9" operator="greaterThan">
      <formula>0</formula>
    </cfRule>
  </conditionalFormatting>
  <conditionalFormatting sqref="BJ7:BJ12">
    <cfRule type="expression" dxfId="20" priority="11">
      <formula>IF($BJ$7:$BJ$12=$AR$6,$AT$7:$BI$7)</formula>
    </cfRule>
  </conditionalFormatting>
  <conditionalFormatting sqref="W19:AL19">
    <cfRule type="cellIs" dxfId="19" priority="8" operator="lessThan">
      <formula>0</formula>
    </cfRule>
  </conditionalFormatting>
  <conditionalFormatting sqref="W19:AM19">
    <cfRule type="cellIs" dxfId="18" priority="7" operator="greaterThan">
      <formula>0</formula>
    </cfRule>
  </conditionalFormatting>
  <conditionalFormatting sqref="W21:AL21">
    <cfRule type="cellIs" dxfId="17" priority="6" operator="lessThan">
      <formula>0</formula>
    </cfRule>
  </conditionalFormatting>
  <conditionalFormatting sqref="W21:AM21">
    <cfRule type="cellIs" dxfId="16" priority="5" operator="greaterThan">
      <formula>0</formula>
    </cfRule>
  </conditionalFormatting>
  <conditionalFormatting sqref="W30:AL30">
    <cfRule type="cellIs" dxfId="15" priority="4" operator="lessThan">
      <formula>0</formula>
    </cfRule>
  </conditionalFormatting>
  <conditionalFormatting sqref="W30:AM30">
    <cfRule type="cellIs" dxfId="14" priority="3" operator="greaterThan">
      <formula>0</formula>
    </cfRule>
  </conditionalFormatting>
  <conditionalFormatting sqref="W23:AL23">
    <cfRule type="cellIs" dxfId="13" priority="2" operator="lessThan">
      <formula>0</formula>
    </cfRule>
  </conditionalFormatting>
  <conditionalFormatting sqref="W23:AM23">
    <cfRule type="cellIs" dxfId="12" priority="1" operator="greaterThan">
      <formula>0</formula>
    </cfRule>
  </conditionalFormatting>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S27"/>
  <sheetViews>
    <sheetView showGridLines="0" topLeftCell="C1" workbookViewId="0">
      <selection activeCell="E27" sqref="E27"/>
    </sheetView>
  </sheetViews>
  <sheetFormatPr baseColWidth="10" defaultColWidth="12.453125" defaultRowHeight="14.5"/>
  <cols>
    <col min="2" max="2" width="29.81640625" customWidth="1"/>
    <col min="3" max="3" width="32.1796875" customWidth="1"/>
  </cols>
  <sheetData>
    <row r="5" spans="2:19" ht="15.5">
      <c r="B5" s="647" t="s">
        <v>710</v>
      </c>
      <c r="C5" s="648">
        <f>SUMIF(D7:S7,"&lt;0",D7:S7)</f>
        <v>-4350.641976595758</v>
      </c>
      <c r="D5" s="1047" t="s">
        <v>711</v>
      </c>
      <c r="E5" s="1048"/>
      <c r="F5" s="1048"/>
      <c r="G5" s="1048"/>
      <c r="H5" s="1048"/>
      <c r="I5" s="1049"/>
      <c r="J5" s="10"/>
      <c r="K5" s="10"/>
      <c r="L5" s="10"/>
      <c r="M5" s="10"/>
      <c r="N5" s="10"/>
      <c r="O5" s="10"/>
      <c r="P5" s="10"/>
      <c r="Q5" s="10"/>
      <c r="R5" s="10"/>
      <c r="S5" s="10"/>
    </row>
    <row r="6" spans="2:19" ht="15.5">
      <c r="B6" s="647" t="s">
        <v>712</v>
      </c>
      <c r="C6" s="649">
        <f>COUNTIF(D7:S7,"&lt;0")</f>
        <v>8</v>
      </c>
      <c r="D6" s="650">
        <v>2009</v>
      </c>
      <c r="E6" s="650">
        <v>2010</v>
      </c>
      <c r="F6" s="650">
        <v>2011</v>
      </c>
      <c r="G6" s="650">
        <v>2012</v>
      </c>
      <c r="H6" s="650">
        <v>2013</v>
      </c>
      <c r="I6" s="650">
        <v>2014</v>
      </c>
      <c r="J6" s="650">
        <v>2015</v>
      </c>
      <c r="K6" s="650">
        <v>2016</v>
      </c>
      <c r="L6" s="650">
        <v>2017</v>
      </c>
      <c r="M6" s="650">
        <v>2018</v>
      </c>
      <c r="N6" s="650">
        <v>2019</v>
      </c>
      <c r="O6" s="650">
        <v>2020</v>
      </c>
      <c r="P6" s="650">
        <v>2021</v>
      </c>
      <c r="Q6" s="650">
        <v>2022</v>
      </c>
      <c r="R6" s="650">
        <v>2023</v>
      </c>
      <c r="S6" s="650">
        <v>2024</v>
      </c>
    </row>
    <row r="7" spans="2:19" ht="15.5">
      <c r="B7" s="651"/>
      <c r="C7" s="652" t="s">
        <v>657</v>
      </c>
      <c r="D7" s="653">
        <f>'Scénarios '!W41</f>
        <v>-63.717610722610722</v>
      </c>
      <c r="E7" s="653">
        <f>'Scénarios '!X41</f>
        <v>-399.9682414918417</v>
      </c>
      <c r="F7" s="653">
        <f>'Scénarios '!Y41</f>
        <v>-609.69380009645533</v>
      </c>
      <c r="G7" s="653">
        <f>'Scénarios '!Z41</f>
        <v>-821.77392109958942</v>
      </c>
      <c r="H7" s="653">
        <f>'Scénarios '!AA41</f>
        <v>-814.71539090004251</v>
      </c>
      <c r="I7" s="653">
        <f>'Scénarios '!AB41</f>
        <v>-753.02982649509397</v>
      </c>
      <c r="J7" s="653">
        <f>'Scénarios '!AC41</f>
        <v>-601.47588726941046</v>
      </c>
      <c r="K7" s="653">
        <f>'Scénarios '!AD41</f>
        <v>-286.26729852071429</v>
      </c>
      <c r="L7" s="653">
        <f>'Scénarios '!AE41</f>
        <v>19.593892654987322</v>
      </c>
      <c r="M7" s="653">
        <f>'Scénarios '!AF41</f>
        <v>318.56714734657129</v>
      </c>
      <c r="N7" s="653">
        <f>'Scénarios '!AG41</f>
        <v>610.7505067315675</v>
      </c>
      <c r="O7" s="653">
        <f>'Scénarios '!AH41</f>
        <v>901.80826540206544</v>
      </c>
      <c r="P7" s="653">
        <f>'Scénarios '!AI41</f>
        <v>1190.3235578662195</v>
      </c>
      <c r="Q7" s="653">
        <f>'Scénarios '!AJ41</f>
        <v>1481.2825148274185</v>
      </c>
      <c r="R7" s="653">
        <f>'Scénarios '!AK41</f>
        <v>1769.7877079045638</v>
      </c>
      <c r="S7" s="653">
        <f>'Scénarios '!AL41</f>
        <v>2073.3710603993463</v>
      </c>
    </row>
    <row r="8" spans="2:19" ht="15.5">
      <c r="B8" s="651"/>
      <c r="C8" s="651"/>
      <c r="D8" s="10"/>
      <c r="E8" s="10"/>
      <c r="F8" s="10"/>
      <c r="G8" s="10"/>
      <c r="H8" s="10"/>
      <c r="I8" s="10"/>
      <c r="J8" s="10"/>
      <c r="K8" s="10"/>
      <c r="L8" s="10"/>
      <c r="M8" s="10"/>
      <c r="N8" s="10"/>
      <c r="O8" s="10"/>
      <c r="P8" s="10"/>
      <c r="Q8" s="10"/>
      <c r="R8" s="10"/>
      <c r="S8" s="10"/>
    </row>
    <row r="9" spans="2:19" ht="15.5">
      <c r="B9" s="647" t="s">
        <v>710</v>
      </c>
      <c r="C9" s="648">
        <f>SUMIF(D11:S11,"&lt;0",D11:S11)</f>
        <v>-6495.3891579945139</v>
      </c>
      <c r="D9" s="1044" t="s">
        <v>713</v>
      </c>
      <c r="E9" s="1045"/>
      <c r="F9" s="1045"/>
      <c r="G9" s="1045"/>
      <c r="H9" s="1045"/>
      <c r="I9" s="1046"/>
      <c r="J9" s="10"/>
      <c r="K9" s="10"/>
      <c r="L9" s="10"/>
      <c r="M9" s="10"/>
      <c r="N9" s="10"/>
      <c r="O9" s="10"/>
      <c r="P9" s="10"/>
      <c r="Q9" s="10"/>
      <c r="R9" s="10"/>
      <c r="S9" s="10"/>
    </row>
    <row r="10" spans="2:19" ht="15.5">
      <c r="B10" s="647" t="s">
        <v>712</v>
      </c>
      <c r="C10" s="649">
        <f>COUNTIF(D11:S11,"&lt;0")</f>
        <v>11</v>
      </c>
      <c r="D10" s="650">
        <v>2009</v>
      </c>
      <c r="E10" s="650">
        <v>2010</v>
      </c>
      <c r="F10" s="650">
        <v>2011</v>
      </c>
      <c r="G10" s="650">
        <v>2012</v>
      </c>
      <c r="H10" s="650">
        <v>2013</v>
      </c>
      <c r="I10" s="650">
        <v>2014</v>
      </c>
      <c r="J10" s="650">
        <v>2015</v>
      </c>
      <c r="K10" s="650">
        <v>2016</v>
      </c>
      <c r="L10" s="650">
        <v>2017</v>
      </c>
      <c r="M10" s="650">
        <v>2018</v>
      </c>
      <c r="N10" s="650">
        <v>2019</v>
      </c>
      <c r="O10" s="650">
        <v>2020</v>
      </c>
      <c r="P10" s="650">
        <v>2021</v>
      </c>
      <c r="Q10" s="650">
        <v>2022</v>
      </c>
      <c r="R10" s="650">
        <v>2023</v>
      </c>
      <c r="S10" s="650">
        <v>2024</v>
      </c>
    </row>
    <row r="11" spans="2:19" ht="15.5">
      <c r="B11" s="651"/>
      <c r="C11" s="652" t="s">
        <v>657</v>
      </c>
      <c r="D11" s="653">
        <f>'Scénarios '!W19</f>
        <v>-63.717307692307656</v>
      </c>
      <c r="E11" s="653">
        <f>'Scénarios '!X19</f>
        <v>-399.96793846153844</v>
      </c>
      <c r="F11" s="653">
        <f>'Scénarios '!Y19</f>
        <v>-651.56516551724133</v>
      </c>
      <c r="G11" s="653">
        <f>'Scénarios '!Z19</f>
        <v>-904.63660689655171</v>
      </c>
      <c r="H11" s="653">
        <f>'Scénarios '!AA19</f>
        <v>-1026.376654095724</v>
      </c>
      <c r="I11" s="653">
        <f>'Scénarios '!AB19</f>
        <v>-1044.3151091516206</v>
      </c>
      <c r="J11" s="653">
        <f>'Scénarios '!AC19</f>
        <v>-909.35974978228944</v>
      </c>
      <c r="K11" s="653">
        <f>'Scénarios '!AD19</f>
        <v>-685.44646416194939</v>
      </c>
      <c r="L11" s="653">
        <f>'Scénarios '!AE19</f>
        <v>-473.05653304932412</v>
      </c>
      <c r="M11" s="653">
        <f>'Scénarios '!AF19</f>
        <v>-267.71705202179515</v>
      </c>
      <c r="N11" s="653">
        <f>'Scénarios '!AG19</f>
        <v>-69.23057716417145</v>
      </c>
      <c r="O11" s="653">
        <f>'Scénarios '!AH19</f>
        <v>129.55748388233923</v>
      </c>
      <c r="P11" s="653">
        <f>'Scénarios '!AI19</f>
        <v>326.06345413161489</v>
      </c>
      <c r="Q11" s="653">
        <f>'Scénarios '!AJ19</f>
        <v>523.01538059473796</v>
      </c>
      <c r="R11" s="653">
        <f>'Scénarios '!AK19</f>
        <v>717.83443324131861</v>
      </c>
      <c r="S11" s="653">
        <f>'Scénarios '!AL19</f>
        <v>942.2648579215986</v>
      </c>
    </row>
    <row r="12" spans="2:19" ht="15.5">
      <c r="B12" s="651"/>
      <c r="C12" s="651"/>
      <c r="D12" s="10"/>
      <c r="E12" s="10"/>
      <c r="F12" s="10"/>
      <c r="G12" s="10"/>
      <c r="H12" s="10"/>
      <c r="I12" s="10"/>
      <c r="J12" s="10"/>
      <c r="K12" s="10"/>
      <c r="L12" s="10"/>
      <c r="M12" s="10"/>
      <c r="N12" s="10"/>
      <c r="O12" s="10"/>
      <c r="P12" s="10"/>
      <c r="Q12" s="10"/>
      <c r="R12" s="10"/>
      <c r="S12" s="10"/>
    </row>
    <row r="13" spans="2:19" ht="15.5">
      <c r="B13" s="647" t="s">
        <v>710</v>
      </c>
      <c r="C13" s="648">
        <f>SUMIF(D15:S15,"&lt;0",D15:S15)</f>
        <v>-5877.5178204532249</v>
      </c>
      <c r="D13" s="1044" t="s">
        <v>714</v>
      </c>
      <c r="E13" s="1045"/>
      <c r="F13" s="1045"/>
      <c r="G13" s="1045"/>
      <c r="H13" s="1045"/>
      <c r="I13" s="1046"/>
      <c r="J13" s="10"/>
      <c r="K13" s="10"/>
      <c r="L13" s="10"/>
      <c r="M13" s="10"/>
      <c r="N13" s="10"/>
      <c r="O13" s="10"/>
      <c r="P13" s="10"/>
      <c r="Q13" s="10"/>
      <c r="R13" s="10"/>
      <c r="S13" s="10"/>
    </row>
    <row r="14" spans="2:19" ht="15.5">
      <c r="B14" s="647" t="s">
        <v>712</v>
      </c>
      <c r="C14" s="649">
        <f>COUNTIF(D15:S15,"&lt;0")</f>
        <v>10</v>
      </c>
      <c r="D14" s="650">
        <v>2009</v>
      </c>
      <c r="E14" s="650">
        <v>2010</v>
      </c>
      <c r="F14" s="650">
        <v>2011</v>
      </c>
      <c r="G14" s="650">
        <v>2012</v>
      </c>
      <c r="H14" s="650">
        <v>2013</v>
      </c>
      <c r="I14" s="650">
        <v>2014</v>
      </c>
      <c r="J14" s="650">
        <v>2015</v>
      </c>
      <c r="K14" s="650">
        <v>2016</v>
      </c>
      <c r="L14" s="650">
        <v>2017</v>
      </c>
      <c r="M14" s="650">
        <v>2018</v>
      </c>
      <c r="N14" s="650">
        <v>2019</v>
      </c>
      <c r="O14" s="650">
        <v>2020</v>
      </c>
      <c r="P14" s="650">
        <v>2021</v>
      </c>
      <c r="Q14" s="650">
        <v>2022</v>
      </c>
      <c r="R14" s="650">
        <v>2023</v>
      </c>
      <c r="S14" s="650">
        <v>2024</v>
      </c>
    </row>
    <row r="15" spans="2:19" ht="15.5">
      <c r="B15" s="651"/>
      <c r="C15" s="652" t="s">
        <v>657</v>
      </c>
      <c r="D15" s="653">
        <f>AVERAGE('Scénarios '!W19,'Scénarios '!W21,'Scénarios '!W22,'Scénarios '!W25,'Scénarios '!W31,'Scénarios '!W15)</f>
        <v>-63.717307692307656</v>
      </c>
      <c r="E15" s="653">
        <f>AVERAGE('Scénarios '!X19,'Scénarios '!X21,'Scénarios '!X22,'Scénarios '!X25,'Scénarios '!X31,'Scénarios '!X15)</f>
        <v>-399.96793846153838</v>
      </c>
      <c r="F15" s="653">
        <f>AVERAGE('Scénarios '!Y19,'Scénarios '!Y21,'Scénarios '!Y22,'Scénarios '!Y25,'Scénarios '!Y31,'Scénarios '!Y15)</f>
        <v>-639.06516551724133</v>
      </c>
      <c r="G15" s="653">
        <f>AVERAGE('Scénarios '!Z19,'Scénarios '!Z21,'Scénarios '!Z22,'Scénarios '!Z25,'Scénarios '!Z31,'Scénarios '!Z15)</f>
        <v>-879.63660689655171</v>
      </c>
      <c r="H15" s="653">
        <f>AVERAGE('Scénarios '!AA19,'Scénarios '!AA21,'Scénarios '!AA22,'Scénarios '!AA25,'Scénarios '!AA31,'Scénarios '!AA15)</f>
        <v>-965.78871174643666</v>
      </c>
      <c r="I15" s="653">
        <f>AVERAGE('Scénarios '!AB19,'Scénarios '!AB21,'Scénarios '!AB22,'Scénarios '!AB25,'Scénarios '!AB31,'Scénarios '!AB15)</f>
        <v>-967.07525762635078</v>
      </c>
      <c r="J15" s="653">
        <f>AVERAGE('Scénarios '!AC19,'Scénarios '!AC21,'Scénarios '!AC22,'Scénarios '!AC25,'Scénarios '!AC31,'Scénarios '!AC15)</f>
        <v>-899.71635815190791</v>
      </c>
      <c r="K15" s="653">
        <f>AVERAGE('Scénarios '!AD19,'Scénarios '!AD21,'Scénarios '!AD22,'Scénarios '!AD25,'Scénarios '!AD31,'Scénarios '!AD15)</f>
        <v>-620.32525346829129</v>
      </c>
      <c r="L15" s="653">
        <f>AVERAGE('Scénarios '!AE19,'Scénarios '!AE21,'Scénarios '!AE22,'Scénarios '!AE25,'Scénarios '!AE31,'Scénarios '!AE15)</f>
        <v>-351.80301087443678</v>
      </c>
      <c r="M15" s="653">
        <f>AVERAGE('Scénarios '!AF19,'Scénarios '!AF21,'Scénarios '!AF22,'Scénarios '!AF25,'Scénarios '!AF31,'Scénarios '!AF15)</f>
        <v>-90.422210018162744</v>
      </c>
      <c r="N15" s="653">
        <f>AVERAGE('Scénarios '!AG19,'Scénarios '!AG21,'Scénarios '!AG22,'Scénarios '!AG25,'Scénarios '!AG31,'Scénarios '!AG15)</f>
        <v>163.98168569652367</v>
      </c>
      <c r="O15" s="653">
        <f>AVERAGE('Scénarios '!AH19,'Scénarios '!AH21,'Scénarios '!AH22,'Scénarios '!AH25,'Scénarios '!AH31,'Scénarios '!AH15)</f>
        <v>418.10937545750488</v>
      </c>
      <c r="P15" s="653">
        <f>AVERAGE('Scénarios '!AI19,'Scénarios '!AI21,'Scénarios '!AI22,'Scénarios '!AI25,'Scénarios '!AI31,'Scénarios '!AI15)</f>
        <v>669.80779510967898</v>
      </c>
      <c r="Q15" s="653">
        <f>AVERAGE('Scénarios '!AJ19,'Scénarios '!AJ21,'Scénarios '!AJ22,'Scénarios '!AJ25,'Scénarios '!AJ31,'Scénarios '!AJ15)</f>
        <v>921.35031716228139</v>
      </c>
      <c r="R15" s="653">
        <f>AVERAGE('Scénarios '!AK19,'Scénarios '!AK21,'Scénarios '!AK22,'Scénarios '!AK25,'Scénarios '!AK31,'Scénarios '!AK15)</f>
        <v>1170.5879165899876</v>
      </c>
      <c r="S15" s="653">
        <f>AVERAGE('Scénarios '!AL19,'Scénarios '!AL21,'Scénarios '!AL22,'Scénarios '!AL25,'Scénarios '!AL31,'Scénarios '!AL15)</f>
        <v>1443.9741316013321</v>
      </c>
    </row>
    <row r="16" spans="2:19" ht="15.5">
      <c r="B16" s="651"/>
      <c r="C16" s="651"/>
      <c r="D16" s="10"/>
      <c r="E16" s="10"/>
      <c r="F16" s="10"/>
      <c r="G16" s="10"/>
      <c r="H16" s="10"/>
      <c r="I16" s="10"/>
      <c r="J16" s="10"/>
      <c r="K16" s="10"/>
      <c r="L16" s="10"/>
      <c r="M16" s="10"/>
      <c r="N16" s="10"/>
      <c r="O16" s="10"/>
      <c r="P16" s="10"/>
      <c r="Q16" s="10"/>
      <c r="R16" s="10"/>
      <c r="S16" s="10"/>
    </row>
    <row r="17" spans="2:19" ht="15.5">
      <c r="B17" s="647" t="s">
        <v>710</v>
      </c>
      <c r="C17" s="648">
        <f>SUMIF(D19:S19,"&lt;0",D19:S19)</f>
        <v>-1348.8590615384614</v>
      </c>
      <c r="D17" s="1044" t="s">
        <v>715</v>
      </c>
      <c r="E17" s="1045"/>
      <c r="F17" s="1045"/>
      <c r="G17" s="1045"/>
      <c r="H17" s="1045"/>
      <c r="I17" s="1046"/>
      <c r="J17" s="10"/>
      <c r="K17" s="10"/>
      <c r="L17" s="10"/>
      <c r="M17" s="10"/>
      <c r="N17" s="10"/>
      <c r="O17" s="10"/>
      <c r="P17" s="10"/>
      <c r="Q17" s="10"/>
      <c r="R17" s="10"/>
      <c r="S17" s="10"/>
    </row>
    <row r="18" spans="2:19" ht="15.5">
      <c r="B18" s="647" t="s">
        <v>712</v>
      </c>
      <c r="C18" s="649">
        <f>COUNTIF(D19:S19,"&lt;0")</f>
        <v>5</v>
      </c>
      <c r="D18" s="650">
        <v>2009</v>
      </c>
      <c r="E18" s="650">
        <v>2010</v>
      </c>
      <c r="F18" s="650">
        <v>2011</v>
      </c>
      <c r="G18" s="650">
        <v>2012</v>
      </c>
      <c r="H18" s="650">
        <v>2013</v>
      </c>
      <c r="I18" s="650">
        <v>2014</v>
      </c>
      <c r="J18" s="650">
        <v>2015</v>
      </c>
      <c r="K18" s="650">
        <v>2016</v>
      </c>
      <c r="L18" s="650">
        <v>2017</v>
      </c>
      <c r="M18" s="650">
        <v>2018</v>
      </c>
      <c r="N18" s="650">
        <v>2019</v>
      </c>
      <c r="O18" s="650">
        <v>2020</v>
      </c>
      <c r="P18" s="650">
        <v>2021</v>
      </c>
      <c r="Q18" s="650">
        <v>2022</v>
      </c>
      <c r="R18" s="650">
        <v>2023</v>
      </c>
      <c r="S18" s="650">
        <v>2024</v>
      </c>
    </row>
    <row r="19" spans="2:19" ht="15.5">
      <c r="B19" s="651"/>
      <c r="C19" s="652" t="s">
        <v>657</v>
      </c>
      <c r="D19" s="653">
        <f>'Scénarios '!W30</f>
        <v>-63.717307692307656</v>
      </c>
      <c r="E19" s="653">
        <f>'Scénarios '!X30</f>
        <v>-399.96793846153844</v>
      </c>
      <c r="F19" s="653">
        <f>'Scénarios '!Y30</f>
        <v>-380.01293846153845</v>
      </c>
      <c r="G19" s="653">
        <f>'Scénarios '!Z30</f>
        <v>-360.05793846153847</v>
      </c>
      <c r="H19" s="653">
        <f>'Scénarios '!AA30</f>
        <v>-145.10293846153849</v>
      </c>
      <c r="I19" s="653">
        <f>'Scénarios '!AB30</f>
        <v>69.852061538461513</v>
      </c>
      <c r="J19" s="653">
        <f>'Scénarios '!AC30</f>
        <v>284.80706153846154</v>
      </c>
      <c r="K19" s="653">
        <f>'Scénarios '!AD30</f>
        <v>499.76206153846152</v>
      </c>
      <c r="L19" s="653">
        <f>'Scénarios '!AE30</f>
        <v>714.71706153846151</v>
      </c>
      <c r="M19" s="653">
        <f>'Scénarios '!AF30</f>
        <v>929.67206153846155</v>
      </c>
      <c r="N19" s="653">
        <f>'Scénarios '!AG30</f>
        <v>1144.6270615384615</v>
      </c>
      <c r="O19" s="653">
        <f>'Scénarios '!AH30</f>
        <v>1359.5820615384614</v>
      </c>
      <c r="P19" s="653">
        <f>'Scénarios '!AI30</f>
        <v>1574.5370615384613</v>
      </c>
      <c r="Q19" s="653">
        <f>'Scénarios '!AJ30</f>
        <v>1789.4920615384613</v>
      </c>
      <c r="R19" s="653">
        <f>'Scénarios '!AK30</f>
        <v>2004.4470615384612</v>
      </c>
      <c r="S19" s="653">
        <f>'Scénarios '!AL30</f>
        <v>2219.4020615384611</v>
      </c>
    </row>
    <row r="20" spans="2:19" ht="15.5">
      <c r="B20" s="651"/>
      <c r="C20" s="651"/>
      <c r="D20" s="10"/>
      <c r="E20" s="10"/>
      <c r="F20" s="10"/>
      <c r="G20" s="10"/>
      <c r="H20" s="10"/>
      <c r="I20" s="10"/>
      <c r="J20" s="10"/>
      <c r="K20" s="10"/>
      <c r="L20" s="10"/>
      <c r="M20" s="10"/>
      <c r="N20" s="10"/>
      <c r="O20" s="10"/>
      <c r="P20" s="10"/>
      <c r="Q20" s="10"/>
      <c r="R20" s="10"/>
      <c r="S20" s="10"/>
    </row>
    <row r="21" spans="2:19" ht="15.5">
      <c r="B21" s="647" t="s">
        <v>710</v>
      </c>
      <c r="C21" s="648">
        <f>SUMIF(D23:S23,"&lt;0",D23:S23)</f>
        <v>-1228.0436091430365</v>
      </c>
      <c r="D21" s="1044" t="s">
        <v>716</v>
      </c>
      <c r="E21" s="1045"/>
      <c r="F21" s="1045"/>
      <c r="G21" s="1045"/>
      <c r="H21" s="1045"/>
      <c r="I21" s="1046"/>
      <c r="J21" s="10"/>
      <c r="K21" s="10"/>
      <c r="L21" s="10"/>
      <c r="M21" s="10"/>
      <c r="N21" s="10"/>
      <c r="O21" s="10"/>
      <c r="P21" s="10"/>
      <c r="Q21" s="10"/>
      <c r="R21" s="10"/>
      <c r="S21" s="10"/>
    </row>
    <row r="22" spans="2:19" ht="15.5">
      <c r="B22" s="647" t="s">
        <v>712</v>
      </c>
      <c r="C22" s="649">
        <f>COUNTIF(D23:S23,"&lt;0")</f>
        <v>5</v>
      </c>
      <c r="D22" s="650">
        <v>2009</v>
      </c>
      <c r="E22" s="650">
        <v>2010</v>
      </c>
      <c r="F22" s="650">
        <v>2011</v>
      </c>
      <c r="G22" s="650">
        <v>2012</v>
      </c>
      <c r="H22" s="650">
        <v>2013</v>
      </c>
      <c r="I22" s="650">
        <v>2014</v>
      </c>
      <c r="J22" s="650">
        <v>2015</v>
      </c>
      <c r="K22" s="650">
        <v>2016</v>
      </c>
      <c r="L22" s="650">
        <v>2017</v>
      </c>
      <c r="M22" s="650">
        <v>2018</v>
      </c>
      <c r="N22" s="650">
        <v>2019</v>
      </c>
      <c r="O22" s="650">
        <v>2020</v>
      </c>
      <c r="P22" s="650">
        <v>2021</v>
      </c>
      <c r="Q22" s="650">
        <v>2022</v>
      </c>
      <c r="R22" s="650">
        <v>2023</v>
      </c>
      <c r="S22" s="650">
        <v>2024</v>
      </c>
    </row>
    <row r="23" spans="2:19" ht="15.5">
      <c r="B23" s="651"/>
      <c r="C23" s="652" t="s">
        <v>657</v>
      </c>
      <c r="D23" s="653">
        <f>AVERAGE('Scénarios '!W23,'Scénarios '!W30)</f>
        <v>-63.717307692307656</v>
      </c>
      <c r="E23" s="653">
        <f>AVERAGE('Scénarios '!X23,'Scénarios '!X30)</f>
        <v>-399.96793846153844</v>
      </c>
      <c r="F23" s="653">
        <f>AVERAGE('Scénarios '!Y23,'Scénarios '!Y30)</f>
        <v>-342.51293846153845</v>
      </c>
      <c r="G23" s="653">
        <f>AVERAGE('Scénarios '!Z23,'Scénarios '!Z30)</f>
        <v>-285.05793846153847</v>
      </c>
      <c r="H23" s="653">
        <f>AVERAGE('Scénarios '!AA23,'Scénarios '!AA30)</f>
        <v>-136.78748606611353</v>
      </c>
      <c r="I23" s="653">
        <f>AVERAGE('Scénarios '!AB23,'Scénarios '!AB30)</f>
        <v>34.645922118616674</v>
      </c>
      <c r="J23" s="653">
        <f>AVERAGE('Scénarios '!AC23,'Scénarios '!AC30)</f>
        <v>204.73978501841606</v>
      </c>
      <c r="K23" s="653">
        <f>AVERAGE('Scénarios '!AD23,'Scénarios '!AD30)</f>
        <v>373.89062878883868</v>
      </c>
      <c r="L23" s="653">
        <f>AVERAGE('Scénarios '!AE23,'Scénarios '!AE30)</f>
        <v>541.89620317428728</v>
      </c>
      <c r="M23" s="653">
        <f>AVERAGE('Scénarios '!AF23,'Scénarios '!AF30)</f>
        <v>709.0814763376643</v>
      </c>
      <c r="N23" s="653">
        <f>AVERAGE('Scénarios '!AG23,'Scénarios '!AG30)</f>
        <v>875.28713247148255</v>
      </c>
      <c r="O23" s="653">
        <f>AVERAGE('Scénarios '!AH23,'Scénarios '!AH30)</f>
        <v>1040.7796844494362</v>
      </c>
      <c r="P23" s="653">
        <f>AVERAGE('Scénarios '!AI23,'Scénarios '!AI30)</f>
        <v>1205.4339445311698</v>
      </c>
      <c r="Q23" s="653">
        <f>AVERAGE('Scénarios '!AJ23,'Scénarios '!AJ30)</f>
        <v>1369.4686462228406</v>
      </c>
      <c r="R23" s="653">
        <f>AVERAGE('Scénarios '!AK23,'Scénarios '!AK30)</f>
        <v>1532.785691509856</v>
      </c>
      <c r="S23" s="653">
        <f>AVERAGE('Scénarios '!AL23,'Scénarios '!AL30)</f>
        <v>1698.9636022179307</v>
      </c>
    </row>
    <row r="24" spans="2:19" ht="15.5">
      <c r="B24" s="651"/>
      <c r="C24" s="651"/>
      <c r="D24" s="10"/>
      <c r="E24" s="10"/>
      <c r="F24" s="10"/>
      <c r="G24" s="10"/>
      <c r="H24" s="10"/>
      <c r="I24" s="10"/>
      <c r="J24" s="10"/>
      <c r="K24" s="10"/>
      <c r="L24" s="10"/>
      <c r="M24" s="10"/>
      <c r="N24" s="10"/>
      <c r="O24" s="10"/>
      <c r="P24" s="10"/>
      <c r="Q24" s="10"/>
      <c r="R24" s="10"/>
      <c r="S24" s="10"/>
    </row>
    <row r="25" spans="2:19" ht="15.5">
      <c r="B25" s="647" t="s">
        <v>710</v>
      </c>
      <c r="C25" s="648">
        <f>SUMIF(D27:S27,"&lt;0",D27:S27)</f>
        <v>-4300.4249957592237</v>
      </c>
      <c r="D25" s="1044" t="s">
        <v>717</v>
      </c>
      <c r="E25" s="1045"/>
      <c r="F25" s="1045"/>
      <c r="G25" s="1045"/>
      <c r="H25" s="1045"/>
      <c r="I25" s="1046"/>
      <c r="J25" s="10"/>
      <c r="K25" s="10"/>
      <c r="L25" s="10"/>
      <c r="M25" s="10"/>
      <c r="N25" s="10"/>
      <c r="O25" s="10"/>
      <c r="P25" s="10"/>
      <c r="Q25" s="10"/>
      <c r="R25" s="10"/>
      <c r="S25" s="10"/>
    </row>
    <row r="26" spans="2:19" ht="15.5">
      <c r="B26" s="647" t="s">
        <v>712</v>
      </c>
      <c r="C26" s="649">
        <f>COUNTIF(D27:S27,"&lt;0")</f>
        <v>8</v>
      </c>
      <c r="D26" s="650">
        <v>2009</v>
      </c>
      <c r="E26" s="650">
        <v>2010</v>
      </c>
      <c r="F26" s="650">
        <v>2011</v>
      </c>
      <c r="G26" s="650">
        <v>2012</v>
      </c>
      <c r="H26" s="650">
        <v>2013</v>
      </c>
      <c r="I26" s="650">
        <v>2014</v>
      </c>
      <c r="J26" s="650">
        <v>2015</v>
      </c>
      <c r="K26" s="650">
        <v>2016</v>
      </c>
      <c r="L26" s="650">
        <v>2017</v>
      </c>
      <c r="M26" s="650">
        <v>2018</v>
      </c>
      <c r="N26" s="650">
        <v>2019</v>
      </c>
      <c r="O26" s="650">
        <v>2020</v>
      </c>
      <c r="P26" s="650">
        <v>2021</v>
      </c>
      <c r="Q26" s="650">
        <v>2022</v>
      </c>
      <c r="R26" s="650">
        <v>2023</v>
      </c>
      <c r="S26" s="650">
        <v>2024</v>
      </c>
    </row>
    <row r="27" spans="2:19" ht="15.5">
      <c r="B27" s="651"/>
      <c r="C27" s="652" t="s">
        <v>657</v>
      </c>
      <c r="D27" s="653">
        <f>AVERAGE('Scénarios '!W6)</f>
        <v>-63.722307692307709</v>
      </c>
      <c r="E27" s="653">
        <f>AVERAGE('Scénarios '!X6)</f>
        <v>-399.97293846153849</v>
      </c>
      <c r="F27" s="653">
        <f>AVERAGE('Scénarios '!Y6)</f>
        <v>-651.57016551724132</v>
      </c>
      <c r="G27" s="653">
        <f>AVERAGE('Scénarios '!Z6)</f>
        <v>-904.64160689655171</v>
      </c>
      <c r="H27" s="653">
        <f>AVERAGE('Scénarios '!AA6)</f>
        <v>-906.38165409572412</v>
      </c>
      <c r="I27" s="653">
        <f>AVERAGE('Scénarios '!AB6)</f>
        <v>-804.32010915162084</v>
      </c>
      <c r="J27" s="653">
        <f>AVERAGE('Scénarios '!AC6)</f>
        <v>-549.36474978228966</v>
      </c>
      <c r="K27" s="653">
        <f>AVERAGE('Scénarios '!AD6)</f>
        <v>-20.451464161949673</v>
      </c>
      <c r="L27" s="653">
        <f>AVERAGE('Scénarios '!AE6)</f>
        <v>496.93846695067555</v>
      </c>
      <c r="M27" s="653">
        <f>AVERAGE('Scénarios '!AF6)</f>
        <v>1007.2779479782045</v>
      </c>
      <c r="N27" s="653">
        <f>AVERAGE('Scénarios '!AG6)</f>
        <v>1510.7644228358281</v>
      </c>
      <c r="O27" s="653">
        <f>AVERAGE('Scénarios '!AH6)</f>
        <v>2014.5524838823387</v>
      </c>
      <c r="P27" s="653">
        <f>AVERAGE('Scénarios '!AI6)</f>
        <v>2516.0584541316143</v>
      </c>
      <c r="Q27" s="653">
        <f>AVERAGE('Scénarios '!AJ6)</f>
        <v>3018.0103805947374</v>
      </c>
      <c r="R27" s="653">
        <f>AVERAGE('Scénarios '!AK6)</f>
        <v>3517.8294332413179</v>
      </c>
      <c r="S27" s="653">
        <f>AVERAGE('Scénarios '!AL6)</f>
        <v>4047.2598579215978</v>
      </c>
    </row>
  </sheetData>
  <mergeCells count="6">
    <mergeCell ref="D25:I25"/>
    <mergeCell ref="D5:I5"/>
    <mergeCell ref="D9:I9"/>
    <mergeCell ref="D13:I13"/>
    <mergeCell ref="D17:I17"/>
    <mergeCell ref="D21:I21"/>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6" id="{1DD1F5A5-206A-4893-9CFB-9215757C13CB}">
            <x14:iconSet iconSet="3Triangles">
              <x14:cfvo type="percent">
                <xm:f>0</xm:f>
              </x14:cfvo>
              <x14:cfvo type="num" gte="0">
                <xm:f>0</xm:f>
              </x14:cfvo>
              <x14:cfvo type="num" gte="0">
                <xm:f>0</xm:f>
              </x14:cfvo>
            </x14:iconSet>
          </x14:cfRule>
          <xm:sqref>D7:S7</xm:sqref>
        </x14:conditionalFormatting>
        <x14:conditionalFormatting xmlns:xm="http://schemas.microsoft.com/office/excel/2006/main">
          <x14:cfRule type="iconSet" priority="5" id="{AA24F06C-2A34-4E20-8349-7BA4AAA5667F}">
            <x14:iconSet iconSet="3Triangles">
              <x14:cfvo type="percent">
                <xm:f>0</xm:f>
              </x14:cfvo>
              <x14:cfvo type="num" gte="0">
                <xm:f>0</xm:f>
              </x14:cfvo>
              <x14:cfvo type="num" gte="0">
                <xm:f>0</xm:f>
              </x14:cfvo>
            </x14:iconSet>
          </x14:cfRule>
          <xm:sqref>D11:S11</xm:sqref>
        </x14:conditionalFormatting>
        <x14:conditionalFormatting xmlns:xm="http://schemas.microsoft.com/office/excel/2006/main">
          <x14:cfRule type="iconSet" priority="4" id="{79B38563-E3E8-4C24-B50D-61255D67320C}">
            <x14:iconSet iconSet="3Triangles">
              <x14:cfvo type="percent">
                <xm:f>0</xm:f>
              </x14:cfvo>
              <x14:cfvo type="num" gte="0">
                <xm:f>0</xm:f>
              </x14:cfvo>
              <x14:cfvo type="num" gte="0">
                <xm:f>0</xm:f>
              </x14:cfvo>
            </x14:iconSet>
          </x14:cfRule>
          <xm:sqref>D15:S15</xm:sqref>
        </x14:conditionalFormatting>
        <x14:conditionalFormatting xmlns:xm="http://schemas.microsoft.com/office/excel/2006/main">
          <x14:cfRule type="iconSet" priority="3" id="{8ACDA422-5EBF-413A-98FC-D59A276C837E}">
            <x14:iconSet iconSet="3Triangles">
              <x14:cfvo type="percent">
                <xm:f>0</xm:f>
              </x14:cfvo>
              <x14:cfvo type="num" gte="0">
                <xm:f>0</xm:f>
              </x14:cfvo>
              <x14:cfvo type="num" gte="0">
                <xm:f>0</xm:f>
              </x14:cfvo>
            </x14:iconSet>
          </x14:cfRule>
          <xm:sqref>D19:S19</xm:sqref>
        </x14:conditionalFormatting>
        <x14:conditionalFormatting xmlns:xm="http://schemas.microsoft.com/office/excel/2006/main">
          <x14:cfRule type="iconSet" priority="2" id="{5E9DCE64-D470-4828-B533-33A50B96A33E}">
            <x14:iconSet iconSet="3Triangles">
              <x14:cfvo type="percent">
                <xm:f>0</xm:f>
              </x14:cfvo>
              <x14:cfvo type="num" gte="0">
                <xm:f>0</xm:f>
              </x14:cfvo>
              <x14:cfvo type="num" gte="0">
                <xm:f>0</xm:f>
              </x14:cfvo>
            </x14:iconSet>
          </x14:cfRule>
          <xm:sqref>D23:S23</xm:sqref>
        </x14:conditionalFormatting>
        <x14:conditionalFormatting xmlns:xm="http://schemas.microsoft.com/office/excel/2006/main">
          <x14:cfRule type="iconSet" priority="1" id="{2DCDD59F-27A7-4523-A4AD-24C1F9C9EB42}">
            <x14:iconSet iconSet="3Triangles">
              <x14:cfvo type="percent">
                <xm:f>0</xm:f>
              </x14:cfvo>
              <x14:cfvo type="num" gte="0">
                <xm:f>0</xm:f>
              </x14:cfvo>
              <x14:cfvo type="num" gte="0">
                <xm:f>0</xm:f>
              </x14:cfvo>
            </x14:iconSet>
          </x14:cfRule>
          <xm:sqref>D27:S27</xm:sqref>
        </x14:conditionalFormatting>
      </x14:conditionalFormatting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Q52"/>
  <sheetViews>
    <sheetView showGridLines="0" topLeftCell="J11" workbookViewId="0">
      <selection activeCell="O12" sqref="O12"/>
    </sheetView>
  </sheetViews>
  <sheetFormatPr baseColWidth="10" defaultColWidth="12.453125" defaultRowHeight="14.5"/>
  <cols>
    <col min="1" max="1" width="27.26953125" customWidth="1"/>
    <col min="9" max="9" width="14.453125" bestFit="1" customWidth="1"/>
    <col min="11" max="11" width="30.7265625" customWidth="1"/>
    <col min="12" max="12" width="22.81640625" customWidth="1"/>
    <col min="13" max="13" width="27.453125" customWidth="1"/>
    <col min="14" max="14" width="26.453125" customWidth="1"/>
    <col min="15" max="15" width="23.453125" customWidth="1"/>
    <col min="16" max="16" width="22.7265625" customWidth="1"/>
    <col min="17" max="17" width="21.7265625" customWidth="1"/>
  </cols>
  <sheetData>
    <row r="5" spans="3:17" ht="15.5">
      <c r="K5" s="1051">
        <v>39813</v>
      </c>
      <c r="L5" s="1052"/>
      <c r="M5" s="1053"/>
    </row>
    <row r="6" spans="3:17" ht="32.15" customHeight="1">
      <c r="C6" s="1054" t="s">
        <v>718</v>
      </c>
      <c r="D6" s="1054"/>
      <c r="E6" s="1055" t="s">
        <v>719</v>
      </c>
      <c r="F6" s="1056"/>
      <c r="G6" s="1055" t="s">
        <v>720</v>
      </c>
      <c r="H6" s="1056"/>
      <c r="I6" s="1054" t="s">
        <v>721</v>
      </c>
      <c r="J6" s="1054"/>
      <c r="K6" s="654" t="s">
        <v>722</v>
      </c>
      <c r="L6" s="655" t="s">
        <v>723</v>
      </c>
      <c r="M6" s="656" t="s">
        <v>724</v>
      </c>
      <c r="N6" s="657" t="s">
        <v>725</v>
      </c>
      <c r="O6" s="658" t="s">
        <v>726</v>
      </c>
      <c r="P6" s="658" t="s">
        <v>727</v>
      </c>
    </row>
    <row r="7" spans="3:17" ht="5.15" customHeight="1">
      <c r="C7" s="1050"/>
      <c r="D7" s="1050"/>
      <c r="E7" s="1050"/>
      <c r="F7" s="1050"/>
      <c r="G7" s="1050"/>
      <c r="H7" s="1050"/>
      <c r="I7" s="1050"/>
      <c r="J7" s="1050"/>
      <c r="K7" s="1050"/>
      <c r="L7" s="1050"/>
      <c r="M7" s="1050"/>
      <c r="N7" s="1050"/>
      <c r="O7" s="1050"/>
      <c r="P7" s="1050"/>
    </row>
    <row r="8" spans="3:17" ht="15.5">
      <c r="C8" s="1056">
        <f>26.03</f>
        <v>26.03</v>
      </c>
      <c r="D8" s="1056"/>
      <c r="E8" s="1057">
        <f>15887450</f>
        <v>15887450</v>
      </c>
      <c r="F8" s="1057"/>
      <c r="G8" s="1057">
        <f>N8/C8</f>
        <v>4610065.3092585476</v>
      </c>
      <c r="H8" s="1057"/>
      <c r="I8" s="1057">
        <f>E8+G8</f>
        <v>20497515.309258547</v>
      </c>
      <c r="J8" s="1057"/>
      <c r="K8" s="679">
        <v>95769000</v>
      </c>
      <c r="L8" s="679">
        <v>155206000</v>
      </c>
      <c r="M8" s="679">
        <f>K8+L8</f>
        <v>250975000</v>
      </c>
      <c r="N8" s="659">
        <v>120000000</v>
      </c>
      <c r="O8" s="674">
        <f>AVERAGE('Cours en bourse'!D3:D208)</f>
        <v>0.23496567002247859</v>
      </c>
      <c r="P8" s="674">
        <f>AVERAGE('Cours en bourse'!E3:E208)</f>
        <v>0.17484219159017864</v>
      </c>
    </row>
    <row r="14" spans="3:17" ht="15" thickBot="1"/>
    <row r="15" spans="3:17" ht="16" thickBot="1">
      <c r="C15" s="1058"/>
      <c r="D15" s="1059"/>
      <c r="E15" s="1059"/>
      <c r="F15" s="1059"/>
      <c r="G15" s="1059"/>
      <c r="H15" s="1059"/>
      <c r="I15" s="1059"/>
      <c r="J15" s="1059"/>
      <c r="K15" s="1059"/>
      <c r="L15" s="1059"/>
      <c r="M15" s="1060"/>
      <c r="N15" s="1058" t="s">
        <v>728</v>
      </c>
      <c r="O15" s="1060"/>
      <c r="P15" s="1058" t="s">
        <v>729</v>
      </c>
      <c r="Q15" s="1060"/>
    </row>
    <row r="16" spans="3:17" ht="24" customHeight="1">
      <c r="C16" s="1062" t="s">
        <v>640</v>
      </c>
      <c r="D16" s="1062"/>
      <c r="E16" s="1062" t="s">
        <v>642</v>
      </c>
      <c r="F16" s="1062"/>
      <c r="G16" s="1062" t="s">
        <v>645</v>
      </c>
      <c r="H16" s="1062"/>
      <c r="I16" s="1062" t="s">
        <v>730</v>
      </c>
      <c r="J16" s="1062"/>
      <c r="K16" s="1054" t="s">
        <v>731</v>
      </c>
      <c r="L16" s="1054" t="s">
        <v>718</v>
      </c>
      <c r="M16" s="1054" t="s">
        <v>658</v>
      </c>
      <c r="N16" s="1054" t="s">
        <v>718</v>
      </c>
      <c r="O16" s="1054" t="s">
        <v>732</v>
      </c>
      <c r="P16" s="1054" t="s">
        <v>718</v>
      </c>
      <c r="Q16" s="1054" t="s">
        <v>733</v>
      </c>
    </row>
    <row r="17" spans="1:17" ht="15.5">
      <c r="C17" s="660" t="s">
        <v>734</v>
      </c>
      <c r="D17" s="660" t="s">
        <v>448</v>
      </c>
      <c r="E17" s="660" t="s">
        <v>734</v>
      </c>
      <c r="F17" s="660" t="s">
        <v>448</v>
      </c>
      <c r="G17" s="660" t="s">
        <v>734</v>
      </c>
      <c r="H17" s="660" t="s">
        <v>448</v>
      </c>
      <c r="I17" s="660" t="s">
        <v>734</v>
      </c>
      <c r="J17" s="660" t="s">
        <v>448</v>
      </c>
      <c r="K17" s="1054"/>
      <c r="L17" s="1054"/>
      <c r="M17" s="1054"/>
      <c r="N17" s="1054"/>
      <c r="O17" s="1054"/>
      <c r="P17" s="1054"/>
      <c r="Q17" s="1054"/>
    </row>
    <row r="18" spans="1:17" ht="32.15" customHeight="1">
      <c r="A18" s="658" t="s">
        <v>735</v>
      </c>
      <c r="B18" s="661" t="s">
        <v>7</v>
      </c>
      <c r="C18" s="662" t="s">
        <v>736</v>
      </c>
      <c r="D18" s="662" t="s">
        <v>736</v>
      </c>
      <c r="E18" s="663" t="s">
        <v>736</v>
      </c>
      <c r="F18" s="663" t="s">
        <v>736</v>
      </c>
      <c r="G18" s="664" t="s">
        <v>736</v>
      </c>
      <c r="H18" s="664" t="s">
        <v>736</v>
      </c>
      <c r="I18" s="665" t="s">
        <v>736</v>
      </c>
      <c r="J18" s="665" t="s">
        <v>736</v>
      </c>
      <c r="K18" s="676">
        <f>'Scénarios '!C29*1000000</f>
        <v>670277212.78160632</v>
      </c>
      <c r="L18" s="677">
        <f>$C$8</f>
        <v>26.03</v>
      </c>
      <c r="M18" s="676">
        <f>K18+$M$8</f>
        <v>921252212.78160632</v>
      </c>
      <c r="N18" s="677">
        <f>M18/$E$8</f>
        <v>57.986159690926257</v>
      </c>
      <c r="O18" s="678">
        <f>L18-N18</f>
        <v>-31.956159690926256</v>
      </c>
      <c r="P18" s="680">
        <f>(M18+$N$8)/$I$8</f>
        <v>50.798947924741</v>
      </c>
      <c r="Q18" s="678">
        <f>L18-P18</f>
        <v>-24.768947924740999</v>
      </c>
    </row>
    <row r="19" spans="1:17" ht="11.15" customHeight="1">
      <c r="A19" s="666"/>
      <c r="B19" s="667"/>
      <c r="C19" s="662"/>
      <c r="D19" s="662"/>
      <c r="E19" s="662"/>
      <c r="F19" s="662"/>
      <c r="G19" s="662"/>
      <c r="H19" s="662"/>
      <c r="I19" s="662"/>
      <c r="J19" s="662"/>
      <c r="P19" s="681"/>
    </row>
    <row r="20" spans="1:17" ht="15.5">
      <c r="A20" s="1061" t="s">
        <v>737</v>
      </c>
      <c r="B20" s="660" t="s">
        <v>8</v>
      </c>
      <c r="C20" s="668" t="s">
        <v>736</v>
      </c>
      <c r="D20" s="668" t="s">
        <v>453</v>
      </c>
      <c r="E20" s="669" t="s">
        <v>736</v>
      </c>
      <c r="F20" s="669" t="s">
        <v>736</v>
      </c>
      <c r="G20" s="670" t="s">
        <v>736</v>
      </c>
      <c r="H20" s="670" t="s">
        <v>736</v>
      </c>
      <c r="I20" s="671" t="s">
        <v>736</v>
      </c>
      <c r="J20" s="671" t="s">
        <v>736</v>
      </c>
      <c r="K20" s="676">
        <f>'Scénarios '!C62*1000000</f>
        <v>134962717.16219774</v>
      </c>
      <c r="L20" s="677">
        <f>$C$8</f>
        <v>26.03</v>
      </c>
      <c r="M20" s="676">
        <f t="shared" ref="M20:M52" si="0">K20+$M$8</f>
        <v>385937717.16219771</v>
      </c>
      <c r="N20" s="677">
        <f>M20/$E$8</f>
        <v>24.291986263509735</v>
      </c>
      <c r="O20" s="678">
        <f t="shared" ref="O20:O52" si="1">L20-N20</f>
        <v>1.7380137364902666</v>
      </c>
      <c r="P20" s="680">
        <f>(M20+$N$8)/$I$8</f>
        <v>24.682880316409381</v>
      </c>
      <c r="Q20" s="678">
        <f t="shared" ref="Q20:Q52" si="2">L20-P20</f>
        <v>1.3471196835906198</v>
      </c>
    </row>
    <row r="21" spans="1:17" ht="15.5">
      <c r="A21" s="1054"/>
      <c r="B21" s="660" t="s">
        <v>9</v>
      </c>
      <c r="C21" s="668" t="s">
        <v>453</v>
      </c>
      <c r="D21" s="668"/>
      <c r="E21" s="669" t="s">
        <v>736</v>
      </c>
      <c r="F21" s="669" t="s">
        <v>736</v>
      </c>
      <c r="G21" s="670" t="s">
        <v>736</v>
      </c>
      <c r="H21" s="670" t="s">
        <v>736</v>
      </c>
      <c r="I21" s="671" t="s">
        <v>736</v>
      </c>
      <c r="J21" s="671" t="s">
        <v>736</v>
      </c>
      <c r="K21" s="676">
        <f>'Scénarios '!C95*1000000</f>
        <v>305414468.48783934</v>
      </c>
      <c r="L21" s="677">
        <f t="shared" ref="L21:L52" si="3">$C$8</f>
        <v>26.03</v>
      </c>
      <c r="M21" s="676">
        <f t="shared" si="0"/>
        <v>556389468.48783934</v>
      </c>
      <c r="N21" s="677">
        <f t="shared" ref="N21:N52" si="4">M21/$E$8</f>
        <v>35.020690449873285</v>
      </c>
      <c r="O21" s="678">
        <f t="shared" si="1"/>
        <v>-8.9906904498732843</v>
      </c>
      <c r="P21" s="680">
        <f t="shared" ref="P21:P52" si="5">(M21+$N$8)/$I$8</f>
        <v>32.998607796249345</v>
      </c>
      <c r="Q21" s="678">
        <f t="shared" si="2"/>
        <v>-6.9686077962493442</v>
      </c>
    </row>
    <row r="22" spans="1:17" ht="15.5">
      <c r="A22" s="1054"/>
      <c r="B22" s="660" t="s">
        <v>738</v>
      </c>
      <c r="C22" s="668" t="s">
        <v>736</v>
      </c>
      <c r="D22" s="668" t="s">
        <v>736</v>
      </c>
      <c r="E22" s="669" t="s">
        <v>736</v>
      </c>
      <c r="F22" s="669" t="s">
        <v>453</v>
      </c>
      <c r="G22" s="670" t="s">
        <v>736</v>
      </c>
      <c r="H22" s="670" t="s">
        <v>736</v>
      </c>
      <c r="I22" s="671" t="s">
        <v>736</v>
      </c>
      <c r="J22" s="671" t="s">
        <v>736</v>
      </c>
      <c r="K22" s="676">
        <f>'Scénarios '!C128*1000000</f>
        <v>279385963.87675828</v>
      </c>
      <c r="L22" s="677">
        <f t="shared" si="3"/>
        <v>26.03</v>
      </c>
      <c r="M22" s="676">
        <f t="shared" si="0"/>
        <v>530360963.87675828</v>
      </c>
      <c r="N22" s="677">
        <f t="shared" si="4"/>
        <v>33.382384452933493</v>
      </c>
      <c r="O22" s="678">
        <f t="shared" si="1"/>
        <v>-7.3523844529334923</v>
      </c>
      <c r="P22" s="680">
        <f t="shared" si="5"/>
        <v>31.728770734616603</v>
      </c>
      <c r="Q22" s="678">
        <f t="shared" si="2"/>
        <v>-5.6987707346166019</v>
      </c>
    </row>
    <row r="23" spans="1:17" ht="15.5">
      <c r="A23" s="1054"/>
      <c r="B23" s="660" t="s">
        <v>739</v>
      </c>
      <c r="C23" s="668" t="s">
        <v>736</v>
      </c>
      <c r="D23" s="668" t="s">
        <v>736</v>
      </c>
      <c r="E23" s="669" t="s">
        <v>453</v>
      </c>
      <c r="F23" s="669"/>
      <c r="G23" s="670" t="s">
        <v>736</v>
      </c>
      <c r="H23" s="670" t="s">
        <v>736</v>
      </c>
      <c r="I23" s="671" t="s">
        <v>736</v>
      </c>
      <c r="J23" s="671" t="s">
        <v>736</v>
      </c>
      <c r="K23" s="676">
        <f>'Scénarios '!C161*1000000</f>
        <v>335179241.32374221</v>
      </c>
      <c r="L23" s="677">
        <f t="shared" si="3"/>
        <v>26.03</v>
      </c>
      <c r="M23" s="676">
        <f t="shared" si="0"/>
        <v>586154241.32374215</v>
      </c>
      <c r="N23" s="677">
        <f t="shared" si="4"/>
        <v>36.894167492186739</v>
      </c>
      <c r="O23" s="678">
        <f t="shared" si="1"/>
        <v>-10.864167492186738</v>
      </c>
      <c r="P23" s="680">
        <f t="shared" si="5"/>
        <v>34.450723937490046</v>
      </c>
      <c r="Q23" s="678">
        <f t="shared" si="2"/>
        <v>-8.4207239374900453</v>
      </c>
    </row>
    <row r="24" spans="1:17" ht="15.5">
      <c r="A24" s="1054"/>
      <c r="B24" s="660" t="s">
        <v>740</v>
      </c>
      <c r="C24" s="668" t="s">
        <v>736</v>
      </c>
      <c r="D24" s="668" t="s">
        <v>736</v>
      </c>
      <c r="E24" s="669" t="s">
        <v>736</v>
      </c>
      <c r="F24" s="669" t="s">
        <v>736</v>
      </c>
      <c r="G24" s="670" t="s">
        <v>736</v>
      </c>
      <c r="H24" s="670" t="s">
        <v>453</v>
      </c>
      <c r="I24" s="671" t="s">
        <v>736</v>
      </c>
      <c r="J24" s="671" t="s">
        <v>736</v>
      </c>
      <c r="K24" s="676">
        <f>'Scénarios '!C194*1000000</f>
        <v>113497975.92844214</v>
      </c>
      <c r="L24" s="677">
        <f t="shared" si="3"/>
        <v>26.03</v>
      </c>
      <c r="M24" s="676">
        <f t="shared" si="0"/>
        <v>364472975.92844212</v>
      </c>
      <c r="N24" s="677">
        <f t="shared" si="4"/>
        <v>22.940936143210024</v>
      </c>
      <c r="O24" s="678">
        <f t="shared" si="1"/>
        <v>3.0890638567899771</v>
      </c>
      <c r="P24" s="680">
        <f t="shared" si="5"/>
        <v>23.635692844664444</v>
      </c>
      <c r="Q24" s="678">
        <f t="shared" si="2"/>
        <v>2.3943071553355573</v>
      </c>
    </row>
    <row r="25" spans="1:17" ht="15.5">
      <c r="A25" s="1054"/>
      <c r="B25" s="660" t="s">
        <v>741</v>
      </c>
      <c r="C25" s="668" t="s">
        <v>736</v>
      </c>
      <c r="D25" s="668" t="s">
        <v>736</v>
      </c>
      <c r="E25" s="669" t="s">
        <v>736</v>
      </c>
      <c r="F25" s="669" t="s">
        <v>736</v>
      </c>
      <c r="G25" s="670" t="s">
        <v>453</v>
      </c>
      <c r="H25" s="670"/>
      <c r="I25" s="671" t="s">
        <v>736</v>
      </c>
      <c r="J25" s="671" t="s">
        <v>736</v>
      </c>
      <c r="K25" s="676">
        <f>'Scénarios '!C227*1000000</f>
        <v>228577522.25660551</v>
      </c>
      <c r="L25" s="677">
        <f t="shared" si="3"/>
        <v>26.03</v>
      </c>
      <c r="M25" s="676">
        <f t="shared" si="0"/>
        <v>479552522.25660551</v>
      </c>
      <c r="N25" s="677">
        <f t="shared" si="4"/>
        <v>30.184360753714756</v>
      </c>
      <c r="O25" s="678">
        <f t="shared" si="1"/>
        <v>-4.1543607537147551</v>
      </c>
      <c r="P25" s="680">
        <f t="shared" si="5"/>
        <v>29.250009730974217</v>
      </c>
      <c r="Q25" s="678">
        <f t="shared" si="2"/>
        <v>-3.2200097309742155</v>
      </c>
    </row>
    <row r="26" spans="1:17" ht="15.5">
      <c r="A26" s="1054"/>
      <c r="B26" s="660" t="s">
        <v>742</v>
      </c>
      <c r="C26" s="668" t="s">
        <v>736</v>
      </c>
      <c r="D26" s="668" t="s">
        <v>736</v>
      </c>
      <c r="E26" s="669" t="s">
        <v>736</v>
      </c>
      <c r="F26" s="669" t="s">
        <v>736</v>
      </c>
      <c r="G26" s="670" t="s">
        <v>736</v>
      </c>
      <c r="H26" s="670" t="s">
        <v>736</v>
      </c>
      <c r="I26" s="671" t="s">
        <v>736</v>
      </c>
      <c r="J26" s="671" t="s">
        <v>453</v>
      </c>
      <c r="K26" s="676">
        <f>'Scénarios '!C260*1000000</f>
        <v>427377473.73582107</v>
      </c>
      <c r="L26" s="677">
        <f t="shared" si="3"/>
        <v>26.03</v>
      </c>
      <c r="M26" s="676">
        <f t="shared" si="0"/>
        <v>678352473.73582101</v>
      </c>
      <c r="N26" s="677">
        <f t="shared" si="4"/>
        <v>42.697378983777824</v>
      </c>
      <c r="O26" s="678">
        <f t="shared" si="1"/>
        <v>-16.667378983777823</v>
      </c>
      <c r="P26" s="680">
        <f t="shared" si="5"/>
        <v>38.948743869224593</v>
      </c>
      <c r="Q26" s="678">
        <f t="shared" si="2"/>
        <v>-12.918743869224592</v>
      </c>
    </row>
    <row r="27" spans="1:17" ht="15.5">
      <c r="A27" s="1054"/>
      <c r="B27" s="660" t="s">
        <v>743</v>
      </c>
      <c r="C27" s="668" t="s">
        <v>736</v>
      </c>
      <c r="D27" s="668" t="s">
        <v>736</v>
      </c>
      <c r="E27" s="669" t="s">
        <v>736</v>
      </c>
      <c r="F27" s="669" t="s">
        <v>736</v>
      </c>
      <c r="G27" s="670" t="s">
        <v>736</v>
      </c>
      <c r="H27" s="670" t="s">
        <v>736</v>
      </c>
      <c r="I27" s="671" t="s">
        <v>453</v>
      </c>
      <c r="J27" s="671"/>
      <c r="K27" s="676">
        <f>'Scénarios '!C293*1000000</f>
        <v>491362809.35049915</v>
      </c>
      <c r="L27" s="677">
        <f t="shared" si="3"/>
        <v>26.03</v>
      </c>
      <c r="M27" s="676">
        <f t="shared" si="0"/>
        <v>742337809.35049915</v>
      </c>
      <c r="N27" s="677">
        <f t="shared" si="4"/>
        <v>46.724792798749903</v>
      </c>
      <c r="O27" s="678">
        <f t="shared" si="1"/>
        <v>-20.694792798749901</v>
      </c>
      <c r="P27" s="680">
        <f t="shared" si="5"/>
        <v>42.070358106330517</v>
      </c>
      <c r="Q27" s="678">
        <f t="shared" si="2"/>
        <v>-16.040358106330515</v>
      </c>
    </row>
    <row r="28" spans="1:17" ht="11.15" customHeight="1">
      <c r="A28" s="672"/>
      <c r="B28" s="673"/>
      <c r="C28" s="668"/>
      <c r="D28" s="668"/>
      <c r="E28" s="668"/>
      <c r="F28" s="668"/>
      <c r="G28" s="668"/>
      <c r="H28" s="668"/>
      <c r="I28" s="668"/>
      <c r="J28" s="668"/>
      <c r="P28" s="681"/>
    </row>
    <row r="29" spans="1:17" ht="15.5">
      <c r="A29" s="1061" t="s">
        <v>744</v>
      </c>
      <c r="B29" s="660" t="s">
        <v>745</v>
      </c>
      <c r="C29" s="668" t="s">
        <v>736</v>
      </c>
      <c r="D29" s="668" t="s">
        <v>453</v>
      </c>
      <c r="E29" s="669" t="s">
        <v>736</v>
      </c>
      <c r="F29" s="669" t="s">
        <v>453</v>
      </c>
      <c r="G29" s="670" t="s">
        <v>736</v>
      </c>
      <c r="H29" s="670" t="s">
        <v>736</v>
      </c>
      <c r="I29" s="671" t="s">
        <v>736</v>
      </c>
      <c r="J29" s="671" t="s">
        <v>736</v>
      </c>
      <c r="K29" s="676">
        <f>'Scénarios '!C326*1000000</f>
        <v>-255928531.74265024</v>
      </c>
      <c r="L29" s="677">
        <f t="shared" si="3"/>
        <v>26.03</v>
      </c>
      <c r="M29" s="676">
        <f t="shared" si="0"/>
        <v>-4953531.7426502407</v>
      </c>
      <c r="N29" s="677">
        <f t="shared" si="4"/>
        <v>-0.31178897448301901</v>
      </c>
      <c r="O29" s="678">
        <f t="shared" si="1"/>
        <v>26.34178897448302</v>
      </c>
      <c r="P29" s="680">
        <f t="shared" si="5"/>
        <v>5.612703126284984</v>
      </c>
      <c r="Q29" s="678">
        <f t="shared" si="2"/>
        <v>20.417296873715017</v>
      </c>
    </row>
    <row r="30" spans="1:17" ht="15.5">
      <c r="A30" s="1054"/>
      <c r="B30" s="660" t="s">
        <v>746</v>
      </c>
      <c r="C30" s="668" t="s">
        <v>453</v>
      </c>
      <c r="D30" s="668"/>
      <c r="E30" s="669" t="s">
        <v>736</v>
      </c>
      <c r="F30" s="669" t="s">
        <v>453</v>
      </c>
      <c r="G30" s="670" t="s">
        <v>736</v>
      </c>
      <c r="H30" s="670" t="s">
        <v>736</v>
      </c>
      <c r="I30" s="671" t="s">
        <v>736</v>
      </c>
      <c r="J30" s="671" t="s">
        <v>736</v>
      </c>
      <c r="K30" s="676">
        <f>'Scénarios '!C359*1000000</f>
        <v>-88021570.908426389</v>
      </c>
      <c r="L30" s="677">
        <f t="shared" si="3"/>
        <v>26.03</v>
      </c>
      <c r="M30" s="676">
        <f t="shared" si="0"/>
        <v>162953429.0915736</v>
      </c>
      <c r="N30" s="677">
        <f t="shared" si="4"/>
        <v>10.25673906709847</v>
      </c>
      <c r="O30" s="678">
        <f t="shared" si="1"/>
        <v>15.773260932901531</v>
      </c>
      <c r="P30" s="680">
        <f t="shared" si="5"/>
        <v>13.804279436921119</v>
      </c>
      <c r="Q30" s="678">
        <f t="shared" si="2"/>
        <v>12.225720563078882</v>
      </c>
    </row>
    <row r="31" spans="1:17" ht="15.5">
      <c r="A31" s="1054"/>
      <c r="B31" s="660" t="s">
        <v>747</v>
      </c>
      <c r="C31" s="668" t="s">
        <v>736</v>
      </c>
      <c r="D31" s="668" t="s">
        <v>453</v>
      </c>
      <c r="E31" s="669" t="s">
        <v>453</v>
      </c>
      <c r="F31" s="669"/>
      <c r="G31" s="670" t="s">
        <v>736</v>
      </c>
      <c r="H31" s="670" t="s">
        <v>736</v>
      </c>
      <c r="I31" s="671" t="s">
        <v>736</v>
      </c>
      <c r="J31" s="671" t="s">
        <v>736</v>
      </c>
      <c r="K31" s="676">
        <f>'Scénarios '!C392*1000000</f>
        <v>-122243926.69431911</v>
      </c>
      <c r="L31" s="677">
        <f t="shared" si="3"/>
        <v>26.03</v>
      </c>
      <c r="M31" s="676">
        <f t="shared" si="0"/>
        <v>128731073.30568089</v>
      </c>
      <c r="N31" s="677">
        <f t="shared" si="4"/>
        <v>8.1026894376177978</v>
      </c>
      <c r="O31" s="678">
        <f t="shared" si="1"/>
        <v>17.927310562382203</v>
      </c>
      <c r="P31" s="680">
        <f t="shared" si="5"/>
        <v>12.134693866691796</v>
      </c>
      <c r="Q31" s="678">
        <f t="shared" si="2"/>
        <v>13.895306133308205</v>
      </c>
    </row>
    <row r="32" spans="1:17" ht="15.5">
      <c r="A32" s="1054"/>
      <c r="B32" s="660" t="s">
        <v>748</v>
      </c>
      <c r="C32" s="668" t="s">
        <v>453</v>
      </c>
      <c r="D32" s="668"/>
      <c r="E32" s="669" t="s">
        <v>453</v>
      </c>
      <c r="F32" s="669"/>
      <c r="G32" s="670" t="s">
        <v>736</v>
      </c>
      <c r="H32" s="670" t="s">
        <v>736</v>
      </c>
      <c r="I32" s="671" t="s">
        <v>736</v>
      </c>
      <c r="J32" s="671" t="s">
        <v>736</v>
      </c>
      <c r="K32" s="676">
        <f>'Scénarios '!C425*1000000</f>
        <v>-32228293.461442448</v>
      </c>
      <c r="L32" s="677">
        <f t="shared" si="3"/>
        <v>26.03</v>
      </c>
      <c r="M32" s="676">
        <f t="shared" si="0"/>
        <v>218746706.53855756</v>
      </c>
      <c r="N32" s="677">
        <f t="shared" si="4"/>
        <v>13.768522106351716</v>
      </c>
      <c r="O32" s="678">
        <f t="shared" si="1"/>
        <v>12.261477893648285</v>
      </c>
      <c r="P32" s="680">
        <f t="shared" si="5"/>
        <v>16.526232639794571</v>
      </c>
      <c r="Q32" s="678">
        <f t="shared" si="2"/>
        <v>9.5037673602054298</v>
      </c>
    </row>
    <row r="33" spans="1:17" ht="15.5">
      <c r="A33" s="1054"/>
      <c r="B33" s="660" t="s">
        <v>749</v>
      </c>
      <c r="C33" s="668" t="s">
        <v>736</v>
      </c>
      <c r="D33" s="668" t="s">
        <v>453</v>
      </c>
      <c r="E33" s="669" t="s">
        <v>736</v>
      </c>
      <c r="F33" s="669" t="s">
        <v>736</v>
      </c>
      <c r="G33" s="670" t="s">
        <v>736</v>
      </c>
      <c r="H33" s="670" t="s">
        <v>453</v>
      </c>
      <c r="I33" s="671" t="s">
        <v>736</v>
      </c>
      <c r="J33" s="671" t="s">
        <v>736</v>
      </c>
      <c r="K33" s="676">
        <f>'Scénarios '!C458*1000000</f>
        <v>-421816519.69096637</v>
      </c>
      <c r="L33" s="677">
        <f t="shared" si="3"/>
        <v>26.03</v>
      </c>
      <c r="M33" s="676">
        <f t="shared" si="0"/>
        <v>-170841519.69096637</v>
      </c>
      <c r="N33" s="677">
        <f t="shared" si="4"/>
        <v>-10.753237284206488</v>
      </c>
      <c r="O33" s="678">
        <f t="shared" si="1"/>
        <v>36.783237284206493</v>
      </c>
      <c r="P33" s="680">
        <f t="shared" si="5"/>
        <v>-2.4803747636671702</v>
      </c>
      <c r="Q33" s="678">
        <f t="shared" si="2"/>
        <v>28.510374763667173</v>
      </c>
    </row>
    <row r="34" spans="1:17" ht="15.5">
      <c r="A34" s="1054"/>
      <c r="B34" s="660" t="s">
        <v>750</v>
      </c>
      <c r="C34" s="668" t="s">
        <v>453</v>
      </c>
      <c r="D34" s="668"/>
      <c r="E34" s="669" t="s">
        <v>736</v>
      </c>
      <c r="F34" s="669" t="s">
        <v>736</v>
      </c>
      <c r="G34" s="670" t="s">
        <v>736</v>
      </c>
      <c r="H34" s="670" t="s">
        <v>453</v>
      </c>
      <c r="I34" s="671" t="s">
        <v>736</v>
      </c>
      <c r="J34" s="671" t="s">
        <v>736</v>
      </c>
      <c r="K34" s="676">
        <f>'Scénarios '!C491*1000000</f>
        <v>-253909558.85674265</v>
      </c>
      <c r="L34" s="677">
        <f t="shared" si="3"/>
        <v>26.03</v>
      </c>
      <c r="M34" s="676">
        <f t="shared" si="0"/>
        <v>-2934558.8567426503</v>
      </c>
      <c r="N34" s="677">
        <f t="shared" si="4"/>
        <v>-0.18470924262500593</v>
      </c>
      <c r="O34" s="678">
        <f t="shared" si="1"/>
        <v>26.214709242625005</v>
      </c>
      <c r="P34" s="680">
        <f t="shared" si="5"/>
        <v>5.7112015469689599</v>
      </c>
      <c r="Q34" s="678">
        <f t="shared" si="2"/>
        <v>20.318798453031043</v>
      </c>
    </row>
    <row r="35" spans="1:17" ht="15.5">
      <c r="A35" s="1054"/>
      <c r="B35" s="660" t="s">
        <v>751</v>
      </c>
      <c r="C35" s="668" t="s">
        <v>736</v>
      </c>
      <c r="D35" s="668" t="s">
        <v>736</v>
      </c>
      <c r="E35" s="669" t="s">
        <v>736</v>
      </c>
      <c r="F35" s="669" t="s">
        <v>453</v>
      </c>
      <c r="G35" s="670" t="s">
        <v>736</v>
      </c>
      <c r="H35" s="670" t="s">
        <v>453</v>
      </c>
      <c r="I35" s="671" t="s">
        <v>736</v>
      </c>
      <c r="J35" s="671" t="s">
        <v>736</v>
      </c>
      <c r="K35" s="676">
        <f>'Scénarios '!C524*1000000</f>
        <v>-279938063.46782339</v>
      </c>
      <c r="L35" s="677">
        <f t="shared" si="3"/>
        <v>26.03</v>
      </c>
      <c r="M35" s="676">
        <f t="shared" si="0"/>
        <v>-28963063.467823386</v>
      </c>
      <c r="N35" s="677">
        <f t="shared" si="4"/>
        <v>-1.8230152395647752</v>
      </c>
      <c r="O35" s="678">
        <f t="shared" si="1"/>
        <v>27.853015239564776</v>
      </c>
      <c r="P35" s="680">
        <f t="shared" si="5"/>
        <v>4.4413644853362317</v>
      </c>
      <c r="Q35" s="678">
        <f t="shared" si="2"/>
        <v>21.588635514663771</v>
      </c>
    </row>
    <row r="36" spans="1:17" ht="15.5">
      <c r="A36" s="1054"/>
      <c r="B36" s="660" t="s">
        <v>752</v>
      </c>
      <c r="C36" s="668" t="s">
        <v>736</v>
      </c>
      <c r="D36" s="668" t="s">
        <v>736</v>
      </c>
      <c r="E36" s="669" t="s">
        <v>453</v>
      </c>
      <c r="F36" s="669"/>
      <c r="G36" s="670" t="s">
        <v>736</v>
      </c>
      <c r="H36" s="670" t="s">
        <v>453</v>
      </c>
      <c r="I36" s="671" t="s">
        <v>736</v>
      </c>
      <c r="J36" s="671" t="s">
        <v>736</v>
      </c>
      <c r="K36" s="676">
        <f>'Scénarios '!C557*1000000</f>
        <v>-224144786.02083948</v>
      </c>
      <c r="L36" s="677">
        <f t="shared" si="3"/>
        <v>26.03</v>
      </c>
      <c r="M36" s="676">
        <f t="shared" si="0"/>
        <v>26830213.979160517</v>
      </c>
      <c r="N36" s="677">
        <f t="shared" si="4"/>
        <v>1.6887677996884658</v>
      </c>
      <c r="O36" s="678">
        <f t="shared" si="1"/>
        <v>24.341232200311534</v>
      </c>
      <c r="P36" s="680">
        <f t="shared" si="5"/>
        <v>7.1633176882096832</v>
      </c>
      <c r="Q36" s="678">
        <f t="shared" si="2"/>
        <v>18.866682311790317</v>
      </c>
    </row>
    <row r="37" spans="1:17" ht="15.5">
      <c r="A37" s="1054"/>
      <c r="B37" s="660" t="s">
        <v>753</v>
      </c>
      <c r="C37" s="668" t="s">
        <v>736</v>
      </c>
      <c r="D37" s="668" t="s">
        <v>453</v>
      </c>
      <c r="E37" s="669" t="s">
        <v>736</v>
      </c>
      <c r="F37" s="669" t="s">
        <v>736</v>
      </c>
      <c r="G37" s="670" t="s">
        <v>453</v>
      </c>
      <c r="H37" s="670"/>
      <c r="I37" s="671" t="s">
        <v>736</v>
      </c>
      <c r="J37" s="671" t="s">
        <v>736</v>
      </c>
      <c r="K37" s="676">
        <f>'Scénarios '!C590*1000000</f>
        <v>-306736973.36280298</v>
      </c>
      <c r="L37" s="677">
        <f t="shared" si="3"/>
        <v>26.03</v>
      </c>
      <c r="M37" s="676">
        <f t="shared" si="0"/>
        <v>-55761973.362802982</v>
      </c>
      <c r="N37" s="677">
        <f t="shared" si="4"/>
        <v>-3.5098126737017572</v>
      </c>
      <c r="O37" s="678">
        <f t="shared" si="1"/>
        <v>29.539812673701757</v>
      </c>
      <c r="P37" s="680">
        <f t="shared" si="5"/>
        <v>3.1339421226426047</v>
      </c>
      <c r="Q37" s="678">
        <f t="shared" si="2"/>
        <v>22.896057877357396</v>
      </c>
    </row>
    <row r="38" spans="1:17" ht="15.5">
      <c r="A38" s="1054"/>
      <c r="B38" s="660" t="s">
        <v>754</v>
      </c>
      <c r="C38" s="668" t="s">
        <v>453</v>
      </c>
      <c r="D38" s="668"/>
      <c r="E38" s="669" t="s">
        <v>736</v>
      </c>
      <c r="F38" s="669" t="s">
        <v>736</v>
      </c>
      <c r="G38" s="670" t="s">
        <v>453</v>
      </c>
      <c r="H38" s="670"/>
      <c r="I38" s="671" t="s">
        <v>736</v>
      </c>
      <c r="J38" s="671" t="s">
        <v>736</v>
      </c>
      <c r="K38" s="676">
        <f>'Scénarios '!C623*1000000</f>
        <v>-138830012.52857935</v>
      </c>
      <c r="L38" s="677">
        <f t="shared" si="3"/>
        <v>26.03</v>
      </c>
      <c r="M38" s="676">
        <f t="shared" si="0"/>
        <v>112144987.47142065</v>
      </c>
      <c r="N38" s="677">
        <f t="shared" si="4"/>
        <v>7.058715367879719</v>
      </c>
      <c r="O38" s="678">
        <f t="shared" si="1"/>
        <v>18.97128463212028</v>
      </c>
      <c r="P38" s="680">
        <f t="shared" si="5"/>
        <v>11.325518433278731</v>
      </c>
      <c r="Q38" s="678">
        <f t="shared" si="2"/>
        <v>14.70448156672127</v>
      </c>
    </row>
    <row r="39" spans="1:17" ht="15.5">
      <c r="A39" s="1054"/>
      <c r="B39" s="660" t="s">
        <v>755</v>
      </c>
      <c r="C39" s="668" t="s">
        <v>736</v>
      </c>
      <c r="D39" s="668" t="s">
        <v>736</v>
      </c>
      <c r="E39" s="669" t="s">
        <v>736</v>
      </c>
      <c r="F39" s="669" t="s">
        <v>453</v>
      </c>
      <c r="G39" s="670" t="s">
        <v>453</v>
      </c>
      <c r="H39" s="670"/>
      <c r="I39" s="671" t="s">
        <v>736</v>
      </c>
      <c r="J39" s="671" t="s">
        <v>736</v>
      </c>
      <c r="K39" s="676">
        <f>'Scénarios '!C656*1000000</f>
        <v>-164858517.13966003</v>
      </c>
      <c r="L39" s="677">
        <f t="shared" si="3"/>
        <v>26.03</v>
      </c>
      <c r="M39" s="676">
        <f t="shared" si="0"/>
        <v>86116482.860339969</v>
      </c>
      <c r="N39" s="677">
        <f t="shared" si="4"/>
        <v>5.4204093709399537</v>
      </c>
      <c r="O39" s="678">
        <f t="shared" si="1"/>
        <v>20.609590629060047</v>
      </c>
      <c r="P39" s="680">
        <f t="shared" si="5"/>
        <v>10.055681371646005</v>
      </c>
      <c r="Q39" s="678">
        <f t="shared" si="2"/>
        <v>15.974318628353997</v>
      </c>
    </row>
    <row r="40" spans="1:17" ht="15.5">
      <c r="A40" s="1054"/>
      <c r="B40" s="660" t="s">
        <v>756</v>
      </c>
      <c r="C40" s="668" t="s">
        <v>736</v>
      </c>
      <c r="D40" s="668" t="s">
        <v>736</v>
      </c>
      <c r="E40" s="669" t="s">
        <v>453</v>
      </c>
      <c r="F40" s="669"/>
      <c r="G40" s="670" t="s">
        <v>453</v>
      </c>
      <c r="H40" s="670"/>
      <c r="I40" s="671" t="s">
        <v>736</v>
      </c>
      <c r="J40" s="671" t="s">
        <v>736</v>
      </c>
      <c r="K40" s="676">
        <f>'Scénarios '!C689*1000000</f>
        <v>-109065239.69267626</v>
      </c>
      <c r="L40" s="677">
        <f t="shared" si="3"/>
        <v>26.03</v>
      </c>
      <c r="M40" s="676">
        <f t="shared" si="0"/>
        <v>141909760.30732375</v>
      </c>
      <c r="N40" s="677">
        <f t="shared" si="4"/>
        <v>8.9321924101931867</v>
      </c>
      <c r="O40" s="678">
        <f t="shared" si="1"/>
        <v>17.097807589806813</v>
      </c>
      <c r="P40" s="680">
        <f t="shared" si="5"/>
        <v>12.77763457451945</v>
      </c>
      <c r="Q40" s="678">
        <f t="shared" si="2"/>
        <v>13.252365425480551</v>
      </c>
    </row>
    <row r="41" spans="1:17" ht="15.5">
      <c r="A41" s="1054"/>
      <c r="B41" s="660" t="s">
        <v>757</v>
      </c>
      <c r="C41" s="668" t="s">
        <v>736</v>
      </c>
      <c r="D41" s="668" t="s">
        <v>453</v>
      </c>
      <c r="E41" s="669" t="s">
        <v>736</v>
      </c>
      <c r="F41" s="669" t="s">
        <v>736</v>
      </c>
      <c r="G41" s="670" t="s">
        <v>736</v>
      </c>
      <c r="H41" s="670" t="s">
        <v>736</v>
      </c>
      <c r="I41" s="671" t="s">
        <v>736</v>
      </c>
      <c r="J41" s="671" t="s">
        <v>453</v>
      </c>
      <c r="K41" s="676">
        <f>'Scénarios '!C722*1000000</f>
        <v>-107937021.88358754</v>
      </c>
      <c r="L41" s="677">
        <f t="shared" si="3"/>
        <v>26.03</v>
      </c>
      <c r="M41" s="676">
        <f t="shared" si="0"/>
        <v>143037978.11641246</v>
      </c>
      <c r="N41" s="677">
        <f t="shared" si="4"/>
        <v>9.0032055563613085</v>
      </c>
      <c r="O41" s="678">
        <f t="shared" si="1"/>
        <v>17.026794443638693</v>
      </c>
      <c r="P41" s="680">
        <f t="shared" si="5"/>
        <v>12.832676260892974</v>
      </c>
      <c r="Q41" s="678">
        <f t="shared" si="2"/>
        <v>13.197323739107027</v>
      </c>
    </row>
    <row r="42" spans="1:17" ht="15.5">
      <c r="A42" s="1054"/>
      <c r="B42" s="660" t="s">
        <v>758</v>
      </c>
      <c r="C42" s="668" t="s">
        <v>453</v>
      </c>
      <c r="D42" s="668"/>
      <c r="E42" s="669" t="s">
        <v>736</v>
      </c>
      <c r="F42" s="669" t="s">
        <v>736</v>
      </c>
      <c r="G42" s="670" t="s">
        <v>736</v>
      </c>
      <c r="H42" s="670" t="s">
        <v>736</v>
      </c>
      <c r="I42" s="671" t="s">
        <v>736</v>
      </c>
      <c r="J42" s="671" t="s">
        <v>453</v>
      </c>
      <c r="K42" s="676">
        <f>'Scénarios '!C755*1000000</f>
        <v>59969938.950636245</v>
      </c>
      <c r="L42" s="677">
        <f t="shared" si="3"/>
        <v>26.03</v>
      </c>
      <c r="M42" s="676">
        <f t="shared" si="0"/>
        <v>310944938.95063627</v>
      </c>
      <c r="N42" s="677">
        <f t="shared" si="4"/>
        <v>19.571733597942796</v>
      </c>
      <c r="O42" s="678">
        <f t="shared" si="1"/>
        <v>6.4582664020572054</v>
      </c>
      <c r="P42" s="680">
        <f t="shared" si="5"/>
        <v>21.024252571529107</v>
      </c>
      <c r="Q42" s="678">
        <f t="shared" si="2"/>
        <v>5.0057474284708938</v>
      </c>
    </row>
    <row r="43" spans="1:17" ht="15.5">
      <c r="A43" s="1054"/>
      <c r="B43" s="660" t="s">
        <v>759</v>
      </c>
      <c r="C43" s="668" t="s">
        <v>736</v>
      </c>
      <c r="D43" s="668" t="s">
        <v>736</v>
      </c>
      <c r="E43" s="669" t="s">
        <v>736</v>
      </c>
      <c r="F43" s="669" t="s">
        <v>453</v>
      </c>
      <c r="G43" s="670" t="s">
        <v>736</v>
      </c>
      <c r="H43" s="670" t="s">
        <v>736</v>
      </c>
      <c r="I43" s="671" t="s">
        <v>736</v>
      </c>
      <c r="J43" s="671" t="s">
        <v>453</v>
      </c>
      <c r="K43" s="676">
        <f>'Scénarios '!C788*1000000</f>
        <v>33941434.339555524</v>
      </c>
      <c r="L43" s="677">
        <f t="shared" si="3"/>
        <v>26.03</v>
      </c>
      <c r="M43" s="676">
        <f t="shared" si="0"/>
        <v>284916434.3395555</v>
      </c>
      <c r="N43" s="677">
        <f t="shared" si="4"/>
        <v>17.933427601003025</v>
      </c>
      <c r="O43" s="678">
        <f t="shared" si="1"/>
        <v>8.096572398996976</v>
      </c>
      <c r="P43" s="680">
        <f t="shared" si="5"/>
        <v>19.754415509896379</v>
      </c>
      <c r="Q43" s="678">
        <f t="shared" si="2"/>
        <v>6.275584490103622</v>
      </c>
    </row>
    <row r="44" spans="1:17" ht="15.5">
      <c r="A44" s="1054"/>
      <c r="B44" s="660" t="s">
        <v>760</v>
      </c>
      <c r="C44" s="668" t="s">
        <v>736</v>
      </c>
      <c r="D44" s="668" t="s">
        <v>736</v>
      </c>
      <c r="E44" s="669" t="s">
        <v>453</v>
      </c>
      <c r="F44" s="669"/>
      <c r="G44" s="670" t="s">
        <v>736</v>
      </c>
      <c r="H44" s="670" t="s">
        <v>736</v>
      </c>
      <c r="I44" s="671" t="s">
        <v>736</v>
      </c>
      <c r="J44" s="671" t="s">
        <v>453</v>
      </c>
      <c r="K44" s="676">
        <f>'Scénarios '!C821*1000000</f>
        <v>89734711.786539435</v>
      </c>
      <c r="L44" s="677">
        <f t="shared" si="3"/>
        <v>26.03</v>
      </c>
      <c r="M44" s="676">
        <f t="shared" si="0"/>
        <v>340709711.78653944</v>
      </c>
      <c r="N44" s="677">
        <f t="shared" si="4"/>
        <v>21.445210640256267</v>
      </c>
      <c r="O44" s="678">
        <f t="shared" si="1"/>
        <v>4.5847893597437341</v>
      </c>
      <c r="P44" s="680">
        <f t="shared" si="5"/>
        <v>22.47636871276983</v>
      </c>
      <c r="Q44" s="678">
        <f t="shared" si="2"/>
        <v>3.5536312872301714</v>
      </c>
    </row>
    <row r="45" spans="1:17" ht="15.5">
      <c r="A45" s="1054"/>
      <c r="B45" s="660" t="s">
        <v>761</v>
      </c>
      <c r="C45" s="668" t="s">
        <v>736</v>
      </c>
      <c r="D45" s="668" t="s">
        <v>736</v>
      </c>
      <c r="E45" s="669" t="s">
        <v>736</v>
      </c>
      <c r="F45" s="669" t="s">
        <v>736</v>
      </c>
      <c r="G45" s="670" t="s">
        <v>736</v>
      </c>
      <c r="H45" s="670" t="s">
        <v>453</v>
      </c>
      <c r="I45" s="671" t="s">
        <v>736</v>
      </c>
      <c r="J45" s="671" t="s">
        <v>453</v>
      </c>
      <c r="K45" s="676">
        <f>'Scénarios '!C854*1000000</f>
        <v>-131946553.60876083</v>
      </c>
      <c r="L45" s="677">
        <f t="shared" si="3"/>
        <v>26.03</v>
      </c>
      <c r="M45" s="676">
        <f t="shared" si="0"/>
        <v>119028446.39123917</v>
      </c>
      <c r="N45" s="677">
        <f t="shared" si="4"/>
        <v>7.4919792912795424</v>
      </c>
      <c r="O45" s="678">
        <f t="shared" si="1"/>
        <v>18.53802070872046</v>
      </c>
      <c r="P45" s="680">
        <f t="shared" si="5"/>
        <v>11.661337619944215</v>
      </c>
      <c r="Q45" s="678">
        <f t="shared" si="2"/>
        <v>14.368662380055786</v>
      </c>
    </row>
    <row r="46" spans="1:17" ht="15.5">
      <c r="A46" s="1054"/>
      <c r="B46" s="660" t="s">
        <v>762</v>
      </c>
      <c r="C46" s="668" t="s">
        <v>736</v>
      </c>
      <c r="D46" s="668" t="s">
        <v>736</v>
      </c>
      <c r="E46" s="669" t="s">
        <v>736</v>
      </c>
      <c r="F46" s="669" t="s">
        <v>736</v>
      </c>
      <c r="G46" s="670" t="s">
        <v>453</v>
      </c>
      <c r="H46" s="670"/>
      <c r="I46" s="671" t="s">
        <v>736</v>
      </c>
      <c r="J46" s="671" t="s">
        <v>453</v>
      </c>
      <c r="K46" s="676">
        <f>'Scénarios '!C887*1000000</f>
        <v>-16867007.280597419</v>
      </c>
      <c r="L46" s="677">
        <f t="shared" si="3"/>
        <v>26.03</v>
      </c>
      <c r="M46" s="676">
        <f t="shared" si="0"/>
        <v>234107992.71940258</v>
      </c>
      <c r="N46" s="677">
        <f t="shared" si="4"/>
        <v>14.735403901784276</v>
      </c>
      <c r="O46" s="678">
        <f t="shared" si="1"/>
        <v>11.294596098215726</v>
      </c>
      <c r="P46" s="680">
        <f t="shared" si="5"/>
        <v>17.275654506253989</v>
      </c>
      <c r="Q46" s="678">
        <f t="shared" si="2"/>
        <v>8.7543454937460119</v>
      </c>
    </row>
    <row r="47" spans="1:17" ht="15.5">
      <c r="A47" s="1054"/>
      <c r="B47" s="660" t="s">
        <v>763</v>
      </c>
      <c r="C47" s="668" t="s">
        <v>736</v>
      </c>
      <c r="D47" s="668" t="s">
        <v>453</v>
      </c>
      <c r="E47" s="669" t="s">
        <v>736</v>
      </c>
      <c r="F47" s="669" t="s">
        <v>736</v>
      </c>
      <c r="G47" s="670" t="s">
        <v>736</v>
      </c>
      <c r="H47" s="670" t="s">
        <v>736</v>
      </c>
      <c r="I47" s="671" t="s">
        <v>453</v>
      </c>
      <c r="J47" s="671"/>
      <c r="K47" s="676">
        <f>'Scénarios '!C920*1000000</f>
        <v>-43951686.268909335</v>
      </c>
      <c r="L47" s="677">
        <f t="shared" si="3"/>
        <v>26.03</v>
      </c>
      <c r="M47" s="676">
        <f t="shared" si="0"/>
        <v>207023313.73109066</v>
      </c>
      <c r="N47" s="677">
        <f t="shared" si="4"/>
        <v>13.03061937133339</v>
      </c>
      <c r="O47" s="678">
        <f t="shared" si="1"/>
        <v>12.999380628666611</v>
      </c>
      <c r="P47" s="680">
        <f t="shared" si="5"/>
        <v>15.954290497998903</v>
      </c>
      <c r="Q47" s="678">
        <f t="shared" si="2"/>
        <v>10.075709502001098</v>
      </c>
    </row>
    <row r="48" spans="1:17" ht="15.5">
      <c r="A48" s="1054"/>
      <c r="B48" s="660" t="s">
        <v>764</v>
      </c>
      <c r="C48" s="668" t="s">
        <v>453</v>
      </c>
      <c r="D48" s="668"/>
      <c r="E48" s="669" t="s">
        <v>736</v>
      </c>
      <c r="F48" s="669" t="s">
        <v>736</v>
      </c>
      <c r="G48" s="670" t="s">
        <v>736</v>
      </c>
      <c r="H48" s="670" t="s">
        <v>736</v>
      </c>
      <c r="I48" s="671" t="s">
        <v>453</v>
      </c>
      <c r="J48" s="671"/>
      <c r="K48" s="676">
        <f>'Scénarios '!C953*1000000</f>
        <v>123955274.56531446</v>
      </c>
      <c r="L48" s="677">
        <f t="shared" si="3"/>
        <v>26.03</v>
      </c>
      <c r="M48" s="676">
        <f t="shared" si="0"/>
        <v>374930274.56531447</v>
      </c>
      <c r="N48" s="677">
        <f t="shared" si="4"/>
        <v>23.599147412914878</v>
      </c>
      <c r="O48" s="678">
        <f t="shared" si="1"/>
        <v>2.4308525870851234</v>
      </c>
      <c r="P48" s="680">
        <f t="shared" si="5"/>
        <v>24.145866808635038</v>
      </c>
      <c r="Q48" s="678">
        <f t="shared" si="2"/>
        <v>1.8841331913649633</v>
      </c>
    </row>
    <row r="49" spans="1:17" ht="15.5">
      <c r="A49" s="1054"/>
      <c r="B49" s="660" t="s">
        <v>765</v>
      </c>
      <c r="C49" s="668" t="s">
        <v>736</v>
      </c>
      <c r="D49" s="668" t="s">
        <v>736</v>
      </c>
      <c r="E49" s="669" t="s">
        <v>736</v>
      </c>
      <c r="F49" s="669" t="s">
        <v>453</v>
      </c>
      <c r="G49" s="670" t="s">
        <v>736</v>
      </c>
      <c r="H49" s="670" t="s">
        <v>736</v>
      </c>
      <c r="I49" s="671" t="s">
        <v>453</v>
      </c>
      <c r="J49" s="671"/>
      <c r="K49" s="676">
        <f>'Scénarios '!C986*1000000</f>
        <v>97926769.954233751</v>
      </c>
      <c r="L49" s="677">
        <f t="shared" si="3"/>
        <v>26.03</v>
      </c>
      <c r="M49" s="676">
        <f t="shared" si="0"/>
        <v>348901769.95423377</v>
      </c>
      <c r="N49" s="677">
        <f t="shared" si="4"/>
        <v>21.960841415975111</v>
      </c>
      <c r="O49" s="678">
        <f t="shared" si="1"/>
        <v>4.0691585840248905</v>
      </c>
      <c r="P49" s="680">
        <f t="shared" si="5"/>
        <v>22.87602974700231</v>
      </c>
      <c r="Q49" s="678">
        <f t="shared" si="2"/>
        <v>3.1539702529976914</v>
      </c>
    </row>
    <row r="50" spans="1:17" ht="15.5">
      <c r="A50" s="1054"/>
      <c r="B50" s="660" t="s">
        <v>766</v>
      </c>
      <c r="C50" s="668" t="s">
        <v>736</v>
      </c>
      <c r="D50" s="668" t="s">
        <v>736</v>
      </c>
      <c r="E50" s="669" t="s">
        <v>453</v>
      </c>
      <c r="F50" s="669"/>
      <c r="G50" s="670" t="s">
        <v>736</v>
      </c>
      <c r="H50" s="670" t="s">
        <v>736</v>
      </c>
      <c r="I50" s="671" t="s">
        <v>453</v>
      </c>
      <c r="J50" s="671"/>
      <c r="K50" s="676">
        <f>'Scénarios '!C1019*1000000</f>
        <v>153720047.40121764</v>
      </c>
      <c r="L50" s="677">
        <f t="shared" si="3"/>
        <v>26.03</v>
      </c>
      <c r="M50" s="676">
        <f t="shared" si="0"/>
        <v>404695047.40121764</v>
      </c>
      <c r="N50" s="677">
        <f t="shared" si="4"/>
        <v>25.472624455228349</v>
      </c>
      <c r="O50" s="678">
        <f t="shared" si="1"/>
        <v>0.55737554477165219</v>
      </c>
      <c r="P50" s="680">
        <f t="shared" si="5"/>
        <v>25.59798294987576</v>
      </c>
      <c r="Q50" s="678">
        <f t="shared" si="2"/>
        <v>0.43201705012424085</v>
      </c>
    </row>
    <row r="51" spans="1:17" ht="15.5">
      <c r="A51" s="1054"/>
      <c r="B51" s="660" t="s">
        <v>767</v>
      </c>
      <c r="C51" s="668" t="s">
        <v>736</v>
      </c>
      <c r="D51" s="668" t="s">
        <v>736</v>
      </c>
      <c r="E51" s="669" t="s">
        <v>736</v>
      </c>
      <c r="F51" s="669" t="s">
        <v>736</v>
      </c>
      <c r="G51" s="670" t="s">
        <v>736</v>
      </c>
      <c r="H51" s="670" t="s">
        <v>453</v>
      </c>
      <c r="I51" s="671" t="s">
        <v>453</v>
      </c>
      <c r="J51" s="671"/>
      <c r="K51" s="676">
        <f>'Scénarios '!C1052*1000000</f>
        <v>-67961217.994082615</v>
      </c>
      <c r="L51" s="677">
        <f t="shared" si="3"/>
        <v>26.03</v>
      </c>
      <c r="M51" s="676">
        <f t="shared" si="0"/>
        <v>183013782.00591737</v>
      </c>
      <c r="N51" s="677">
        <f t="shared" si="4"/>
        <v>11.519393106251625</v>
      </c>
      <c r="O51" s="678">
        <f t="shared" si="1"/>
        <v>14.510606893748376</v>
      </c>
      <c r="P51" s="680">
        <f t="shared" si="5"/>
        <v>14.782951857050143</v>
      </c>
      <c r="Q51" s="678">
        <f t="shared" si="2"/>
        <v>11.247048142949858</v>
      </c>
    </row>
    <row r="52" spans="1:17" ht="15.5">
      <c r="A52" s="1054"/>
      <c r="B52" s="660" t="s">
        <v>768</v>
      </c>
      <c r="C52" s="668" t="s">
        <v>736</v>
      </c>
      <c r="D52" s="668" t="s">
        <v>736</v>
      </c>
      <c r="E52" s="669" t="s">
        <v>736</v>
      </c>
      <c r="F52" s="669" t="s">
        <v>736</v>
      </c>
      <c r="G52" s="670" t="s">
        <v>453</v>
      </c>
      <c r="H52" s="670"/>
      <c r="I52" s="671" t="s">
        <v>453</v>
      </c>
      <c r="J52" s="671"/>
      <c r="K52" s="676">
        <f>'Scénarios '!C1085*1000000</f>
        <v>47118328.334081016</v>
      </c>
      <c r="L52" s="677">
        <f t="shared" si="3"/>
        <v>26.03</v>
      </c>
      <c r="M52" s="676">
        <f t="shared" si="0"/>
        <v>298093328.33408099</v>
      </c>
      <c r="N52" s="677">
        <f t="shared" si="4"/>
        <v>18.76281771675637</v>
      </c>
      <c r="O52" s="678">
        <f t="shared" si="1"/>
        <v>7.2671822832436312</v>
      </c>
      <c r="P52" s="680">
        <f t="shared" si="5"/>
        <v>20.39726874335993</v>
      </c>
      <c r="Q52" s="678">
        <f t="shared" si="2"/>
        <v>5.6327312566400707</v>
      </c>
    </row>
  </sheetData>
  <mergeCells count="26">
    <mergeCell ref="P16:P17"/>
    <mergeCell ref="Q16:Q17"/>
    <mergeCell ref="A20:A27"/>
    <mergeCell ref="A29:A52"/>
    <mergeCell ref="P15:Q15"/>
    <mergeCell ref="C16:D16"/>
    <mergeCell ref="E16:F16"/>
    <mergeCell ref="G16:H16"/>
    <mergeCell ref="I16:J16"/>
    <mergeCell ref="K16:K17"/>
    <mergeCell ref="L16:L17"/>
    <mergeCell ref="M16:M17"/>
    <mergeCell ref="N16:N17"/>
    <mergeCell ref="O16:O17"/>
    <mergeCell ref="N15:O15"/>
    <mergeCell ref="C8:D8"/>
    <mergeCell ref="E8:F8"/>
    <mergeCell ref="G8:H8"/>
    <mergeCell ref="I8:J8"/>
    <mergeCell ref="C15:M15"/>
    <mergeCell ref="C7:P7"/>
    <mergeCell ref="K5:M5"/>
    <mergeCell ref="C6:D6"/>
    <mergeCell ref="E6:F6"/>
    <mergeCell ref="G6:H6"/>
    <mergeCell ref="I6:J6"/>
  </mergeCells>
  <conditionalFormatting sqref="O18 O20:O27 O29:O52">
    <cfRule type="cellIs" dxfId="11" priority="4" operator="lessThan">
      <formula>0</formula>
    </cfRule>
  </conditionalFormatting>
  <conditionalFormatting sqref="O18:O52">
    <cfRule type="cellIs" dxfId="10" priority="3" operator="greaterThan">
      <formula>0</formula>
    </cfRule>
  </conditionalFormatting>
  <conditionalFormatting sqref="Q18 Q20:Q27 Q29:Q52">
    <cfRule type="cellIs" dxfId="9" priority="2" operator="lessThan">
      <formula>0</formula>
    </cfRule>
  </conditionalFormatting>
  <conditionalFormatting sqref="Q18:Q52">
    <cfRule type="cellIs" dxfId="8" priority="1" operator="greater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5"/>
  <sheetViews>
    <sheetView showGridLines="0" topLeftCell="A197" workbookViewId="0">
      <selection activeCell="A214" sqref="A214"/>
    </sheetView>
  </sheetViews>
  <sheetFormatPr baseColWidth="10" defaultColWidth="8.81640625" defaultRowHeight="14.5"/>
  <cols>
    <col min="1" max="1" width="35.453125" customWidth="1"/>
    <col min="2" max="2" width="19.453125" customWidth="1"/>
    <col min="3" max="3" width="18.1796875" bestFit="1" customWidth="1"/>
    <col min="4" max="4" width="15.453125" bestFit="1" customWidth="1"/>
    <col min="5" max="5" width="19" bestFit="1" customWidth="1"/>
    <col min="6" max="6" width="20.453125" bestFit="1" customWidth="1"/>
    <col min="7" max="7" width="14.26953125" bestFit="1" customWidth="1"/>
    <col min="8" max="8" width="15" bestFit="1" customWidth="1"/>
    <col min="9" max="9" width="15.453125" bestFit="1" customWidth="1"/>
    <col min="10" max="10" width="27.81640625" customWidth="1"/>
    <col min="11" max="12" width="12.453125" customWidth="1"/>
    <col min="13" max="13" width="20.7265625" bestFit="1" customWidth="1"/>
    <col min="14" max="256" width="12.453125" customWidth="1"/>
    <col min="257" max="257" width="35.453125" customWidth="1"/>
    <col min="258" max="258" width="19.453125" customWidth="1"/>
    <col min="259" max="259" width="18.1796875" bestFit="1" customWidth="1"/>
    <col min="260" max="260" width="15.453125" bestFit="1" customWidth="1"/>
    <col min="261" max="261" width="19" bestFit="1" customWidth="1"/>
    <col min="262" max="262" width="20.453125" bestFit="1" customWidth="1"/>
    <col min="263" max="263" width="14.26953125" bestFit="1" customWidth="1"/>
    <col min="264" max="264" width="15" bestFit="1" customWidth="1"/>
    <col min="265" max="265" width="15.453125" bestFit="1" customWidth="1"/>
    <col min="266" max="266" width="27.81640625" customWidth="1"/>
    <col min="267" max="512" width="12.453125" customWidth="1"/>
    <col min="513" max="513" width="35.453125" customWidth="1"/>
    <col min="514" max="514" width="19.453125" customWidth="1"/>
    <col min="515" max="515" width="18.1796875" bestFit="1" customWidth="1"/>
    <col min="516" max="516" width="15.453125" bestFit="1" customWidth="1"/>
    <col min="517" max="517" width="19" bestFit="1" customWidth="1"/>
    <col min="518" max="518" width="20.453125" bestFit="1" customWidth="1"/>
    <col min="519" max="519" width="14.26953125" bestFit="1" customWidth="1"/>
    <col min="520" max="520" width="15" bestFit="1" customWidth="1"/>
    <col min="521" max="521" width="15.453125" bestFit="1" customWidth="1"/>
    <col min="522" max="522" width="27.81640625" customWidth="1"/>
    <col min="523" max="768" width="12.453125" customWidth="1"/>
    <col min="769" max="769" width="35.453125" customWidth="1"/>
    <col min="770" max="770" width="19.453125" customWidth="1"/>
    <col min="771" max="771" width="18.1796875" bestFit="1" customWidth="1"/>
    <col min="772" max="772" width="15.453125" bestFit="1" customWidth="1"/>
    <col min="773" max="773" width="19" bestFit="1" customWidth="1"/>
    <col min="774" max="774" width="20.453125" bestFit="1" customWidth="1"/>
    <col min="775" max="775" width="14.26953125" bestFit="1" customWidth="1"/>
    <col min="776" max="776" width="15" bestFit="1" customWidth="1"/>
    <col min="777" max="777" width="15.453125" bestFit="1" customWidth="1"/>
    <col min="778" max="778" width="27.81640625" customWidth="1"/>
    <col min="779" max="1024" width="12.453125" customWidth="1"/>
    <col min="1025" max="1025" width="35.453125" customWidth="1"/>
    <col min="1026" max="1026" width="19.453125" customWidth="1"/>
    <col min="1027" max="1027" width="18.1796875" bestFit="1" customWidth="1"/>
    <col min="1028" max="1028" width="15.453125" bestFit="1" customWidth="1"/>
    <col min="1029" max="1029" width="19" bestFit="1" customWidth="1"/>
    <col min="1030" max="1030" width="20.453125" bestFit="1" customWidth="1"/>
    <col min="1031" max="1031" width="14.26953125" bestFit="1" customWidth="1"/>
    <col min="1032" max="1032" width="15" bestFit="1" customWidth="1"/>
    <col min="1033" max="1033" width="15.453125" bestFit="1" customWidth="1"/>
    <col min="1034" max="1034" width="27.81640625" customWidth="1"/>
    <col min="1035" max="1280" width="12.453125" customWidth="1"/>
    <col min="1281" max="1281" width="35.453125" customWidth="1"/>
    <col min="1282" max="1282" width="19.453125" customWidth="1"/>
    <col min="1283" max="1283" width="18.1796875" bestFit="1" customWidth="1"/>
    <col min="1284" max="1284" width="15.453125" bestFit="1" customWidth="1"/>
    <col min="1285" max="1285" width="19" bestFit="1" customWidth="1"/>
    <col min="1286" max="1286" width="20.453125" bestFit="1" customWidth="1"/>
    <col min="1287" max="1287" width="14.26953125" bestFit="1" customWidth="1"/>
    <col min="1288" max="1288" width="15" bestFit="1" customWidth="1"/>
    <col min="1289" max="1289" width="15.453125" bestFit="1" customWidth="1"/>
    <col min="1290" max="1290" width="27.81640625" customWidth="1"/>
    <col min="1291" max="1536" width="12.453125" customWidth="1"/>
    <col min="1537" max="1537" width="35.453125" customWidth="1"/>
    <col min="1538" max="1538" width="19.453125" customWidth="1"/>
    <col min="1539" max="1539" width="18.1796875" bestFit="1" customWidth="1"/>
    <col min="1540" max="1540" width="15.453125" bestFit="1" customWidth="1"/>
    <col min="1541" max="1541" width="19" bestFit="1" customWidth="1"/>
    <col min="1542" max="1542" width="20.453125" bestFit="1" customWidth="1"/>
    <col min="1543" max="1543" width="14.26953125" bestFit="1" customWidth="1"/>
    <col min="1544" max="1544" width="15" bestFit="1" customWidth="1"/>
    <col min="1545" max="1545" width="15.453125" bestFit="1" customWidth="1"/>
    <col min="1546" max="1546" width="27.81640625" customWidth="1"/>
    <col min="1547" max="1792" width="12.453125" customWidth="1"/>
    <col min="1793" max="1793" width="35.453125" customWidth="1"/>
    <col min="1794" max="1794" width="19.453125" customWidth="1"/>
    <col min="1795" max="1795" width="18.1796875" bestFit="1" customWidth="1"/>
    <col min="1796" max="1796" width="15.453125" bestFit="1" customWidth="1"/>
    <col min="1797" max="1797" width="19" bestFit="1" customWidth="1"/>
    <col min="1798" max="1798" width="20.453125" bestFit="1" customWidth="1"/>
    <col min="1799" max="1799" width="14.26953125" bestFit="1" customWidth="1"/>
    <col min="1800" max="1800" width="15" bestFit="1" customWidth="1"/>
    <col min="1801" max="1801" width="15.453125" bestFit="1" customWidth="1"/>
    <col min="1802" max="1802" width="27.81640625" customWidth="1"/>
    <col min="1803" max="2048" width="12.453125" customWidth="1"/>
    <col min="2049" max="2049" width="35.453125" customWidth="1"/>
    <col min="2050" max="2050" width="19.453125" customWidth="1"/>
    <col min="2051" max="2051" width="18.1796875" bestFit="1" customWidth="1"/>
    <col min="2052" max="2052" width="15.453125" bestFit="1" customWidth="1"/>
    <col min="2053" max="2053" width="19" bestFit="1" customWidth="1"/>
    <col min="2054" max="2054" width="20.453125" bestFit="1" customWidth="1"/>
    <col min="2055" max="2055" width="14.26953125" bestFit="1" customWidth="1"/>
    <col min="2056" max="2056" width="15" bestFit="1" customWidth="1"/>
    <col min="2057" max="2057" width="15.453125" bestFit="1" customWidth="1"/>
    <col min="2058" max="2058" width="27.81640625" customWidth="1"/>
    <col min="2059" max="2304" width="12.453125" customWidth="1"/>
    <col min="2305" max="2305" width="35.453125" customWidth="1"/>
    <col min="2306" max="2306" width="19.453125" customWidth="1"/>
    <col min="2307" max="2307" width="18.1796875" bestFit="1" customWidth="1"/>
    <col min="2308" max="2308" width="15.453125" bestFit="1" customWidth="1"/>
    <col min="2309" max="2309" width="19" bestFit="1" customWidth="1"/>
    <col min="2310" max="2310" width="20.453125" bestFit="1" customWidth="1"/>
    <col min="2311" max="2311" width="14.26953125" bestFit="1" customWidth="1"/>
    <col min="2312" max="2312" width="15" bestFit="1" customWidth="1"/>
    <col min="2313" max="2313" width="15.453125" bestFit="1" customWidth="1"/>
    <col min="2314" max="2314" width="27.81640625" customWidth="1"/>
    <col min="2315" max="2560" width="12.453125" customWidth="1"/>
    <col min="2561" max="2561" width="35.453125" customWidth="1"/>
    <col min="2562" max="2562" width="19.453125" customWidth="1"/>
    <col min="2563" max="2563" width="18.1796875" bestFit="1" customWidth="1"/>
    <col min="2564" max="2564" width="15.453125" bestFit="1" customWidth="1"/>
    <col min="2565" max="2565" width="19" bestFit="1" customWidth="1"/>
    <col min="2566" max="2566" width="20.453125" bestFit="1" customWidth="1"/>
    <col min="2567" max="2567" width="14.26953125" bestFit="1" customWidth="1"/>
    <col min="2568" max="2568" width="15" bestFit="1" customWidth="1"/>
    <col min="2569" max="2569" width="15.453125" bestFit="1" customWidth="1"/>
    <col min="2570" max="2570" width="27.81640625" customWidth="1"/>
    <col min="2571" max="2816" width="12.453125" customWidth="1"/>
    <col min="2817" max="2817" width="35.453125" customWidth="1"/>
    <col min="2818" max="2818" width="19.453125" customWidth="1"/>
    <col min="2819" max="2819" width="18.1796875" bestFit="1" customWidth="1"/>
    <col min="2820" max="2820" width="15.453125" bestFit="1" customWidth="1"/>
    <col min="2821" max="2821" width="19" bestFit="1" customWidth="1"/>
    <col min="2822" max="2822" width="20.453125" bestFit="1" customWidth="1"/>
    <col min="2823" max="2823" width="14.26953125" bestFit="1" customWidth="1"/>
    <col min="2824" max="2824" width="15" bestFit="1" customWidth="1"/>
    <col min="2825" max="2825" width="15.453125" bestFit="1" customWidth="1"/>
    <col min="2826" max="2826" width="27.81640625" customWidth="1"/>
    <col min="2827" max="3072" width="12.453125" customWidth="1"/>
    <col min="3073" max="3073" width="35.453125" customWidth="1"/>
    <col min="3074" max="3074" width="19.453125" customWidth="1"/>
    <col min="3075" max="3075" width="18.1796875" bestFit="1" customWidth="1"/>
    <col min="3076" max="3076" width="15.453125" bestFit="1" customWidth="1"/>
    <col min="3077" max="3077" width="19" bestFit="1" customWidth="1"/>
    <col min="3078" max="3078" width="20.453125" bestFit="1" customWidth="1"/>
    <col min="3079" max="3079" width="14.26953125" bestFit="1" customWidth="1"/>
    <col min="3080" max="3080" width="15" bestFit="1" customWidth="1"/>
    <col min="3081" max="3081" width="15.453125" bestFit="1" customWidth="1"/>
    <col min="3082" max="3082" width="27.81640625" customWidth="1"/>
    <col min="3083" max="3328" width="12.453125" customWidth="1"/>
    <col min="3329" max="3329" width="35.453125" customWidth="1"/>
    <col min="3330" max="3330" width="19.453125" customWidth="1"/>
    <col min="3331" max="3331" width="18.1796875" bestFit="1" customWidth="1"/>
    <col min="3332" max="3332" width="15.453125" bestFit="1" customWidth="1"/>
    <col min="3333" max="3333" width="19" bestFit="1" customWidth="1"/>
    <col min="3334" max="3334" width="20.453125" bestFit="1" customWidth="1"/>
    <col min="3335" max="3335" width="14.26953125" bestFit="1" customWidth="1"/>
    <col min="3336" max="3336" width="15" bestFit="1" customWidth="1"/>
    <col min="3337" max="3337" width="15.453125" bestFit="1" customWidth="1"/>
    <col min="3338" max="3338" width="27.81640625" customWidth="1"/>
    <col min="3339" max="3584" width="12.453125" customWidth="1"/>
    <col min="3585" max="3585" width="35.453125" customWidth="1"/>
    <col min="3586" max="3586" width="19.453125" customWidth="1"/>
    <col min="3587" max="3587" width="18.1796875" bestFit="1" customWidth="1"/>
    <col min="3588" max="3588" width="15.453125" bestFit="1" customWidth="1"/>
    <col min="3589" max="3589" width="19" bestFit="1" customWidth="1"/>
    <col min="3590" max="3590" width="20.453125" bestFit="1" customWidth="1"/>
    <col min="3591" max="3591" width="14.26953125" bestFit="1" customWidth="1"/>
    <col min="3592" max="3592" width="15" bestFit="1" customWidth="1"/>
    <col min="3593" max="3593" width="15.453125" bestFit="1" customWidth="1"/>
    <col min="3594" max="3594" width="27.81640625" customWidth="1"/>
    <col min="3595" max="3840" width="12.453125" customWidth="1"/>
    <col min="3841" max="3841" width="35.453125" customWidth="1"/>
    <col min="3842" max="3842" width="19.453125" customWidth="1"/>
    <col min="3843" max="3843" width="18.1796875" bestFit="1" customWidth="1"/>
    <col min="3844" max="3844" width="15.453125" bestFit="1" customWidth="1"/>
    <col min="3845" max="3845" width="19" bestFit="1" customWidth="1"/>
    <col min="3846" max="3846" width="20.453125" bestFit="1" customWidth="1"/>
    <col min="3847" max="3847" width="14.26953125" bestFit="1" customWidth="1"/>
    <col min="3848" max="3848" width="15" bestFit="1" customWidth="1"/>
    <col min="3849" max="3849" width="15.453125" bestFit="1" customWidth="1"/>
    <col min="3850" max="3850" width="27.81640625" customWidth="1"/>
    <col min="3851" max="4096" width="12.453125" customWidth="1"/>
    <col min="4097" max="4097" width="35.453125" customWidth="1"/>
    <col min="4098" max="4098" width="19.453125" customWidth="1"/>
    <col min="4099" max="4099" width="18.1796875" bestFit="1" customWidth="1"/>
    <col min="4100" max="4100" width="15.453125" bestFit="1" customWidth="1"/>
    <col min="4101" max="4101" width="19" bestFit="1" customWidth="1"/>
    <col min="4102" max="4102" width="20.453125" bestFit="1" customWidth="1"/>
    <col min="4103" max="4103" width="14.26953125" bestFit="1" customWidth="1"/>
    <col min="4104" max="4104" width="15" bestFit="1" customWidth="1"/>
    <col min="4105" max="4105" width="15.453125" bestFit="1" customWidth="1"/>
    <col min="4106" max="4106" width="27.81640625" customWidth="1"/>
    <col min="4107" max="4352" width="12.453125" customWidth="1"/>
    <col min="4353" max="4353" width="35.453125" customWidth="1"/>
    <col min="4354" max="4354" width="19.453125" customWidth="1"/>
    <col min="4355" max="4355" width="18.1796875" bestFit="1" customWidth="1"/>
    <col min="4356" max="4356" width="15.453125" bestFit="1" customWidth="1"/>
    <col min="4357" max="4357" width="19" bestFit="1" customWidth="1"/>
    <col min="4358" max="4358" width="20.453125" bestFit="1" customWidth="1"/>
    <col min="4359" max="4359" width="14.26953125" bestFit="1" customWidth="1"/>
    <col min="4360" max="4360" width="15" bestFit="1" customWidth="1"/>
    <col min="4361" max="4361" width="15.453125" bestFit="1" customWidth="1"/>
    <col min="4362" max="4362" width="27.81640625" customWidth="1"/>
    <col min="4363" max="4608" width="12.453125" customWidth="1"/>
    <col min="4609" max="4609" width="35.453125" customWidth="1"/>
    <col min="4610" max="4610" width="19.453125" customWidth="1"/>
    <col min="4611" max="4611" width="18.1796875" bestFit="1" customWidth="1"/>
    <col min="4612" max="4612" width="15.453125" bestFit="1" customWidth="1"/>
    <col min="4613" max="4613" width="19" bestFit="1" customWidth="1"/>
    <col min="4614" max="4614" width="20.453125" bestFit="1" customWidth="1"/>
    <col min="4615" max="4615" width="14.26953125" bestFit="1" customWidth="1"/>
    <col min="4616" max="4616" width="15" bestFit="1" customWidth="1"/>
    <col min="4617" max="4617" width="15.453125" bestFit="1" customWidth="1"/>
    <col min="4618" max="4618" width="27.81640625" customWidth="1"/>
    <col min="4619" max="4864" width="12.453125" customWidth="1"/>
    <col min="4865" max="4865" width="35.453125" customWidth="1"/>
    <col min="4866" max="4866" width="19.453125" customWidth="1"/>
    <col min="4867" max="4867" width="18.1796875" bestFit="1" customWidth="1"/>
    <col min="4868" max="4868" width="15.453125" bestFit="1" customWidth="1"/>
    <col min="4869" max="4869" width="19" bestFit="1" customWidth="1"/>
    <col min="4870" max="4870" width="20.453125" bestFit="1" customWidth="1"/>
    <col min="4871" max="4871" width="14.26953125" bestFit="1" customWidth="1"/>
    <col min="4872" max="4872" width="15" bestFit="1" customWidth="1"/>
    <col min="4873" max="4873" width="15.453125" bestFit="1" customWidth="1"/>
    <col min="4874" max="4874" width="27.81640625" customWidth="1"/>
    <col min="4875" max="5120" width="12.453125" customWidth="1"/>
    <col min="5121" max="5121" width="35.453125" customWidth="1"/>
    <col min="5122" max="5122" width="19.453125" customWidth="1"/>
    <col min="5123" max="5123" width="18.1796875" bestFit="1" customWidth="1"/>
    <col min="5124" max="5124" width="15.453125" bestFit="1" customWidth="1"/>
    <col min="5125" max="5125" width="19" bestFit="1" customWidth="1"/>
    <col min="5126" max="5126" width="20.453125" bestFit="1" customWidth="1"/>
    <col min="5127" max="5127" width="14.26953125" bestFit="1" customWidth="1"/>
    <col min="5128" max="5128" width="15" bestFit="1" customWidth="1"/>
    <col min="5129" max="5129" width="15.453125" bestFit="1" customWidth="1"/>
    <col min="5130" max="5130" width="27.81640625" customWidth="1"/>
    <col min="5131" max="5376" width="12.453125" customWidth="1"/>
    <col min="5377" max="5377" width="35.453125" customWidth="1"/>
    <col min="5378" max="5378" width="19.453125" customWidth="1"/>
    <col min="5379" max="5379" width="18.1796875" bestFit="1" customWidth="1"/>
    <col min="5380" max="5380" width="15.453125" bestFit="1" customWidth="1"/>
    <col min="5381" max="5381" width="19" bestFit="1" customWidth="1"/>
    <col min="5382" max="5382" width="20.453125" bestFit="1" customWidth="1"/>
    <col min="5383" max="5383" width="14.26953125" bestFit="1" customWidth="1"/>
    <col min="5384" max="5384" width="15" bestFit="1" customWidth="1"/>
    <col min="5385" max="5385" width="15.453125" bestFit="1" customWidth="1"/>
    <col min="5386" max="5386" width="27.81640625" customWidth="1"/>
    <col min="5387" max="5632" width="12.453125" customWidth="1"/>
    <col min="5633" max="5633" width="35.453125" customWidth="1"/>
    <col min="5634" max="5634" width="19.453125" customWidth="1"/>
    <col min="5635" max="5635" width="18.1796875" bestFit="1" customWidth="1"/>
    <col min="5636" max="5636" width="15.453125" bestFit="1" customWidth="1"/>
    <col min="5637" max="5637" width="19" bestFit="1" customWidth="1"/>
    <col min="5638" max="5638" width="20.453125" bestFit="1" customWidth="1"/>
    <col min="5639" max="5639" width="14.26953125" bestFit="1" customWidth="1"/>
    <col min="5640" max="5640" width="15" bestFit="1" customWidth="1"/>
    <col min="5641" max="5641" width="15.453125" bestFit="1" customWidth="1"/>
    <col min="5642" max="5642" width="27.81640625" customWidth="1"/>
    <col min="5643" max="5888" width="12.453125" customWidth="1"/>
    <col min="5889" max="5889" width="35.453125" customWidth="1"/>
    <col min="5890" max="5890" width="19.453125" customWidth="1"/>
    <col min="5891" max="5891" width="18.1796875" bestFit="1" customWidth="1"/>
    <col min="5892" max="5892" width="15.453125" bestFit="1" customWidth="1"/>
    <col min="5893" max="5893" width="19" bestFit="1" customWidth="1"/>
    <col min="5894" max="5894" width="20.453125" bestFit="1" customWidth="1"/>
    <col min="5895" max="5895" width="14.26953125" bestFit="1" customWidth="1"/>
    <col min="5896" max="5896" width="15" bestFit="1" customWidth="1"/>
    <col min="5897" max="5897" width="15.453125" bestFit="1" customWidth="1"/>
    <col min="5898" max="5898" width="27.81640625" customWidth="1"/>
    <col min="5899" max="6144" width="12.453125" customWidth="1"/>
    <col min="6145" max="6145" width="35.453125" customWidth="1"/>
    <col min="6146" max="6146" width="19.453125" customWidth="1"/>
    <col min="6147" max="6147" width="18.1796875" bestFit="1" customWidth="1"/>
    <col min="6148" max="6148" width="15.453125" bestFit="1" customWidth="1"/>
    <col min="6149" max="6149" width="19" bestFit="1" customWidth="1"/>
    <col min="6150" max="6150" width="20.453125" bestFit="1" customWidth="1"/>
    <col min="6151" max="6151" width="14.26953125" bestFit="1" customWidth="1"/>
    <col min="6152" max="6152" width="15" bestFit="1" customWidth="1"/>
    <col min="6153" max="6153" width="15.453125" bestFit="1" customWidth="1"/>
    <col min="6154" max="6154" width="27.81640625" customWidth="1"/>
    <col min="6155" max="6400" width="12.453125" customWidth="1"/>
    <col min="6401" max="6401" width="35.453125" customWidth="1"/>
    <col min="6402" max="6402" width="19.453125" customWidth="1"/>
    <col min="6403" max="6403" width="18.1796875" bestFit="1" customWidth="1"/>
    <col min="6404" max="6404" width="15.453125" bestFit="1" customWidth="1"/>
    <col min="6405" max="6405" width="19" bestFit="1" customWidth="1"/>
    <col min="6406" max="6406" width="20.453125" bestFit="1" customWidth="1"/>
    <col min="6407" max="6407" width="14.26953125" bestFit="1" customWidth="1"/>
    <col min="6408" max="6408" width="15" bestFit="1" customWidth="1"/>
    <col min="6409" max="6409" width="15.453125" bestFit="1" customWidth="1"/>
    <col min="6410" max="6410" width="27.81640625" customWidth="1"/>
    <col min="6411" max="6656" width="12.453125" customWidth="1"/>
    <col min="6657" max="6657" width="35.453125" customWidth="1"/>
    <col min="6658" max="6658" width="19.453125" customWidth="1"/>
    <col min="6659" max="6659" width="18.1796875" bestFit="1" customWidth="1"/>
    <col min="6660" max="6660" width="15.453125" bestFit="1" customWidth="1"/>
    <col min="6661" max="6661" width="19" bestFit="1" customWidth="1"/>
    <col min="6662" max="6662" width="20.453125" bestFit="1" customWidth="1"/>
    <col min="6663" max="6663" width="14.26953125" bestFit="1" customWidth="1"/>
    <col min="6664" max="6664" width="15" bestFit="1" customWidth="1"/>
    <col min="6665" max="6665" width="15.453125" bestFit="1" customWidth="1"/>
    <col min="6666" max="6666" width="27.81640625" customWidth="1"/>
    <col min="6667" max="6912" width="12.453125" customWidth="1"/>
    <col min="6913" max="6913" width="35.453125" customWidth="1"/>
    <col min="6914" max="6914" width="19.453125" customWidth="1"/>
    <col min="6915" max="6915" width="18.1796875" bestFit="1" customWidth="1"/>
    <col min="6916" max="6916" width="15.453125" bestFit="1" customWidth="1"/>
    <col min="6917" max="6917" width="19" bestFit="1" customWidth="1"/>
    <col min="6918" max="6918" width="20.453125" bestFit="1" customWidth="1"/>
    <col min="6919" max="6919" width="14.26953125" bestFit="1" customWidth="1"/>
    <col min="6920" max="6920" width="15" bestFit="1" customWidth="1"/>
    <col min="6921" max="6921" width="15.453125" bestFit="1" customWidth="1"/>
    <col min="6922" max="6922" width="27.81640625" customWidth="1"/>
    <col min="6923" max="7168" width="12.453125" customWidth="1"/>
    <col min="7169" max="7169" width="35.453125" customWidth="1"/>
    <col min="7170" max="7170" width="19.453125" customWidth="1"/>
    <col min="7171" max="7171" width="18.1796875" bestFit="1" customWidth="1"/>
    <col min="7172" max="7172" width="15.453125" bestFit="1" customWidth="1"/>
    <col min="7173" max="7173" width="19" bestFit="1" customWidth="1"/>
    <col min="7174" max="7174" width="20.453125" bestFit="1" customWidth="1"/>
    <col min="7175" max="7175" width="14.26953125" bestFit="1" customWidth="1"/>
    <col min="7176" max="7176" width="15" bestFit="1" customWidth="1"/>
    <col min="7177" max="7177" width="15.453125" bestFit="1" customWidth="1"/>
    <col min="7178" max="7178" width="27.81640625" customWidth="1"/>
    <col min="7179" max="7424" width="12.453125" customWidth="1"/>
    <col min="7425" max="7425" width="35.453125" customWidth="1"/>
    <col min="7426" max="7426" width="19.453125" customWidth="1"/>
    <col min="7427" max="7427" width="18.1796875" bestFit="1" customWidth="1"/>
    <col min="7428" max="7428" width="15.453125" bestFit="1" customWidth="1"/>
    <col min="7429" max="7429" width="19" bestFit="1" customWidth="1"/>
    <col min="7430" max="7430" width="20.453125" bestFit="1" customWidth="1"/>
    <col min="7431" max="7431" width="14.26953125" bestFit="1" customWidth="1"/>
    <col min="7432" max="7432" width="15" bestFit="1" customWidth="1"/>
    <col min="7433" max="7433" width="15.453125" bestFit="1" customWidth="1"/>
    <col min="7434" max="7434" width="27.81640625" customWidth="1"/>
    <col min="7435" max="7680" width="12.453125" customWidth="1"/>
    <col min="7681" max="7681" width="35.453125" customWidth="1"/>
    <col min="7682" max="7682" width="19.453125" customWidth="1"/>
    <col min="7683" max="7683" width="18.1796875" bestFit="1" customWidth="1"/>
    <col min="7684" max="7684" width="15.453125" bestFit="1" customWidth="1"/>
    <col min="7685" max="7685" width="19" bestFit="1" customWidth="1"/>
    <col min="7686" max="7686" width="20.453125" bestFit="1" customWidth="1"/>
    <col min="7687" max="7687" width="14.26953125" bestFit="1" customWidth="1"/>
    <col min="7688" max="7688" width="15" bestFit="1" customWidth="1"/>
    <col min="7689" max="7689" width="15.453125" bestFit="1" customWidth="1"/>
    <col min="7690" max="7690" width="27.81640625" customWidth="1"/>
    <col min="7691" max="7936" width="12.453125" customWidth="1"/>
    <col min="7937" max="7937" width="35.453125" customWidth="1"/>
    <col min="7938" max="7938" width="19.453125" customWidth="1"/>
    <col min="7939" max="7939" width="18.1796875" bestFit="1" customWidth="1"/>
    <col min="7940" max="7940" width="15.453125" bestFit="1" customWidth="1"/>
    <col min="7941" max="7941" width="19" bestFit="1" customWidth="1"/>
    <col min="7942" max="7942" width="20.453125" bestFit="1" customWidth="1"/>
    <col min="7943" max="7943" width="14.26953125" bestFit="1" customWidth="1"/>
    <col min="7944" max="7944" width="15" bestFit="1" customWidth="1"/>
    <col min="7945" max="7945" width="15.453125" bestFit="1" customWidth="1"/>
    <col min="7946" max="7946" width="27.81640625" customWidth="1"/>
    <col min="7947" max="8192" width="12.453125" customWidth="1"/>
    <col min="8193" max="8193" width="35.453125" customWidth="1"/>
    <col min="8194" max="8194" width="19.453125" customWidth="1"/>
    <col min="8195" max="8195" width="18.1796875" bestFit="1" customWidth="1"/>
    <col min="8196" max="8196" width="15.453125" bestFit="1" customWidth="1"/>
    <col min="8197" max="8197" width="19" bestFit="1" customWidth="1"/>
    <col min="8198" max="8198" width="20.453125" bestFit="1" customWidth="1"/>
    <col min="8199" max="8199" width="14.26953125" bestFit="1" customWidth="1"/>
    <col min="8200" max="8200" width="15" bestFit="1" customWidth="1"/>
    <col min="8201" max="8201" width="15.453125" bestFit="1" customWidth="1"/>
    <col min="8202" max="8202" width="27.81640625" customWidth="1"/>
    <col min="8203" max="8448" width="12.453125" customWidth="1"/>
    <col min="8449" max="8449" width="35.453125" customWidth="1"/>
    <col min="8450" max="8450" width="19.453125" customWidth="1"/>
    <col min="8451" max="8451" width="18.1796875" bestFit="1" customWidth="1"/>
    <col min="8452" max="8452" width="15.453125" bestFit="1" customWidth="1"/>
    <col min="8453" max="8453" width="19" bestFit="1" customWidth="1"/>
    <col min="8454" max="8454" width="20.453125" bestFit="1" customWidth="1"/>
    <col min="8455" max="8455" width="14.26953125" bestFit="1" customWidth="1"/>
    <col min="8456" max="8456" width="15" bestFit="1" customWidth="1"/>
    <col min="8457" max="8457" width="15.453125" bestFit="1" customWidth="1"/>
    <col min="8458" max="8458" width="27.81640625" customWidth="1"/>
    <col min="8459" max="8704" width="12.453125" customWidth="1"/>
    <col min="8705" max="8705" width="35.453125" customWidth="1"/>
    <col min="8706" max="8706" width="19.453125" customWidth="1"/>
    <col min="8707" max="8707" width="18.1796875" bestFit="1" customWidth="1"/>
    <col min="8708" max="8708" width="15.453125" bestFit="1" customWidth="1"/>
    <col min="8709" max="8709" width="19" bestFit="1" customWidth="1"/>
    <col min="8710" max="8710" width="20.453125" bestFit="1" customWidth="1"/>
    <col min="8711" max="8711" width="14.26953125" bestFit="1" customWidth="1"/>
    <col min="8712" max="8712" width="15" bestFit="1" customWidth="1"/>
    <col min="8713" max="8713" width="15.453125" bestFit="1" customWidth="1"/>
    <col min="8714" max="8714" width="27.81640625" customWidth="1"/>
    <col min="8715" max="8960" width="12.453125" customWidth="1"/>
    <col min="8961" max="8961" width="35.453125" customWidth="1"/>
    <col min="8962" max="8962" width="19.453125" customWidth="1"/>
    <col min="8963" max="8963" width="18.1796875" bestFit="1" customWidth="1"/>
    <col min="8964" max="8964" width="15.453125" bestFit="1" customWidth="1"/>
    <col min="8965" max="8965" width="19" bestFit="1" customWidth="1"/>
    <col min="8966" max="8966" width="20.453125" bestFit="1" customWidth="1"/>
    <col min="8967" max="8967" width="14.26953125" bestFit="1" customWidth="1"/>
    <col min="8968" max="8968" width="15" bestFit="1" customWidth="1"/>
    <col min="8969" max="8969" width="15.453125" bestFit="1" customWidth="1"/>
    <col min="8970" max="8970" width="27.81640625" customWidth="1"/>
    <col min="8971" max="9216" width="12.453125" customWidth="1"/>
    <col min="9217" max="9217" width="35.453125" customWidth="1"/>
    <col min="9218" max="9218" width="19.453125" customWidth="1"/>
    <col min="9219" max="9219" width="18.1796875" bestFit="1" customWidth="1"/>
    <col min="9220" max="9220" width="15.453125" bestFit="1" customWidth="1"/>
    <col min="9221" max="9221" width="19" bestFit="1" customWidth="1"/>
    <col min="9222" max="9222" width="20.453125" bestFit="1" customWidth="1"/>
    <col min="9223" max="9223" width="14.26953125" bestFit="1" customWidth="1"/>
    <col min="9224" max="9224" width="15" bestFit="1" customWidth="1"/>
    <col min="9225" max="9225" width="15.453125" bestFit="1" customWidth="1"/>
    <col min="9226" max="9226" width="27.81640625" customWidth="1"/>
    <col min="9227" max="9472" width="12.453125" customWidth="1"/>
    <col min="9473" max="9473" width="35.453125" customWidth="1"/>
    <col min="9474" max="9474" width="19.453125" customWidth="1"/>
    <col min="9475" max="9475" width="18.1796875" bestFit="1" customWidth="1"/>
    <col min="9476" max="9476" width="15.453125" bestFit="1" customWidth="1"/>
    <col min="9477" max="9477" width="19" bestFit="1" customWidth="1"/>
    <col min="9478" max="9478" width="20.453125" bestFit="1" customWidth="1"/>
    <col min="9479" max="9479" width="14.26953125" bestFit="1" customWidth="1"/>
    <col min="9480" max="9480" width="15" bestFit="1" customWidth="1"/>
    <col min="9481" max="9481" width="15.453125" bestFit="1" customWidth="1"/>
    <col min="9482" max="9482" width="27.81640625" customWidth="1"/>
    <col min="9483" max="9728" width="12.453125" customWidth="1"/>
    <col min="9729" max="9729" width="35.453125" customWidth="1"/>
    <col min="9730" max="9730" width="19.453125" customWidth="1"/>
    <col min="9731" max="9731" width="18.1796875" bestFit="1" customWidth="1"/>
    <col min="9732" max="9732" width="15.453125" bestFit="1" customWidth="1"/>
    <col min="9733" max="9733" width="19" bestFit="1" customWidth="1"/>
    <col min="9734" max="9734" width="20.453125" bestFit="1" customWidth="1"/>
    <col min="9735" max="9735" width="14.26953125" bestFit="1" customWidth="1"/>
    <col min="9736" max="9736" width="15" bestFit="1" customWidth="1"/>
    <col min="9737" max="9737" width="15.453125" bestFit="1" customWidth="1"/>
    <col min="9738" max="9738" width="27.81640625" customWidth="1"/>
    <col min="9739" max="9984" width="12.453125" customWidth="1"/>
    <col min="9985" max="9985" width="35.453125" customWidth="1"/>
    <col min="9986" max="9986" width="19.453125" customWidth="1"/>
    <col min="9987" max="9987" width="18.1796875" bestFit="1" customWidth="1"/>
    <col min="9988" max="9988" width="15.453125" bestFit="1" customWidth="1"/>
    <col min="9989" max="9989" width="19" bestFit="1" customWidth="1"/>
    <col min="9990" max="9990" width="20.453125" bestFit="1" customWidth="1"/>
    <col min="9991" max="9991" width="14.26953125" bestFit="1" customWidth="1"/>
    <col min="9992" max="9992" width="15" bestFit="1" customWidth="1"/>
    <col min="9993" max="9993" width="15.453125" bestFit="1" customWidth="1"/>
    <col min="9994" max="9994" width="27.81640625" customWidth="1"/>
    <col min="9995" max="10240" width="12.453125" customWidth="1"/>
    <col min="10241" max="10241" width="35.453125" customWidth="1"/>
    <col min="10242" max="10242" width="19.453125" customWidth="1"/>
    <col min="10243" max="10243" width="18.1796875" bestFit="1" customWidth="1"/>
    <col min="10244" max="10244" width="15.453125" bestFit="1" customWidth="1"/>
    <col min="10245" max="10245" width="19" bestFit="1" customWidth="1"/>
    <col min="10246" max="10246" width="20.453125" bestFit="1" customWidth="1"/>
    <col min="10247" max="10247" width="14.26953125" bestFit="1" customWidth="1"/>
    <col min="10248" max="10248" width="15" bestFit="1" customWidth="1"/>
    <col min="10249" max="10249" width="15.453125" bestFit="1" customWidth="1"/>
    <col min="10250" max="10250" width="27.81640625" customWidth="1"/>
    <col min="10251" max="10496" width="12.453125" customWidth="1"/>
    <col min="10497" max="10497" width="35.453125" customWidth="1"/>
    <col min="10498" max="10498" width="19.453125" customWidth="1"/>
    <col min="10499" max="10499" width="18.1796875" bestFit="1" customWidth="1"/>
    <col min="10500" max="10500" width="15.453125" bestFit="1" customWidth="1"/>
    <col min="10501" max="10501" width="19" bestFit="1" customWidth="1"/>
    <col min="10502" max="10502" width="20.453125" bestFit="1" customWidth="1"/>
    <col min="10503" max="10503" width="14.26953125" bestFit="1" customWidth="1"/>
    <col min="10504" max="10504" width="15" bestFit="1" customWidth="1"/>
    <col min="10505" max="10505" width="15.453125" bestFit="1" customWidth="1"/>
    <col min="10506" max="10506" width="27.81640625" customWidth="1"/>
    <col min="10507" max="10752" width="12.453125" customWidth="1"/>
    <col min="10753" max="10753" width="35.453125" customWidth="1"/>
    <col min="10754" max="10754" width="19.453125" customWidth="1"/>
    <col min="10755" max="10755" width="18.1796875" bestFit="1" customWidth="1"/>
    <col min="10756" max="10756" width="15.453125" bestFit="1" customWidth="1"/>
    <col min="10757" max="10757" width="19" bestFit="1" customWidth="1"/>
    <col min="10758" max="10758" width="20.453125" bestFit="1" customWidth="1"/>
    <col min="10759" max="10759" width="14.26953125" bestFit="1" customWidth="1"/>
    <col min="10760" max="10760" width="15" bestFit="1" customWidth="1"/>
    <col min="10761" max="10761" width="15.453125" bestFit="1" customWidth="1"/>
    <col min="10762" max="10762" width="27.81640625" customWidth="1"/>
    <col min="10763" max="11008" width="12.453125" customWidth="1"/>
    <col min="11009" max="11009" width="35.453125" customWidth="1"/>
    <col min="11010" max="11010" width="19.453125" customWidth="1"/>
    <col min="11011" max="11011" width="18.1796875" bestFit="1" customWidth="1"/>
    <col min="11012" max="11012" width="15.453125" bestFit="1" customWidth="1"/>
    <col min="11013" max="11013" width="19" bestFit="1" customWidth="1"/>
    <col min="11014" max="11014" width="20.453125" bestFit="1" customWidth="1"/>
    <col min="11015" max="11015" width="14.26953125" bestFit="1" customWidth="1"/>
    <col min="11016" max="11016" width="15" bestFit="1" customWidth="1"/>
    <col min="11017" max="11017" width="15.453125" bestFit="1" customWidth="1"/>
    <col min="11018" max="11018" width="27.81640625" customWidth="1"/>
    <col min="11019" max="11264" width="12.453125" customWidth="1"/>
    <col min="11265" max="11265" width="35.453125" customWidth="1"/>
    <col min="11266" max="11266" width="19.453125" customWidth="1"/>
    <col min="11267" max="11267" width="18.1796875" bestFit="1" customWidth="1"/>
    <col min="11268" max="11268" width="15.453125" bestFit="1" customWidth="1"/>
    <col min="11269" max="11269" width="19" bestFit="1" customWidth="1"/>
    <col min="11270" max="11270" width="20.453125" bestFit="1" customWidth="1"/>
    <col min="11271" max="11271" width="14.26953125" bestFit="1" customWidth="1"/>
    <col min="11272" max="11272" width="15" bestFit="1" customWidth="1"/>
    <col min="11273" max="11273" width="15.453125" bestFit="1" customWidth="1"/>
    <col min="11274" max="11274" width="27.81640625" customWidth="1"/>
    <col min="11275" max="11520" width="12.453125" customWidth="1"/>
    <col min="11521" max="11521" width="35.453125" customWidth="1"/>
    <col min="11522" max="11522" width="19.453125" customWidth="1"/>
    <col min="11523" max="11523" width="18.1796875" bestFit="1" customWidth="1"/>
    <col min="11524" max="11524" width="15.453125" bestFit="1" customWidth="1"/>
    <col min="11525" max="11525" width="19" bestFit="1" customWidth="1"/>
    <col min="11526" max="11526" width="20.453125" bestFit="1" customWidth="1"/>
    <col min="11527" max="11527" width="14.26953125" bestFit="1" customWidth="1"/>
    <col min="11528" max="11528" width="15" bestFit="1" customWidth="1"/>
    <col min="11529" max="11529" width="15.453125" bestFit="1" customWidth="1"/>
    <col min="11530" max="11530" width="27.81640625" customWidth="1"/>
    <col min="11531" max="11776" width="12.453125" customWidth="1"/>
    <col min="11777" max="11777" width="35.453125" customWidth="1"/>
    <col min="11778" max="11778" width="19.453125" customWidth="1"/>
    <col min="11779" max="11779" width="18.1796875" bestFit="1" customWidth="1"/>
    <col min="11780" max="11780" width="15.453125" bestFit="1" customWidth="1"/>
    <col min="11781" max="11781" width="19" bestFit="1" customWidth="1"/>
    <col min="11782" max="11782" width="20.453125" bestFit="1" customWidth="1"/>
    <col min="11783" max="11783" width="14.26953125" bestFit="1" customWidth="1"/>
    <col min="11784" max="11784" width="15" bestFit="1" customWidth="1"/>
    <col min="11785" max="11785" width="15.453125" bestFit="1" customWidth="1"/>
    <col min="11786" max="11786" width="27.81640625" customWidth="1"/>
    <col min="11787" max="12032" width="12.453125" customWidth="1"/>
    <col min="12033" max="12033" width="35.453125" customWidth="1"/>
    <col min="12034" max="12034" width="19.453125" customWidth="1"/>
    <col min="12035" max="12035" width="18.1796875" bestFit="1" customWidth="1"/>
    <col min="12036" max="12036" width="15.453125" bestFit="1" customWidth="1"/>
    <col min="12037" max="12037" width="19" bestFit="1" customWidth="1"/>
    <col min="12038" max="12038" width="20.453125" bestFit="1" customWidth="1"/>
    <col min="12039" max="12039" width="14.26953125" bestFit="1" customWidth="1"/>
    <col min="12040" max="12040" width="15" bestFit="1" customWidth="1"/>
    <col min="12041" max="12041" width="15.453125" bestFit="1" customWidth="1"/>
    <col min="12042" max="12042" width="27.81640625" customWidth="1"/>
    <col min="12043" max="12288" width="12.453125" customWidth="1"/>
    <col min="12289" max="12289" width="35.453125" customWidth="1"/>
    <col min="12290" max="12290" width="19.453125" customWidth="1"/>
    <col min="12291" max="12291" width="18.1796875" bestFit="1" customWidth="1"/>
    <col min="12292" max="12292" width="15.453125" bestFit="1" customWidth="1"/>
    <col min="12293" max="12293" width="19" bestFit="1" customWidth="1"/>
    <col min="12294" max="12294" width="20.453125" bestFit="1" customWidth="1"/>
    <col min="12295" max="12295" width="14.26953125" bestFit="1" customWidth="1"/>
    <col min="12296" max="12296" width="15" bestFit="1" customWidth="1"/>
    <col min="12297" max="12297" width="15.453125" bestFit="1" customWidth="1"/>
    <col min="12298" max="12298" width="27.81640625" customWidth="1"/>
    <col min="12299" max="12544" width="12.453125" customWidth="1"/>
    <col min="12545" max="12545" width="35.453125" customWidth="1"/>
    <col min="12546" max="12546" width="19.453125" customWidth="1"/>
    <col min="12547" max="12547" width="18.1796875" bestFit="1" customWidth="1"/>
    <col min="12548" max="12548" width="15.453125" bestFit="1" customWidth="1"/>
    <col min="12549" max="12549" width="19" bestFit="1" customWidth="1"/>
    <col min="12550" max="12550" width="20.453125" bestFit="1" customWidth="1"/>
    <col min="12551" max="12551" width="14.26953125" bestFit="1" customWidth="1"/>
    <col min="12552" max="12552" width="15" bestFit="1" customWidth="1"/>
    <col min="12553" max="12553" width="15.453125" bestFit="1" customWidth="1"/>
    <col min="12554" max="12554" width="27.81640625" customWidth="1"/>
    <col min="12555" max="12800" width="12.453125" customWidth="1"/>
    <col min="12801" max="12801" width="35.453125" customWidth="1"/>
    <col min="12802" max="12802" width="19.453125" customWidth="1"/>
    <col min="12803" max="12803" width="18.1796875" bestFit="1" customWidth="1"/>
    <col min="12804" max="12804" width="15.453125" bestFit="1" customWidth="1"/>
    <col min="12805" max="12805" width="19" bestFit="1" customWidth="1"/>
    <col min="12806" max="12806" width="20.453125" bestFit="1" customWidth="1"/>
    <col min="12807" max="12807" width="14.26953125" bestFit="1" customWidth="1"/>
    <col min="12808" max="12808" width="15" bestFit="1" customWidth="1"/>
    <col min="12809" max="12809" width="15.453125" bestFit="1" customWidth="1"/>
    <col min="12810" max="12810" width="27.81640625" customWidth="1"/>
    <col min="12811" max="13056" width="12.453125" customWidth="1"/>
    <col min="13057" max="13057" width="35.453125" customWidth="1"/>
    <col min="13058" max="13058" width="19.453125" customWidth="1"/>
    <col min="13059" max="13059" width="18.1796875" bestFit="1" customWidth="1"/>
    <col min="13060" max="13060" width="15.453125" bestFit="1" customWidth="1"/>
    <col min="13061" max="13061" width="19" bestFit="1" customWidth="1"/>
    <col min="13062" max="13062" width="20.453125" bestFit="1" customWidth="1"/>
    <col min="13063" max="13063" width="14.26953125" bestFit="1" customWidth="1"/>
    <col min="13064" max="13064" width="15" bestFit="1" customWidth="1"/>
    <col min="13065" max="13065" width="15.453125" bestFit="1" customWidth="1"/>
    <col min="13066" max="13066" width="27.81640625" customWidth="1"/>
    <col min="13067" max="13312" width="12.453125" customWidth="1"/>
    <col min="13313" max="13313" width="35.453125" customWidth="1"/>
    <col min="13314" max="13314" width="19.453125" customWidth="1"/>
    <col min="13315" max="13315" width="18.1796875" bestFit="1" customWidth="1"/>
    <col min="13316" max="13316" width="15.453125" bestFit="1" customWidth="1"/>
    <col min="13317" max="13317" width="19" bestFit="1" customWidth="1"/>
    <col min="13318" max="13318" width="20.453125" bestFit="1" customWidth="1"/>
    <col min="13319" max="13319" width="14.26953125" bestFit="1" customWidth="1"/>
    <col min="13320" max="13320" width="15" bestFit="1" customWidth="1"/>
    <col min="13321" max="13321" width="15.453125" bestFit="1" customWidth="1"/>
    <col min="13322" max="13322" width="27.81640625" customWidth="1"/>
    <col min="13323" max="13568" width="12.453125" customWidth="1"/>
    <col min="13569" max="13569" width="35.453125" customWidth="1"/>
    <col min="13570" max="13570" width="19.453125" customWidth="1"/>
    <col min="13571" max="13571" width="18.1796875" bestFit="1" customWidth="1"/>
    <col min="13572" max="13572" width="15.453125" bestFit="1" customWidth="1"/>
    <col min="13573" max="13573" width="19" bestFit="1" customWidth="1"/>
    <col min="13574" max="13574" width="20.453125" bestFit="1" customWidth="1"/>
    <col min="13575" max="13575" width="14.26953125" bestFit="1" customWidth="1"/>
    <col min="13576" max="13576" width="15" bestFit="1" customWidth="1"/>
    <col min="13577" max="13577" width="15.453125" bestFit="1" customWidth="1"/>
    <col min="13578" max="13578" width="27.81640625" customWidth="1"/>
    <col min="13579" max="13824" width="12.453125" customWidth="1"/>
    <col min="13825" max="13825" width="35.453125" customWidth="1"/>
    <col min="13826" max="13826" width="19.453125" customWidth="1"/>
    <col min="13827" max="13827" width="18.1796875" bestFit="1" customWidth="1"/>
    <col min="13828" max="13828" width="15.453125" bestFit="1" customWidth="1"/>
    <col min="13829" max="13829" width="19" bestFit="1" customWidth="1"/>
    <col min="13830" max="13830" width="20.453125" bestFit="1" customWidth="1"/>
    <col min="13831" max="13831" width="14.26953125" bestFit="1" customWidth="1"/>
    <col min="13832" max="13832" width="15" bestFit="1" customWidth="1"/>
    <col min="13833" max="13833" width="15.453125" bestFit="1" customWidth="1"/>
    <col min="13834" max="13834" width="27.81640625" customWidth="1"/>
    <col min="13835" max="14080" width="12.453125" customWidth="1"/>
    <col min="14081" max="14081" width="35.453125" customWidth="1"/>
    <col min="14082" max="14082" width="19.453125" customWidth="1"/>
    <col min="14083" max="14083" width="18.1796875" bestFit="1" customWidth="1"/>
    <col min="14084" max="14084" width="15.453125" bestFit="1" customWidth="1"/>
    <col min="14085" max="14085" width="19" bestFit="1" customWidth="1"/>
    <col min="14086" max="14086" width="20.453125" bestFit="1" customWidth="1"/>
    <col min="14087" max="14087" width="14.26953125" bestFit="1" customWidth="1"/>
    <col min="14088" max="14088" width="15" bestFit="1" customWidth="1"/>
    <col min="14089" max="14089" width="15.453125" bestFit="1" customWidth="1"/>
    <col min="14090" max="14090" width="27.81640625" customWidth="1"/>
    <col min="14091" max="14336" width="12.453125" customWidth="1"/>
    <col min="14337" max="14337" width="35.453125" customWidth="1"/>
    <col min="14338" max="14338" width="19.453125" customWidth="1"/>
    <col min="14339" max="14339" width="18.1796875" bestFit="1" customWidth="1"/>
    <col min="14340" max="14340" width="15.453125" bestFit="1" customWidth="1"/>
    <col min="14341" max="14341" width="19" bestFit="1" customWidth="1"/>
    <col min="14342" max="14342" width="20.453125" bestFit="1" customWidth="1"/>
    <col min="14343" max="14343" width="14.26953125" bestFit="1" customWidth="1"/>
    <col min="14344" max="14344" width="15" bestFit="1" customWidth="1"/>
    <col min="14345" max="14345" width="15.453125" bestFit="1" customWidth="1"/>
    <col min="14346" max="14346" width="27.81640625" customWidth="1"/>
    <col min="14347" max="14592" width="12.453125" customWidth="1"/>
    <col min="14593" max="14593" width="35.453125" customWidth="1"/>
    <col min="14594" max="14594" width="19.453125" customWidth="1"/>
    <col min="14595" max="14595" width="18.1796875" bestFit="1" customWidth="1"/>
    <col min="14596" max="14596" width="15.453125" bestFit="1" customWidth="1"/>
    <col min="14597" max="14597" width="19" bestFit="1" customWidth="1"/>
    <col min="14598" max="14598" width="20.453125" bestFit="1" customWidth="1"/>
    <col min="14599" max="14599" width="14.26953125" bestFit="1" customWidth="1"/>
    <col min="14600" max="14600" width="15" bestFit="1" customWidth="1"/>
    <col min="14601" max="14601" width="15.453125" bestFit="1" customWidth="1"/>
    <col min="14602" max="14602" width="27.81640625" customWidth="1"/>
    <col min="14603" max="14848" width="12.453125" customWidth="1"/>
    <col min="14849" max="14849" width="35.453125" customWidth="1"/>
    <col min="14850" max="14850" width="19.453125" customWidth="1"/>
    <col min="14851" max="14851" width="18.1796875" bestFit="1" customWidth="1"/>
    <col min="14852" max="14852" width="15.453125" bestFit="1" customWidth="1"/>
    <col min="14853" max="14853" width="19" bestFit="1" customWidth="1"/>
    <col min="14854" max="14854" width="20.453125" bestFit="1" customWidth="1"/>
    <col min="14855" max="14855" width="14.26953125" bestFit="1" customWidth="1"/>
    <col min="14856" max="14856" width="15" bestFit="1" customWidth="1"/>
    <col min="14857" max="14857" width="15.453125" bestFit="1" customWidth="1"/>
    <col min="14858" max="14858" width="27.81640625" customWidth="1"/>
    <col min="14859" max="15104" width="12.453125" customWidth="1"/>
    <col min="15105" max="15105" width="35.453125" customWidth="1"/>
    <col min="15106" max="15106" width="19.453125" customWidth="1"/>
    <col min="15107" max="15107" width="18.1796875" bestFit="1" customWidth="1"/>
    <col min="15108" max="15108" width="15.453125" bestFit="1" customWidth="1"/>
    <col min="15109" max="15109" width="19" bestFit="1" customWidth="1"/>
    <col min="15110" max="15110" width="20.453125" bestFit="1" customWidth="1"/>
    <col min="15111" max="15111" width="14.26953125" bestFit="1" customWidth="1"/>
    <col min="15112" max="15112" width="15" bestFit="1" customWidth="1"/>
    <col min="15113" max="15113" width="15.453125" bestFit="1" customWidth="1"/>
    <col min="15114" max="15114" width="27.81640625" customWidth="1"/>
    <col min="15115" max="15360" width="12.453125" customWidth="1"/>
    <col min="15361" max="15361" width="35.453125" customWidth="1"/>
    <col min="15362" max="15362" width="19.453125" customWidth="1"/>
    <col min="15363" max="15363" width="18.1796875" bestFit="1" customWidth="1"/>
    <col min="15364" max="15364" width="15.453125" bestFit="1" customWidth="1"/>
    <col min="15365" max="15365" width="19" bestFit="1" customWidth="1"/>
    <col min="15366" max="15366" width="20.453125" bestFit="1" customWidth="1"/>
    <col min="15367" max="15367" width="14.26953125" bestFit="1" customWidth="1"/>
    <col min="15368" max="15368" width="15" bestFit="1" customWidth="1"/>
    <col min="15369" max="15369" width="15.453125" bestFit="1" customWidth="1"/>
    <col min="15370" max="15370" width="27.81640625" customWidth="1"/>
    <col min="15371" max="15616" width="12.453125" customWidth="1"/>
    <col min="15617" max="15617" width="35.453125" customWidth="1"/>
    <col min="15618" max="15618" width="19.453125" customWidth="1"/>
    <col min="15619" max="15619" width="18.1796875" bestFit="1" customWidth="1"/>
    <col min="15620" max="15620" width="15.453125" bestFit="1" customWidth="1"/>
    <col min="15621" max="15621" width="19" bestFit="1" customWidth="1"/>
    <col min="15622" max="15622" width="20.453125" bestFit="1" customWidth="1"/>
    <col min="15623" max="15623" width="14.26953125" bestFit="1" customWidth="1"/>
    <col min="15624" max="15624" width="15" bestFit="1" customWidth="1"/>
    <col min="15625" max="15625" width="15.453125" bestFit="1" customWidth="1"/>
    <col min="15626" max="15626" width="27.81640625" customWidth="1"/>
    <col min="15627" max="15872" width="12.453125" customWidth="1"/>
    <col min="15873" max="15873" width="35.453125" customWidth="1"/>
    <col min="15874" max="15874" width="19.453125" customWidth="1"/>
    <col min="15875" max="15875" width="18.1796875" bestFit="1" customWidth="1"/>
    <col min="15876" max="15876" width="15.453125" bestFit="1" customWidth="1"/>
    <col min="15877" max="15877" width="19" bestFit="1" customWidth="1"/>
    <col min="15878" max="15878" width="20.453125" bestFit="1" customWidth="1"/>
    <col min="15879" max="15879" width="14.26953125" bestFit="1" customWidth="1"/>
    <col min="15880" max="15880" width="15" bestFit="1" customWidth="1"/>
    <col min="15881" max="15881" width="15.453125" bestFit="1" customWidth="1"/>
    <col min="15882" max="15882" width="27.81640625" customWidth="1"/>
    <col min="15883" max="16128" width="12.453125" customWidth="1"/>
    <col min="16129" max="16129" width="35.453125" customWidth="1"/>
    <col min="16130" max="16130" width="19.453125" customWidth="1"/>
    <col min="16131" max="16131" width="18.1796875" bestFit="1" customWidth="1"/>
    <col min="16132" max="16132" width="15.453125" bestFit="1" customWidth="1"/>
    <col min="16133" max="16133" width="19" bestFit="1" customWidth="1"/>
    <col min="16134" max="16134" width="20.453125" bestFit="1" customWidth="1"/>
    <col min="16135" max="16135" width="14.26953125" bestFit="1" customWidth="1"/>
    <col min="16136" max="16136" width="15" bestFit="1" customWidth="1"/>
    <col min="16137" max="16137" width="15.453125" bestFit="1" customWidth="1"/>
    <col min="16138" max="16138" width="27.81640625" customWidth="1"/>
    <col min="16139" max="16384" width="12.453125" customWidth="1"/>
  </cols>
  <sheetData>
    <row r="1" spans="1:31" ht="24" thickBot="1">
      <c r="A1" s="874" t="s">
        <v>771</v>
      </c>
      <c r="B1" s="875"/>
      <c r="C1" s="875"/>
      <c r="D1" s="875"/>
      <c r="E1" s="875"/>
      <c r="F1" s="875"/>
      <c r="G1" s="875"/>
      <c r="H1" s="875"/>
      <c r="I1" s="875"/>
      <c r="J1" s="875"/>
      <c r="K1" s="875"/>
      <c r="L1" s="875"/>
      <c r="M1" s="875"/>
      <c r="N1" s="875"/>
      <c r="O1" s="875"/>
      <c r="P1" s="875"/>
      <c r="Q1" s="875"/>
      <c r="R1" s="875"/>
    </row>
    <row r="2" spans="1:31" s="10" customFormat="1" ht="29.15" customHeight="1"/>
    <row r="3" spans="1:31" s="10" customFormat="1" ht="15" thickBot="1">
      <c r="A3" s="558" t="s">
        <v>710</v>
      </c>
      <c r="B3" s="684">
        <f>SUMIF(C5:R5,"&lt;0",C5:R5)</f>
        <v>-6495.3891579945139</v>
      </c>
      <c r="C3" s="1066" t="str">
        <f>[4]Tréso!D13</f>
        <v>Hypothèse 2: Worst case plus élevée financement</v>
      </c>
      <c r="D3" s="1067"/>
      <c r="E3" s="1067"/>
      <c r="F3" s="1067"/>
      <c r="G3" s="1067"/>
      <c r="H3" s="1068"/>
    </row>
    <row r="4" spans="1:31" s="683" customFormat="1" ht="15" thickBot="1">
      <c r="A4" s="558" t="s">
        <v>712</v>
      </c>
      <c r="B4" s="578">
        <f>COUNTIF(C5:R5,"&lt;0")</f>
        <v>11</v>
      </c>
      <c r="C4" s="685">
        <v>2009</v>
      </c>
      <c r="D4" s="685">
        <v>2010</v>
      </c>
      <c r="E4" s="685">
        <v>2011</v>
      </c>
      <c r="F4" s="685">
        <v>2012</v>
      </c>
      <c r="G4" s="685">
        <v>2013</v>
      </c>
      <c r="H4" s="685">
        <v>2014</v>
      </c>
      <c r="I4" s="685">
        <v>2015</v>
      </c>
      <c r="J4" s="685">
        <v>2016</v>
      </c>
      <c r="K4" s="685">
        <v>2017</v>
      </c>
      <c r="L4" s="685">
        <v>2018</v>
      </c>
      <c r="M4" s="685">
        <v>2019</v>
      </c>
      <c r="N4" s="685">
        <v>2020</v>
      </c>
      <c r="O4" s="685">
        <v>2021</v>
      </c>
      <c r="P4" s="685">
        <v>2022</v>
      </c>
      <c r="Q4" s="685">
        <v>2023</v>
      </c>
      <c r="R4" s="685">
        <v>2024</v>
      </c>
      <c r="S4" s="876"/>
      <c r="T4" s="876"/>
      <c r="U4" s="876"/>
      <c r="V4" s="876"/>
      <c r="W4" s="876"/>
      <c r="X4" s="876"/>
      <c r="Y4" s="876"/>
      <c r="Z4" s="876"/>
      <c r="AA4" s="876"/>
      <c r="AB4" s="876"/>
      <c r="AC4" s="876"/>
      <c r="AD4" s="876"/>
      <c r="AE4" s="876"/>
    </row>
    <row r="5" spans="1:31" s="10" customFormat="1">
      <c r="B5" s="686" t="s">
        <v>772</v>
      </c>
      <c r="C5" s="653">
        <f>Trésorerie!D11</f>
        <v>-63.717307692307656</v>
      </c>
      <c r="D5" s="653">
        <f>Trésorerie!E11</f>
        <v>-399.96793846153844</v>
      </c>
      <c r="E5" s="653">
        <f>Trésorerie!F11</f>
        <v>-651.56516551724133</v>
      </c>
      <c r="F5" s="653">
        <f>Trésorerie!G11</f>
        <v>-904.63660689655171</v>
      </c>
      <c r="G5" s="653">
        <f>Trésorerie!H11</f>
        <v>-1026.376654095724</v>
      </c>
      <c r="H5" s="653">
        <f>Trésorerie!I11</f>
        <v>-1044.3151091516206</v>
      </c>
      <c r="I5" s="653">
        <f>Trésorerie!J11</f>
        <v>-909.35974978228944</v>
      </c>
      <c r="J5" s="653">
        <f>Trésorerie!K11</f>
        <v>-685.44646416194939</v>
      </c>
      <c r="K5" s="653">
        <f>Trésorerie!L11</f>
        <v>-473.05653304932412</v>
      </c>
      <c r="L5" s="653">
        <f>Trésorerie!M11</f>
        <v>-267.71705202179515</v>
      </c>
      <c r="M5" s="653">
        <f>Trésorerie!N11</f>
        <v>-69.23057716417145</v>
      </c>
      <c r="N5" s="653">
        <f>Trésorerie!O11</f>
        <v>129.55748388233923</v>
      </c>
      <c r="O5" s="653">
        <f>Trésorerie!P11</f>
        <v>326.06345413161489</v>
      </c>
      <c r="P5" s="653">
        <f>Trésorerie!Q11</f>
        <v>523.01538059473796</v>
      </c>
      <c r="Q5" s="653">
        <f>Trésorerie!R11</f>
        <v>717.83443324131861</v>
      </c>
      <c r="R5" s="653">
        <f>Trésorerie!S11</f>
        <v>942.2648579215986</v>
      </c>
    </row>
    <row r="6" spans="1:31" s="10" customFormat="1">
      <c r="B6" s="687"/>
      <c r="C6" s="688"/>
      <c r="D6" s="688"/>
      <c r="E6" s="688"/>
      <c r="F6" s="688"/>
      <c r="G6" s="688"/>
      <c r="H6" s="688"/>
      <c r="I6" s="688"/>
      <c r="J6" s="688"/>
      <c r="K6" s="688"/>
      <c r="L6" s="688"/>
      <c r="M6" s="688"/>
      <c r="N6" s="688"/>
      <c r="O6" s="688"/>
      <c r="P6" s="688"/>
      <c r="Q6" s="688"/>
      <c r="R6" s="688"/>
    </row>
    <row r="7" spans="1:31" ht="15" thickBot="1">
      <c r="A7" s="10"/>
      <c r="B7" s="10"/>
      <c r="C7" s="10"/>
      <c r="D7" s="10"/>
      <c r="E7" s="10"/>
      <c r="F7" s="10"/>
      <c r="G7" s="10"/>
      <c r="H7" s="10"/>
      <c r="I7" s="10"/>
      <c r="J7" s="10"/>
      <c r="K7" s="10"/>
      <c r="L7" s="10"/>
      <c r="M7" s="10"/>
      <c r="N7" s="10"/>
      <c r="O7" s="10"/>
      <c r="P7" s="10"/>
      <c r="Q7" s="10"/>
      <c r="R7" s="10"/>
    </row>
    <row r="8" spans="1:31" ht="24" thickBot="1">
      <c r="A8" s="874" t="s">
        <v>773</v>
      </c>
      <c r="B8" s="875"/>
      <c r="C8" s="875"/>
      <c r="D8" s="875"/>
      <c r="E8" s="875"/>
      <c r="F8" s="875"/>
      <c r="G8" s="875"/>
      <c r="H8" s="875"/>
      <c r="I8" s="875"/>
      <c r="J8" s="875"/>
      <c r="K8" s="875"/>
      <c r="L8" s="875"/>
      <c r="M8" s="875"/>
      <c r="N8" s="875"/>
      <c r="O8" s="875"/>
      <c r="P8" s="875"/>
      <c r="Q8" s="875"/>
      <c r="R8" s="875"/>
    </row>
    <row r="9" spans="1:31" ht="18.5">
      <c r="A9" s="689" t="s">
        <v>774</v>
      </c>
      <c r="B9" s="10"/>
      <c r="C9" s="10"/>
      <c r="D9" s="10"/>
      <c r="E9" s="10"/>
      <c r="F9" s="10"/>
      <c r="G9" s="10"/>
      <c r="H9" s="10"/>
      <c r="I9" s="10"/>
      <c r="J9" s="10"/>
      <c r="K9" s="10"/>
      <c r="L9" s="10"/>
      <c r="M9" s="10"/>
      <c r="N9" s="10"/>
      <c r="O9" s="10"/>
      <c r="P9" s="10"/>
      <c r="Q9" s="10"/>
      <c r="R9" s="10"/>
    </row>
    <row r="10" spans="1:31">
      <c r="A10" s="690"/>
      <c r="B10" s="1069" t="s">
        <v>775</v>
      </c>
      <c r="C10" s="1069"/>
      <c r="D10" s="1069"/>
      <c r="E10" s="1069"/>
      <c r="F10" s="1069"/>
      <c r="G10" s="1069"/>
      <c r="H10" s="690"/>
    </row>
    <row r="11" spans="1:31">
      <c r="A11" s="690" t="s">
        <v>666</v>
      </c>
      <c r="B11" s="1070" t="s">
        <v>776</v>
      </c>
      <c r="C11" s="1070"/>
      <c r="D11" s="1071" t="s">
        <v>777</v>
      </c>
      <c r="E11" s="1071"/>
      <c r="F11" s="1072" t="s">
        <v>778</v>
      </c>
      <c r="G11" s="1072"/>
      <c r="H11" s="690" t="s">
        <v>383</v>
      </c>
    </row>
    <row r="12" spans="1:31">
      <c r="A12" s="690">
        <v>1954</v>
      </c>
      <c r="B12" s="691">
        <v>7000</v>
      </c>
      <c r="C12" s="692">
        <f>B12/(B12+D12+F12)</f>
        <v>1</v>
      </c>
      <c r="D12" s="693">
        <v>0</v>
      </c>
      <c r="E12" s="694">
        <f>D12/(B12+D12+F12)</f>
        <v>0</v>
      </c>
      <c r="F12" s="695">
        <v>0</v>
      </c>
      <c r="G12" s="696">
        <f>F12/(B12+D12+F12)</f>
        <v>0</v>
      </c>
      <c r="H12" s="697">
        <f>SUM(B12+D12+F12)</f>
        <v>7000</v>
      </c>
    </row>
    <row r="13" spans="1:31">
      <c r="A13" s="690">
        <v>1958</v>
      </c>
      <c r="B13" s="691">
        <v>2000</v>
      </c>
      <c r="C13" s="692">
        <f t="shared" ref="C13:C34" si="0">B13/(B13+D13+F13)</f>
        <v>1</v>
      </c>
      <c r="D13" s="693">
        <v>0</v>
      </c>
      <c r="E13" s="694">
        <f t="shared" ref="E13:E34" si="1">D13/(B13+D13+F13)</f>
        <v>0</v>
      </c>
      <c r="F13" s="695">
        <v>0</v>
      </c>
      <c r="G13" s="696">
        <f t="shared" ref="G13:G34" si="2">F13/(B13+D13+F13)</f>
        <v>0</v>
      </c>
      <c r="H13" s="697">
        <f t="shared" ref="H13:H34" si="3">SUM(B13+D13+F13)</f>
        <v>2000</v>
      </c>
    </row>
    <row r="14" spans="1:31">
      <c r="A14" s="690">
        <v>1960</v>
      </c>
      <c r="B14" s="691">
        <v>6000</v>
      </c>
      <c r="C14" s="692">
        <f t="shared" si="0"/>
        <v>1</v>
      </c>
      <c r="D14" s="693">
        <v>0</v>
      </c>
      <c r="E14" s="694">
        <f t="shared" si="1"/>
        <v>0</v>
      </c>
      <c r="F14" s="695">
        <v>0</v>
      </c>
      <c r="G14" s="696">
        <f t="shared" si="2"/>
        <v>0</v>
      </c>
      <c r="H14" s="697">
        <f t="shared" si="3"/>
        <v>6000</v>
      </c>
    </row>
    <row r="15" spans="1:31">
      <c r="A15" s="690">
        <v>1965</v>
      </c>
      <c r="B15" s="691">
        <v>3000</v>
      </c>
      <c r="C15" s="692">
        <f t="shared" si="0"/>
        <v>1</v>
      </c>
      <c r="D15" s="693">
        <v>0</v>
      </c>
      <c r="E15" s="694">
        <f t="shared" si="1"/>
        <v>0</v>
      </c>
      <c r="F15" s="695">
        <v>0</v>
      </c>
      <c r="G15" s="696">
        <f t="shared" si="2"/>
        <v>0</v>
      </c>
      <c r="H15" s="697">
        <f t="shared" si="3"/>
        <v>3000</v>
      </c>
    </row>
    <row r="16" spans="1:31">
      <c r="A16" s="690">
        <v>1970</v>
      </c>
      <c r="B16" s="691">
        <v>10000</v>
      </c>
      <c r="C16" s="692">
        <f t="shared" si="0"/>
        <v>1</v>
      </c>
      <c r="D16" s="693">
        <v>0</v>
      </c>
      <c r="E16" s="694">
        <f t="shared" si="1"/>
        <v>0</v>
      </c>
      <c r="F16" s="695">
        <v>0</v>
      </c>
      <c r="G16" s="696">
        <f t="shared" si="2"/>
        <v>0</v>
      </c>
      <c r="H16" s="697">
        <f t="shared" si="3"/>
        <v>10000</v>
      </c>
    </row>
    <row r="17" spans="1:18">
      <c r="A17" s="690">
        <v>1974</v>
      </c>
      <c r="B17" s="691">
        <v>21000</v>
      </c>
      <c r="C17" s="692">
        <f t="shared" si="0"/>
        <v>1.7312448474855729E-2</v>
      </c>
      <c r="D17" s="693">
        <v>1192000</v>
      </c>
      <c r="E17" s="694">
        <f t="shared" si="1"/>
        <v>0.98268755152514431</v>
      </c>
      <c r="F17" s="695">
        <v>0</v>
      </c>
      <c r="G17" s="696">
        <f t="shared" si="2"/>
        <v>0</v>
      </c>
      <c r="H17" s="697">
        <f t="shared" si="3"/>
        <v>1213000</v>
      </c>
    </row>
    <row r="18" spans="1:18">
      <c r="A18" s="690">
        <v>1975</v>
      </c>
      <c r="B18" s="691">
        <v>3000</v>
      </c>
      <c r="C18" s="692">
        <f t="shared" si="0"/>
        <v>1.2605042016806723E-2</v>
      </c>
      <c r="D18" s="693">
        <v>235000</v>
      </c>
      <c r="E18" s="694">
        <f t="shared" si="1"/>
        <v>0.98739495798319332</v>
      </c>
      <c r="F18" s="695">
        <v>0</v>
      </c>
      <c r="G18" s="696">
        <f t="shared" si="2"/>
        <v>0</v>
      </c>
      <c r="H18" s="697">
        <f t="shared" si="3"/>
        <v>238000</v>
      </c>
    </row>
    <row r="19" spans="1:18">
      <c r="A19" s="690">
        <v>1976</v>
      </c>
      <c r="B19" s="691">
        <v>2000</v>
      </c>
      <c r="C19" s="692">
        <f t="shared" si="0"/>
        <v>3.5460992907801418E-3</v>
      </c>
      <c r="D19" s="693">
        <v>562000</v>
      </c>
      <c r="E19" s="694">
        <f t="shared" si="1"/>
        <v>0.99645390070921991</v>
      </c>
      <c r="F19" s="695">
        <v>0</v>
      </c>
      <c r="G19" s="696">
        <f t="shared" si="2"/>
        <v>0</v>
      </c>
      <c r="H19" s="697">
        <f t="shared" si="3"/>
        <v>564000</v>
      </c>
    </row>
    <row r="20" spans="1:18">
      <c r="A20" s="690">
        <v>1977</v>
      </c>
      <c r="B20" s="691">
        <v>4000</v>
      </c>
      <c r="C20" s="692">
        <f t="shared" si="0"/>
        <v>4.1493775933609959E-3</v>
      </c>
      <c r="D20" s="693">
        <v>960000</v>
      </c>
      <c r="E20" s="694">
        <f t="shared" si="1"/>
        <v>0.99585062240663902</v>
      </c>
      <c r="F20" s="695">
        <v>0</v>
      </c>
      <c r="G20" s="696">
        <f t="shared" si="2"/>
        <v>0</v>
      </c>
      <c r="H20" s="697">
        <f t="shared" si="3"/>
        <v>964000</v>
      </c>
    </row>
    <row r="21" spans="1:18">
      <c r="A21" s="690">
        <v>1978</v>
      </c>
      <c r="B21" s="691">
        <v>90000</v>
      </c>
      <c r="C21" s="692">
        <f t="shared" si="0"/>
        <v>9.4677046076162424E-3</v>
      </c>
      <c r="D21" s="693">
        <v>9416000</v>
      </c>
      <c r="E21" s="694">
        <f t="shared" si="1"/>
        <v>0.99053229539238374</v>
      </c>
      <c r="F21" s="695">
        <v>0</v>
      </c>
      <c r="G21" s="696">
        <f t="shared" si="2"/>
        <v>0</v>
      </c>
      <c r="H21" s="697">
        <f t="shared" si="3"/>
        <v>9506000</v>
      </c>
    </row>
    <row r="22" spans="1:18">
      <c r="A22" s="690">
        <v>1980</v>
      </c>
      <c r="B22" s="691">
        <v>22000</v>
      </c>
      <c r="C22" s="692">
        <f t="shared" si="0"/>
        <v>7.7301475755446238E-3</v>
      </c>
      <c r="D22" s="693">
        <v>2824000</v>
      </c>
      <c r="E22" s="694">
        <f t="shared" si="1"/>
        <v>0.99226985242445542</v>
      </c>
      <c r="F22" s="695">
        <v>0</v>
      </c>
      <c r="G22" s="696">
        <f t="shared" si="2"/>
        <v>0</v>
      </c>
      <c r="H22" s="697">
        <f t="shared" si="3"/>
        <v>2846000</v>
      </c>
    </row>
    <row r="23" spans="1:18">
      <c r="A23" s="690">
        <v>1986</v>
      </c>
      <c r="B23" s="691">
        <v>85000</v>
      </c>
      <c r="C23" s="692">
        <f t="shared" si="0"/>
        <v>6.2239144760928462E-3</v>
      </c>
      <c r="D23" s="693">
        <v>13572000</v>
      </c>
      <c r="E23" s="694">
        <f t="shared" si="1"/>
        <v>0.99377608552390717</v>
      </c>
      <c r="F23" s="695">
        <v>0</v>
      </c>
      <c r="G23" s="696">
        <f t="shared" si="2"/>
        <v>0</v>
      </c>
      <c r="H23" s="697">
        <f t="shared" si="3"/>
        <v>13657000</v>
      </c>
    </row>
    <row r="24" spans="1:18">
      <c r="A24" s="690">
        <v>1990</v>
      </c>
      <c r="B24" s="691">
        <v>0</v>
      </c>
      <c r="C24" s="692">
        <f t="shared" si="0"/>
        <v>0</v>
      </c>
      <c r="D24" s="693">
        <v>65000</v>
      </c>
      <c r="E24" s="694">
        <f t="shared" si="1"/>
        <v>1</v>
      </c>
      <c r="F24" s="695">
        <v>0</v>
      </c>
      <c r="G24" s="696">
        <f t="shared" si="2"/>
        <v>0</v>
      </c>
      <c r="H24" s="697">
        <f t="shared" si="3"/>
        <v>65000</v>
      </c>
    </row>
    <row r="25" spans="1:18">
      <c r="A25" s="690">
        <v>1991</v>
      </c>
      <c r="B25" s="691">
        <v>579000</v>
      </c>
      <c r="C25" s="692">
        <f t="shared" si="0"/>
        <v>9.0725332581206228E-3</v>
      </c>
      <c r="D25" s="693">
        <v>15560000</v>
      </c>
      <c r="E25" s="694">
        <f t="shared" si="1"/>
        <v>0.24381453799025368</v>
      </c>
      <c r="F25" s="695">
        <v>47680000</v>
      </c>
      <c r="G25" s="696">
        <f t="shared" si="2"/>
        <v>0.74711292875162572</v>
      </c>
      <c r="H25" s="697">
        <f t="shared" si="3"/>
        <v>63819000</v>
      </c>
    </row>
    <row r="26" spans="1:18">
      <c r="A26" s="690">
        <v>1993</v>
      </c>
      <c r="B26" s="691">
        <v>233000</v>
      </c>
      <c r="C26" s="692">
        <f t="shared" si="0"/>
        <v>1</v>
      </c>
      <c r="D26" s="693">
        <v>0</v>
      </c>
      <c r="E26" s="694">
        <f t="shared" si="1"/>
        <v>0</v>
      </c>
      <c r="F26" s="695">
        <v>0</v>
      </c>
      <c r="G26" s="696">
        <f t="shared" si="2"/>
        <v>0</v>
      </c>
      <c r="H26" s="697">
        <f t="shared" si="3"/>
        <v>233000</v>
      </c>
    </row>
    <row r="27" spans="1:18">
      <c r="A27" s="690">
        <v>1995</v>
      </c>
      <c r="B27" s="691">
        <v>374000</v>
      </c>
      <c r="C27" s="692">
        <f t="shared" si="0"/>
        <v>1</v>
      </c>
      <c r="D27" s="693">
        <v>0</v>
      </c>
      <c r="E27" s="694">
        <f t="shared" si="1"/>
        <v>0</v>
      </c>
      <c r="F27" s="695">
        <v>0</v>
      </c>
      <c r="G27" s="696">
        <f t="shared" si="2"/>
        <v>0</v>
      </c>
      <c r="H27" s="697">
        <f t="shared" si="3"/>
        <v>374000</v>
      </c>
    </row>
    <row r="28" spans="1:18">
      <c r="A28" s="690">
        <v>1997</v>
      </c>
      <c r="B28" s="691">
        <v>91000</v>
      </c>
      <c r="C28" s="692">
        <f t="shared" si="0"/>
        <v>5.3757088846880909E-3</v>
      </c>
      <c r="D28" s="693">
        <v>0</v>
      </c>
      <c r="E28" s="694">
        <f t="shared" si="1"/>
        <v>0</v>
      </c>
      <c r="F28" s="695">
        <v>16837000</v>
      </c>
      <c r="G28" s="696">
        <f t="shared" si="2"/>
        <v>0.99462429111531192</v>
      </c>
      <c r="H28" s="697">
        <f t="shared" si="3"/>
        <v>16928000</v>
      </c>
    </row>
    <row r="29" spans="1:18">
      <c r="A29" s="690">
        <v>1998</v>
      </c>
      <c r="B29" s="691">
        <v>193000</v>
      </c>
      <c r="C29" s="692">
        <f t="shared" si="0"/>
        <v>1</v>
      </c>
      <c r="D29" s="693">
        <v>0</v>
      </c>
      <c r="E29" s="694">
        <f t="shared" si="1"/>
        <v>0</v>
      </c>
      <c r="F29" s="695">
        <v>0</v>
      </c>
      <c r="G29" s="696">
        <f t="shared" si="2"/>
        <v>0</v>
      </c>
      <c r="H29" s="697">
        <f t="shared" si="3"/>
        <v>193000</v>
      </c>
    </row>
    <row r="30" spans="1:18">
      <c r="A30" s="690">
        <v>1999</v>
      </c>
      <c r="B30" s="691">
        <v>0</v>
      </c>
      <c r="C30" s="692">
        <f t="shared" si="0"/>
        <v>0</v>
      </c>
      <c r="D30" s="693">
        <v>0</v>
      </c>
      <c r="E30" s="694">
        <f t="shared" si="1"/>
        <v>0</v>
      </c>
      <c r="F30" s="695">
        <v>9595000</v>
      </c>
      <c r="G30" s="696">
        <f t="shared" si="2"/>
        <v>1</v>
      </c>
      <c r="H30" s="697">
        <f t="shared" si="3"/>
        <v>9595000</v>
      </c>
    </row>
    <row r="31" spans="1:18">
      <c r="A31" s="690">
        <v>2000</v>
      </c>
      <c r="B31" s="691">
        <v>0</v>
      </c>
      <c r="C31" s="692">
        <f t="shared" si="0"/>
        <v>0</v>
      </c>
      <c r="D31" s="693">
        <v>0</v>
      </c>
      <c r="E31" s="694">
        <f t="shared" si="1"/>
        <v>0</v>
      </c>
      <c r="F31" s="695">
        <v>11839000</v>
      </c>
      <c r="G31" s="696">
        <f t="shared" si="2"/>
        <v>1</v>
      </c>
      <c r="H31" s="697">
        <f t="shared" si="3"/>
        <v>11839000</v>
      </c>
    </row>
    <row r="32" spans="1:18" s="10" customFormat="1">
      <c r="A32" s="690">
        <v>2001</v>
      </c>
      <c r="B32" s="691">
        <v>57000</v>
      </c>
      <c r="C32" s="692">
        <f t="shared" si="0"/>
        <v>1</v>
      </c>
      <c r="D32" s="693">
        <v>0</v>
      </c>
      <c r="E32" s="694">
        <f t="shared" si="1"/>
        <v>0</v>
      </c>
      <c r="F32" s="695">
        <v>0</v>
      </c>
      <c r="G32" s="696">
        <f t="shared" si="2"/>
        <v>0</v>
      </c>
      <c r="H32" s="697">
        <f t="shared" si="3"/>
        <v>57000</v>
      </c>
      <c r="I32"/>
      <c r="J32"/>
      <c r="K32"/>
      <c r="L32"/>
      <c r="M32"/>
      <c r="N32"/>
      <c r="O32"/>
      <c r="P32"/>
      <c r="Q32"/>
      <c r="R32"/>
    </row>
    <row r="33" spans="1:26" s="10" customFormat="1">
      <c r="A33" s="690">
        <v>2003</v>
      </c>
      <c r="B33" s="691">
        <v>0</v>
      </c>
      <c r="C33" s="692">
        <f t="shared" si="0"/>
        <v>0</v>
      </c>
      <c r="D33" s="693">
        <v>0</v>
      </c>
      <c r="E33" s="694">
        <f t="shared" si="1"/>
        <v>0</v>
      </c>
      <c r="F33" s="695">
        <v>89948000</v>
      </c>
      <c r="G33" s="696">
        <f t="shared" si="2"/>
        <v>1</v>
      </c>
      <c r="H33" s="697">
        <f t="shared" si="3"/>
        <v>89948000</v>
      </c>
      <c r="I33"/>
      <c r="J33"/>
      <c r="K33"/>
      <c r="L33"/>
      <c r="M33"/>
      <c r="N33"/>
      <c r="O33"/>
      <c r="P33"/>
      <c r="Q33"/>
      <c r="R33"/>
    </row>
    <row r="34" spans="1:26">
      <c r="A34" s="690">
        <v>2005</v>
      </c>
      <c r="B34" s="691">
        <v>0</v>
      </c>
      <c r="C34" s="692">
        <f t="shared" si="0"/>
        <v>0</v>
      </c>
      <c r="D34" s="693">
        <v>0</v>
      </c>
      <c r="E34" s="694">
        <f t="shared" si="1"/>
        <v>0</v>
      </c>
      <c r="F34" s="695">
        <v>17115000</v>
      </c>
      <c r="G34" s="696">
        <f t="shared" si="2"/>
        <v>1</v>
      </c>
      <c r="H34" s="697">
        <f t="shared" si="3"/>
        <v>17115000</v>
      </c>
      <c r="S34" s="10"/>
      <c r="T34" s="10"/>
      <c r="U34" s="10"/>
      <c r="V34" s="10"/>
      <c r="W34" s="10"/>
      <c r="X34" s="10"/>
      <c r="Y34" s="10"/>
      <c r="Z34" s="10"/>
    </row>
    <row r="35" spans="1:26">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9" thickBot="1">
      <c r="A36" s="689" t="s">
        <v>779</v>
      </c>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5">
      <c r="A37" s="698" t="s">
        <v>780</v>
      </c>
      <c r="B37" s="699">
        <v>39803</v>
      </c>
      <c r="C37" s="699">
        <v>39437</v>
      </c>
      <c r="D37" s="700">
        <v>39072</v>
      </c>
      <c r="E37" s="10"/>
      <c r="F37" s="10"/>
      <c r="G37" s="10"/>
      <c r="H37" s="10"/>
      <c r="I37" s="10"/>
      <c r="J37" s="10"/>
      <c r="K37" s="10"/>
      <c r="L37" s="10"/>
      <c r="M37" s="10"/>
      <c r="N37" s="10"/>
      <c r="O37" s="10"/>
      <c r="P37" s="10"/>
      <c r="Q37" s="10"/>
      <c r="R37" s="10"/>
      <c r="S37" s="10"/>
      <c r="T37" s="10"/>
      <c r="U37" s="10"/>
      <c r="V37" s="10"/>
      <c r="W37" s="10"/>
      <c r="X37" s="10"/>
      <c r="Y37" s="10"/>
      <c r="Z37" s="10"/>
    </row>
    <row r="38" spans="1:26">
      <c r="A38" s="701" t="s">
        <v>781</v>
      </c>
      <c r="B38" s="702"/>
      <c r="C38" s="702"/>
      <c r="D38" s="703"/>
      <c r="E38" s="10"/>
      <c r="F38" s="10"/>
      <c r="G38" s="10"/>
      <c r="H38" s="10"/>
      <c r="I38" s="10"/>
      <c r="J38" s="10"/>
      <c r="K38" s="10"/>
      <c r="L38" s="10"/>
      <c r="M38" s="10"/>
      <c r="N38" s="10"/>
      <c r="O38" s="10"/>
      <c r="P38" s="10"/>
      <c r="Q38" s="10"/>
      <c r="R38" s="10"/>
      <c r="S38" s="10"/>
      <c r="T38" s="10"/>
      <c r="U38" s="10"/>
      <c r="V38" s="10"/>
      <c r="W38" s="10"/>
      <c r="X38" s="10"/>
      <c r="Y38" s="10"/>
      <c r="Z38" s="10"/>
    </row>
    <row r="39" spans="1:26" ht="16" thickBot="1">
      <c r="A39" s="704" t="s">
        <v>782</v>
      </c>
      <c r="B39" s="702">
        <v>2141407</v>
      </c>
      <c r="C39" s="702">
        <v>1489793</v>
      </c>
      <c r="D39" s="703">
        <v>862977</v>
      </c>
      <c r="E39" s="10"/>
      <c r="F39" s="600" t="s">
        <v>783</v>
      </c>
      <c r="G39" s="10"/>
      <c r="H39" s="705"/>
      <c r="I39" s="705"/>
      <c r="J39" s="10"/>
      <c r="K39" s="10"/>
      <c r="L39" s="10"/>
      <c r="M39" s="10"/>
      <c r="N39" s="10"/>
      <c r="O39" s="10"/>
      <c r="P39" s="10"/>
      <c r="Q39" s="10"/>
      <c r="R39" s="10"/>
      <c r="S39" s="10"/>
      <c r="T39" s="10"/>
      <c r="U39" s="10"/>
      <c r="V39" s="10"/>
      <c r="W39" s="10"/>
      <c r="X39" s="10"/>
      <c r="Y39" s="10"/>
      <c r="Z39" s="10"/>
    </row>
    <row r="40" spans="1:26">
      <c r="A40" s="704" t="s">
        <v>784</v>
      </c>
      <c r="B40" s="702">
        <v>2555783</v>
      </c>
      <c r="C40" s="702">
        <v>905378</v>
      </c>
      <c r="D40" s="703">
        <v>897020</v>
      </c>
      <c r="E40" s="10"/>
      <c r="F40" s="706" t="s">
        <v>785</v>
      </c>
      <c r="G40" s="707"/>
      <c r="H40" s="708"/>
      <c r="I40" s="709"/>
      <c r="J40" s="10"/>
      <c r="K40" s="10"/>
      <c r="L40" s="10"/>
      <c r="M40" s="10"/>
      <c r="N40" s="10"/>
      <c r="O40" s="10"/>
      <c r="P40" s="10"/>
      <c r="Q40" s="10"/>
      <c r="R40" s="10"/>
      <c r="S40" s="10"/>
      <c r="T40" s="10"/>
      <c r="U40" s="10"/>
      <c r="V40" s="10"/>
      <c r="W40" s="10"/>
      <c r="X40" s="10"/>
      <c r="Y40" s="10"/>
      <c r="Z40" s="10"/>
    </row>
    <row r="41" spans="1:26">
      <c r="A41" s="701"/>
      <c r="B41" s="710">
        <f>SUM(B39:B40)</f>
        <v>4697190</v>
      </c>
      <c r="C41" s="710">
        <f>SUM(C39:C40)</f>
        <v>2395171</v>
      </c>
      <c r="D41" s="711">
        <f>SUM(D39:D40)</f>
        <v>1759997</v>
      </c>
      <c r="E41" s="10"/>
      <c r="F41" s="704" t="s">
        <v>786</v>
      </c>
      <c r="G41" s="702">
        <v>158875</v>
      </c>
      <c r="H41" s="702">
        <v>158875</v>
      </c>
      <c r="I41" s="703">
        <v>153872</v>
      </c>
      <c r="J41" s="10"/>
      <c r="K41" s="10"/>
      <c r="L41" s="10"/>
      <c r="M41" s="10"/>
      <c r="N41" s="10"/>
      <c r="O41" s="10"/>
      <c r="P41" s="10"/>
      <c r="Q41" s="10"/>
      <c r="R41" s="10"/>
      <c r="S41" s="10"/>
      <c r="T41" s="10"/>
      <c r="U41" s="10"/>
      <c r="V41" s="10"/>
      <c r="W41" s="10"/>
      <c r="X41" s="10"/>
      <c r="Y41" s="10"/>
      <c r="Z41" s="10"/>
    </row>
    <row r="42" spans="1:26">
      <c r="A42" s="701" t="s">
        <v>787</v>
      </c>
      <c r="B42" s="710">
        <v>588754</v>
      </c>
      <c r="C42" s="710">
        <v>345602</v>
      </c>
      <c r="D42" s="711">
        <v>344203</v>
      </c>
      <c r="E42" s="10"/>
      <c r="F42" s="704" t="s">
        <v>788</v>
      </c>
      <c r="G42" s="702">
        <v>2758888</v>
      </c>
      <c r="H42" s="702">
        <v>2551450</v>
      </c>
      <c r="I42" s="703">
        <v>1723848</v>
      </c>
      <c r="J42" s="10"/>
      <c r="K42" s="10"/>
      <c r="L42" s="10"/>
      <c r="M42" s="10"/>
      <c r="N42" s="10"/>
      <c r="O42" s="10"/>
      <c r="P42" s="10"/>
      <c r="Q42" s="10"/>
      <c r="R42" s="10"/>
      <c r="S42" s="10"/>
      <c r="T42" s="10"/>
      <c r="U42" s="10"/>
      <c r="V42" s="10"/>
      <c r="W42" s="10"/>
      <c r="X42" s="10"/>
      <c r="Y42" s="10"/>
      <c r="Z42" s="10"/>
    </row>
    <row r="43" spans="1:26">
      <c r="A43" s="701" t="s">
        <v>789</v>
      </c>
      <c r="B43" s="702"/>
      <c r="C43" s="702"/>
      <c r="D43" s="703"/>
      <c r="E43" s="10"/>
      <c r="F43" s="704" t="s">
        <v>790</v>
      </c>
      <c r="G43" s="702">
        <v>-361038</v>
      </c>
      <c r="H43" s="702">
        <v>207438</v>
      </c>
      <c r="I43" s="703">
        <v>175926</v>
      </c>
      <c r="J43" s="10"/>
      <c r="K43" s="10"/>
      <c r="L43" s="10"/>
      <c r="M43" s="10"/>
      <c r="N43" s="10"/>
      <c r="O43" s="10"/>
      <c r="P43" s="10"/>
      <c r="Q43" s="10"/>
      <c r="R43" s="10"/>
      <c r="S43" s="10"/>
      <c r="T43" s="10"/>
      <c r="U43" s="10"/>
      <c r="V43" s="10"/>
      <c r="W43" s="10"/>
      <c r="X43" s="10"/>
      <c r="Y43" s="10"/>
      <c r="Z43" s="10"/>
    </row>
    <row r="44" spans="1:26">
      <c r="A44" s="704" t="s">
        <v>791</v>
      </c>
      <c r="B44" s="702">
        <v>203600</v>
      </c>
      <c r="C44" s="702">
        <v>198240</v>
      </c>
      <c r="D44" s="703">
        <v>189562</v>
      </c>
      <c r="E44" s="10"/>
      <c r="F44" s="704" t="s">
        <v>792</v>
      </c>
      <c r="G44" s="702">
        <v>-304217</v>
      </c>
      <c r="H44" s="702">
        <v>-39645</v>
      </c>
      <c r="I44" s="703">
        <v>-16918</v>
      </c>
      <c r="J44" s="10"/>
      <c r="K44" s="10"/>
      <c r="L44" s="10"/>
      <c r="M44" s="10"/>
      <c r="N44" s="10"/>
      <c r="O44" s="10"/>
      <c r="P44" s="10"/>
      <c r="Q44" s="10"/>
      <c r="R44" s="10"/>
      <c r="S44" s="10"/>
      <c r="T44" s="10"/>
      <c r="U44" s="10"/>
      <c r="V44" s="10"/>
      <c r="W44" s="10"/>
      <c r="X44" s="10"/>
      <c r="Y44" s="10"/>
      <c r="Z44" s="10"/>
    </row>
    <row r="45" spans="1:26">
      <c r="A45" s="704" t="s">
        <v>793</v>
      </c>
      <c r="B45" s="702">
        <v>1100</v>
      </c>
      <c r="C45" s="702">
        <v>800</v>
      </c>
      <c r="D45" s="703">
        <v>2403</v>
      </c>
      <c r="E45" s="10"/>
      <c r="F45" s="701" t="s">
        <v>794</v>
      </c>
      <c r="G45" s="710">
        <f>SUM(G41:G44)</f>
        <v>2252508</v>
      </c>
      <c r="H45" s="710">
        <f>SUM(H41:H44)</f>
        <v>2878118</v>
      </c>
      <c r="I45" s="711">
        <f>SUM(I41:I44)</f>
        <v>2036728</v>
      </c>
      <c r="J45" s="10"/>
      <c r="K45" s="10"/>
      <c r="L45" s="10"/>
      <c r="M45" s="10"/>
      <c r="N45" s="10"/>
      <c r="O45" s="10"/>
      <c r="P45" s="10"/>
      <c r="Q45" s="10"/>
      <c r="R45" s="10"/>
      <c r="S45" s="10"/>
      <c r="T45" s="10"/>
      <c r="U45" s="10"/>
      <c r="V45" s="10"/>
      <c r="W45" s="10"/>
      <c r="X45" s="10"/>
      <c r="Y45" s="10"/>
      <c r="Z45" s="10"/>
    </row>
    <row r="46" spans="1:26">
      <c r="A46" s="704" t="s">
        <v>795</v>
      </c>
      <c r="B46" s="702">
        <v>87500</v>
      </c>
      <c r="C46" s="702">
        <v>10389</v>
      </c>
      <c r="D46" s="703">
        <v>7936</v>
      </c>
      <c r="E46" s="10"/>
      <c r="F46" s="704" t="s">
        <v>796</v>
      </c>
      <c r="G46" s="702">
        <v>1222636</v>
      </c>
      <c r="H46" s="702">
        <v>540203</v>
      </c>
      <c r="I46" s="703">
        <v>496230</v>
      </c>
      <c r="J46" s="10"/>
      <c r="K46" s="10"/>
      <c r="L46" s="10"/>
      <c r="M46" s="10"/>
      <c r="N46" s="10"/>
      <c r="O46" s="10"/>
      <c r="P46" s="10"/>
      <c r="Q46" s="10"/>
      <c r="R46" s="10"/>
      <c r="S46" s="10"/>
      <c r="T46" s="10"/>
      <c r="U46" s="10"/>
      <c r="V46" s="10"/>
      <c r="W46" s="10"/>
      <c r="X46" s="10"/>
      <c r="Y46" s="10"/>
      <c r="Z46" s="10"/>
    </row>
    <row r="47" spans="1:26">
      <c r="A47" s="701" t="s">
        <v>797</v>
      </c>
      <c r="B47" s="710">
        <f>SUM(B41,B42,B44:B46)</f>
        <v>5578144</v>
      </c>
      <c r="C47" s="710">
        <f>SUM(C41,C42,C44:C46)</f>
        <v>2950202</v>
      </c>
      <c r="D47" s="711">
        <f>SUM(D41,D42,D44:D46)</f>
        <v>2304101</v>
      </c>
      <c r="E47" s="10"/>
      <c r="F47" s="704" t="s">
        <v>798</v>
      </c>
      <c r="G47" s="702">
        <v>575359</v>
      </c>
      <c r="H47" s="702">
        <v>243024</v>
      </c>
      <c r="I47" s="703">
        <v>178416</v>
      </c>
      <c r="J47" s="10"/>
      <c r="K47" s="10"/>
      <c r="L47" s="10"/>
      <c r="M47" s="10"/>
      <c r="N47" s="10"/>
      <c r="O47" s="10"/>
      <c r="P47" s="10"/>
      <c r="Q47" s="10"/>
      <c r="R47" s="10"/>
      <c r="S47" s="10"/>
      <c r="T47" s="10"/>
      <c r="U47" s="10"/>
      <c r="V47" s="10"/>
      <c r="W47" s="10"/>
      <c r="X47" s="10"/>
      <c r="Y47" s="10"/>
      <c r="Z47" s="10"/>
    </row>
    <row r="48" spans="1:26">
      <c r="A48" s="704" t="s">
        <v>799</v>
      </c>
      <c r="B48" s="702">
        <v>189056</v>
      </c>
      <c r="C48" s="702">
        <v>178365</v>
      </c>
      <c r="D48" s="703">
        <v>181309</v>
      </c>
      <c r="E48" s="10"/>
      <c r="F48" s="704" t="s">
        <v>799</v>
      </c>
      <c r="G48" s="702">
        <v>1500570</v>
      </c>
      <c r="H48" s="702">
        <v>210367</v>
      </c>
      <c r="I48" s="703">
        <v>11045</v>
      </c>
      <c r="J48" s="10"/>
      <c r="K48" s="10"/>
      <c r="L48" s="10"/>
      <c r="M48" s="10"/>
      <c r="N48" s="10"/>
      <c r="O48" s="10"/>
      <c r="P48" s="10"/>
      <c r="Q48" s="10"/>
      <c r="R48" s="10"/>
      <c r="S48" s="10"/>
      <c r="T48" s="10"/>
      <c r="U48" s="10"/>
      <c r="V48" s="10"/>
      <c r="W48" s="10"/>
      <c r="X48" s="10"/>
      <c r="Y48" s="10"/>
      <c r="Z48" s="10"/>
    </row>
    <row r="49" spans="1:26">
      <c r="A49" s="704" t="s">
        <v>800</v>
      </c>
      <c r="B49" s="702">
        <v>310965</v>
      </c>
      <c r="C49" s="702">
        <v>294672</v>
      </c>
      <c r="D49" s="703">
        <v>165286</v>
      </c>
      <c r="E49" s="10"/>
      <c r="F49" s="704" t="s">
        <v>801</v>
      </c>
      <c r="G49" s="702">
        <v>278790</v>
      </c>
      <c r="H49" s="702">
        <v>228502</v>
      </c>
      <c r="I49" s="703">
        <v>257109</v>
      </c>
      <c r="J49" s="10"/>
      <c r="K49" s="10"/>
      <c r="L49" s="10"/>
      <c r="M49" s="10"/>
      <c r="N49" s="10"/>
      <c r="O49" s="10"/>
      <c r="P49" s="10"/>
      <c r="Q49" s="10"/>
      <c r="R49" s="10"/>
      <c r="S49" s="10"/>
      <c r="T49" s="10"/>
      <c r="U49" s="10"/>
      <c r="V49" s="10"/>
      <c r="W49" s="10"/>
      <c r="X49" s="10"/>
      <c r="Y49" s="10"/>
      <c r="Z49" s="10"/>
    </row>
    <row r="50" spans="1:26">
      <c r="A50" s="704" t="s">
        <v>802</v>
      </c>
      <c r="B50" s="702">
        <v>474004</v>
      </c>
      <c r="C50" s="702">
        <v>646490</v>
      </c>
      <c r="D50" s="703">
        <v>492543</v>
      </c>
      <c r="E50" s="10"/>
      <c r="F50" s="704" t="s">
        <v>803</v>
      </c>
      <c r="G50" s="702">
        <v>492105</v>
      </c>
      <c r="H50" s="702">
        <v>325807</v>
      </c>
      <c r="I50" s="703">
        <v>276491</v>
      </c>
      <c r="J50" s="10"/>
      <c r="K50" s="10"/>
      <c r="L50" s="10"/>
      <c r="M50" s="10"/>
      <c r="N50" s="10"/>
      <c r="O50" s="10"/>
      <c r="P50" s="10"/>
      <c r="Q50" s="10"/>
      <c r="R50" s="10"/>
      <c r="S50" s="10"/>
      <c r="T50" s="10"/>
      <c r="U50" s="10"/>
      <c r="V50" s="10"/>
      <c r="W50" s="10"/>
      <c r="X50" s="10"/>
      <c r="Y50" s="10"/>
      <c r="Z50" s="10"/>
    </row>
    <row r="51" spans="1:26">
      <c r="A51" s="704" t="s">
        <v>804</v>
      </c>
      <c r="B51" s="702">
        <v>263872</v>
      </c>
      <c r="C51" s="702">
        <v>189325</v>
      </c>
      <c r="D51" s="703">
        <v>135629</v>
      </c>
      <c r="E51" s="10"/>
      <c r="F51" s="704" t="s">
        <v>805</v>
      </c>
      <c r="G51" s="702">
        <v>745048</v>
      </c>
      <c r="H51" s="702">
        <v>315446</v>
      </c>
      <c r="I51" s="703">
        <v>351972</v>
      </c>
      <c r="J51" s="10"/>
      <c r="K51" s="10"/>
      <c r="L51" s="10"/>
      <c r="M51" s="10"/>
      <c r="N51" s="10"/>
      <c r="O51" s="10"/>
      <c r="P51" s="10"/>
      <c r="Q51" s="10"/>
      <c r="R51" s="10"/>
      <c r="S51" s="10"/>
      <c r="T51" s="10"/>
      <c r="U51" s="10"/>
      <c r="V51" s="10"/>
      <c r="W51" s="10"/>
      <c r="X51" s="10"/>
      <c r="Y51" s="10"/>
      <c r="Z51" s="10"/>
    </row>
    <row r="52" spans="1:26" ht="15" thickBot="1">
      <c r="A52" s="704" t="s">
        <v>806</v>
      </c>
      <c r="B52" s="702">
        <v>95769</v>
      </c>
      <c r="C52" s="702">
        <v>322941</v>
      </c>
      <c r="D52" s="703">
        <v>294123</v>
      </c>
      <c r="E52" s="10"/>
      <c r="F52" s="712" t="s">
        <v>807</v>
      </c>
      <c r="G52" s="713">
        <f>SUM(G45:G51)</f>
        <v>7067016</v>
      </c>
      <c r="H52" s="713">
        <f>SUM(H45:H51)</f>
        <v>4741467</v>
      </c>
      <c r="I52" s="714">
        <f>SUM(I45:I51)</f>
        <v>3607991</v>
      </c>
      <c r="J52" s="10"/>
      <c r="K52" s="10"/>
      <c r="L52" s="10"/>
      <c r="M52" s="10"/>
      <c r="N52" s="10"/>
      <c r="O52" s="10"/>
      <c r="P52" s="10"/>
      <c r="Q52" s="10"/>
      <c r="R52" s="10"/>
      <c r="S52" s="10"/>
      <c r="T52" s="10"/>
      <c r="U52" s="10"/>
      <c r="V52" s="10"/>
      <c r="W52" s="10"/>
      <c r="X52" s="10"/>
      <c r="Y52" s="10"/>
      <c r="Z52" s="10"/>
    </row>
    <row r="53" spans="1:26" s="10" customFormat="1">
      <c r="A53" s="704" t="s">
        <v>808</v>
      </c>
      <c r="B53" s="702">
        <v>155206</v>
      </c>
      <c r="C53" s="702">
        <v>159472</v>
      </c>
      <c r="D53" s="703">
        <v>35000</v>
      </c>
    </row>
    <row r="54" spans="1:26">
      <c r="A54" s="701" t="s">
        <v>809</v>
      </c>
      <c r="B54" s="710">
        <f>SUM(B48:B53)</f>
        <v>1488872</v>
      </c>
      <c r="C54" s="710">
        <f>SUM(C48:C53)</f>
        <v>1791265</v>
      </c>
      <c r="D54" s="711">
        <f>SUM(D48:D53)</f>
        <v>1303890</v>
      </c>
      <c r="E54" s="10"/>
      <c r="F54" s="10"/>
      <c r="G54" s="10"/>
      <c r="H54" s="10"/>
      <c r="I54" s="10"/>
      <c r="J54" s="10"/>
      <c r="K54" s="10"/>
      <c r="L54" s="10"/>
      <c r="M54" s="10"/>
      <c r="N54" s="10"/>
      <c r="O54" s="10"/>
      <c r="P54" s="10"/>
      <c r="Q54" s="10"/>
      <c r="R54" s="10"/>
      <c r="S54" s="10"/>
      <c r="T54" s="10"/>
      <c r="U54" s="10"/>
      <c r="V54" s="10"/>
      <c r="W54" s="10"/>
      <c r="X54" s="10"/>
      <c r="Y54" s="10"/>
      <c r="Z54" s="10"/>
    </row>
    <row r="55" spans="1:26" ht="15" thickBot="1">
      <c r="A55" s="712" t="s">
        <v>810</v>
      </c>
      <c r="B55" s="713">
        <f>B54+B47</f>
        <v>7067016</v>
      </c>
      <c r="C55" s="713">
        <f>C54+C47</f>
        <v>4741467</v>
      </c>
      <c r="D55" s="714">
        <f>D54+D47</f>
        <v>3607991</v>
      </c>
      <c r="E55" s="10"/>
      <c r="F55" s="10"/>
      <c r="G55" s="10"/>
      <c r="H55" s="10"/>
      <c r="I55" s="10"/>
      <c r="J55" s="10"/>
      <c r="K55" s="10"/>
      <c r="L55" s="10"/>
      <c r="M55" s="10"/>
      <c r="N55" s="10"/>
      <c r="O55" s="10"/>
      <c r="P55" s="10"/>
      <c r="Q55" s="10"/>
      <c r="R55" s="10"/>
      <c r="S55" s="10"/>
      <c r="T55" s="10"/>
      <c r="U55" s="10"/>
      <c r="V55" s="10"/>
      <c r="W55" s="10"/>
      <c r="X55" s="10"/>
      <c r="Y55" s="10"/>
      <c r="Z55" s="10"/>
    </row>
    <row r="56" spans="1:26" ht="15" thickBot="1">
      <c r="A56" s="10"/>
      <c r="B56" s="705"/>
      <c r="C56" s="705"/>
      <c r="D56" s="705"/>
      <c r="E56" s="10"/>
      <c r="F56" s="10"/>
      <c r="G56" s="10"/>
      <c r="H56" s="10"/>
      <c r="I56" s="10"/>
      <c r="J56" s="10"/>
      <c r="K56" s="10"/>
      <c r="L56" s="10"/>
      <c r="M56" s="10"/>
      <c r="N56" s="10"/>
      <c r="O56" s="10"/>
      <c r="P56" s="10"/>
      <c r="Q56" s="10"/>
      <c r="R56" s="10"/>
      <c r="S56" s="10"/>
      <c r="T56" s="10"/>
      <c r="U56" s="10"/>
      <c r="V56" s="10"/>
      <c r="W56" s="10"/>
      <c r="X56" s="10"/>
      <c r="Y56" s="10"/>
      <c r="Z56" s="10"/>
    </row>
    <row r="57" spans="1:26" ht="24" thickBot="1">
      <c r="E57" s="10"/>
      <c r="F57" s="682" t="s">
        <v>811</v>
      </c>
      <c r="G57" s="715"/>
      <c r="H57" s="10"/>
      <c r="I57" s="10"/>
      <c r="J57" s="10"/>
      <c r="K57" s="10"/>
      <c r="L57" s="10"/>
      <c r="M57" s="10"/>
      <c r="N57" s="10"/>
      <c r="O57" s="10"/>
      <c r="P57" s="10"/>
      <c r="Q57" s="10"/>
      <c r="R57" s="10"/>
      <c r="S57" s="10"/>
      <c r="T57" s="10"/>
      <c r="U57" s="10"/>
      <c r="V57" s="10"/>
      <c r="W57" s="10"/>
      <c r="X57" s="10"/>
      <c r="Y57" s="10"/>
      <c r="Z57" s="10"/>
    </row>
    <row r="58" spans="1:26" ht="15" thickBot="1">
      <c r="A58" s="716"/>
      <c r="B58" s="717">
        <v>2008</v>
      </c>
      <c r="C58" s="718">
        <v>2007</v>
      </c>
      <c r="D58" s="719">
        <v>2006</v>
      </c>
      <c r="E58" s="10"/>
      <c r="F58" s="10"/>
      <c r="G58" s="10"/>
      <c r="H58" s="10"/>
      <c r="I58" s="10"/>
      <c r="J58" s="10"/>
      <c r="K58" s="10"/>
      <c r="L58" s="10"/>
      <c r="M58" s="10"/>
      <c r="N58" s="10"/>
      <c r="O58" s="10"/>
      <c r="P58" s="10"/>
      <c r="Q58" s="10"/>
      <c r="R58" s="10"/>
      <c r="S58" s="10"/>
      <c r="T58" s="10"/>
      <c r="U58" s="10"/>
      <c r="V58" s="10"/>
      <c r="W58" s="10"/>
      <c r="X58" s="10"/>
      <c r="Y58" s="10"/>
      <c r="Z58" s="10"/>
    </row>
    <row r="59" spans="1:26" ht="15" thickBot="1">
      <c r="A59" s="720" t="s">
        <v>812</v>
      </c>
      <c r="B59" s="721">
        <f>G52</f>
        <v>7067016</v>
      </c>
      <c r="C59" s="722">
        <f>H52</f>
        <v>4741467</v>
      </c>
      <c r="D59" s="723">
        <f>I52</f>
        <v>3607991</v>
      </c>
      <c r="E59" s="10"/>
      <c r="G59" s="717">
        <v>2008</v>
      </c>
      <c r="H59" s="718">
        <v>2007</v>
      </c>
      <c r="I59" s="719">
        <v>2006</v>
      </c>
      <c r="J59" s="10" t="s">
        <v>813</v>
      </c>
      <c r="K59" s="1075" t="s">
        <v>814</v>
      </c>
      <c r="L59" s="1075"/>
      <c r="M59" s="1075"/>
      <c r="N59" s="1075"/>
      <c r="O59" s="1075"/>
      <c r="P59" s="10"/>
      <c r="Q59" s="10"/>
      <c r="R59" s="10"/>
      <c r="S59" s="10"/>
      <c r="T59" s="10"/>
      <c r="U59" s="10"/>
      <c r="V59" s="10"/>
      <c r="W59" s="10"/>
      <c r="X59" s="10"/>
      <c r="Y59" s="10"/>
      <c r="Z59" s="10"/>
    </row>
    <row r="60" spans="1:26">
      <c r="A60" s="724" t="s">
        <v>785</v>
      </c>
      <c r="B60" s="725">
        <f>G45</f>
        <v>2252508</v>
      </c>
      <c r="C60" s="726">
        <f>H45</f>
        <v>2878118</v>
      </c>
      <c r="D60" s="727">
        <f>I45</f>
        <v>2036728</v>
      </c>
      <c r="E60" s="10"/>
      <c r="F60" s="706" t="s">
        <v>815</v>
      </c>
      <c r="G60" s="728">
        <f>(B59-B60)/B61</f>
        <v>0.68126462427706402</v>
      </c>
      <c r="H60" s="729">
        <f>(C59-C60)/C61</f>
        <v>0.39298997546539921</v>
      </c>
      <c r="I60" s="730">
        <f>(D59-D60)/D61</f>
        <v>0.43549526592499815</v>
      </c>
      <c r="J60" s="731" t="s">
        <v>816</v>
      </c>
      <c r="K60" s="1076" t="s">
        <v>817</v>
      </c>
      <c r="L60" s="1076"/>
      <c r="M60" s="1076"/>
      <c r="N60" s="1076"/>
      <c r="O60" s="1076"/>
      <c r="P60" s="1077"/>
      <c r="Q60" s="10"/>
      <c r="R60" s="10"/>
      <c r="S60" s="10"/>
      <c r="T60" s="10"/>
      <c r="U60" s="10"/>
      <c r="V60" s="10"/>
      <c r="W60" s="10"/>
      <c r="X60" s="10"/>
      <c r="Y60" s="10"/>
      <c r="Z60" s="10"/>
    </row>
    <row r="61" spans="1:26" s="10" customFormat="1">
      <c r="A61" s="724" t="s">
        <v>818</v>
      </c>
      <c r="B61" s="725">
        <f>G52</f>
        <v>7067016</v>
      </c>
      <c r="C61" s="726">
        <f>H52</f>
        <v>4741467</v>
      </c>
      <c r="D61" s="727">
        <f>I52</f>
        <v>3607991</v>
      </c>
      <c r="F61" s="701" t="s">
        <v>819</v>
      </c>
      <c r="G61" s="732">
        <f>B60/B61</f>
        <v>0.31873537572293598</v>
      </c>
      <c r="H61" s="733">
        <f>C60/C61</f>
        <v>0.60701002453460073</v>
      </c>
      <c r="I61" s="734">
        <f>D60/D61</f>
        <v>0.5645047340750019</v>
      </c>
      <c r="J61" s="735" t="s">
        <v>820</v>
      </c>
      <c r="K61" s="1078" t="s">
        <v>821</v>
      </c>
      <c r="L61" s="1078"/>
      <c r="M61" s="1078"/>
      <c r="N61" s="1078"/>
      <c r="O61" s="1078"/>
      <c r="P61" s="1079"/>
    </row>
    <row r="62" spans="1:26" s="10" customFormat="1" ht="15" thickBot="1">
      <c r="A62" s="724" t="s">
        <v>822</v>
      </c>
      <c r="B62" s="725">
        <f>SUM(G46:G47)</f>
        <v>1797995</v>
      </c>
      <c r="C62" s="726">
        <f>SUM(H46:H47)</f>
        <v>783227</v>
      </c>
      <c r="D62" s="727">
        <f>SUM(I46:I47)</f>
        <v>674646</v>
      </c>
      <c r="F62" s="701" t="s">
        <v>823</v>
      </c>
      <c r="G62" s="732">
        <f>B60/(B60+B62)</f>
        <v>0.556105747854032</v>
      </c>
      <c r="H62" s="733">
        <f>C60/(C60+C62)</f>
        <v>0.78608216379499884</v>
      </c>
      <c r="I62" s="734">
        <f>D60/(D60+D62)</f>
        <v>0.75117929138510586</v>
      </c>
      <c r="J62" s="735" t="s">
        <v>824</v>
      </c>
      <c r="K62" s="1078" t="s">
        <v>825</v>
      </c>
      <c r="L62" s="1078"/>
      <c r="M62" s="1078"/>
      <c r="N62" s="1078"/>
      <c r="O62" s="1078"/>
      <c r="P62" s="1079"/>
    </row>
    <row r="63" spans="1:26" s="683" customFormat="1" ht="15" thickBot="1">
      <c r="A63" s="736" t="s">
        <v>523</v>
      </c>
      <c r="B63" s="737">
        <f>G43</f>
        <v>-361038</v>
      </c>
      <c r="C63" s="738">
        <f>H43</f>
        <v>207438</v>
      </c>
      <c r="D63" s="739">
        <f>I43</f>
        <v>175926</v>
      </c>
      <c r="E63" s="10"/>
      <c r="F63" s="740" t="s">
        <v>826</v>
      </c>
      <c r="G63" s="741">
        <f>B63/B60</f>
        <v>-0.16028267158207651</v>
      </c>
      <c r="H63" s="742">
        <f>C63/C60</f>
        <v>7.2074181809084967E-2</v>
      </c>
      <c r="I63" s="743">
        <f>D63/D60</f>
        <v>8.6376776869567268E-2</v>
      </c>
      <c r="J63" s="744"/>
      <c r="K63" s="1080" t="s">
        <v>827</v>
      </c>
      <c r="L63" s="1080"/>
      <c r="M63" s="1080"/>
      <c r="N63" s="1080"/>
      <c r="O63" s="1080"/>
      <c r="P63" s="1081"/>
      <c r="Q63" s="10"/>
      <c r="R63" s="10"/>
    </row>
    <row r="64" spans="1:26" s="10" customFormat="1"/>
    <row r="65" spans="1:22" ht="15" thickBot="1">
      <c r="A65" s="10"/>
      <c r="B65" s="10"/>
      <c r="C65" s="10"/>
      <c r="D65" s="10"/>
      <c r="E65" s="10"/>
      <c r="F65" s="10"/>
      <c r="G65" s="10"/>
      <c r="H65" s="10"/>
      <c r="I65" s="10"/>
      <c r="J65" s="10"/>
      <c r="K65" s="10"/>
      <c r="L65" s="10"/>
      <c r="M65" s="10"/>
      <c r="N65" s="10"/>
      <c r="O65" s="10"/>
      <c r="P65" s="10"/>
      <c r="Q65" s="10"/>
      <c r="R65" s="10"/>
      <c r="S65" s="10"/>
      <c r="T65" s="10"/>
      <c r="U65" s="10"/>
      <c r="V65" s="10"/>
    </row>
    <row r="66" spans="1:22" ht="24" thickBot="1">
      <c r="A66" s="874" t="s">
        <v>828</v>
      </c>
      <c r="B66" s="875"/>
      <c r="C66" s="875"/>
      <c r="D66" s="875"/>
      <c r="E66" s="875"/>
      <c r="F66" s="875"/>
      <c r="G66" s="875"/>
      <c r="H66" s="875"/>
      <c r="I66" s="875"/>
      <c r="J66" s="875"/>
      <c r="K66" s="875"/>
      <c r="L66" s="875"/>
      <c r="M66" s="875"/>
      <c r="N66" s="875"/>
      <c r="O66" s="875"/>
      <c r="P66" s="875"/>
      <c r="Q66" s="875"/>
      <c r="R66" s="875"/>
      <c r="S66" s="10"/>
      <c r="T66" s="10"/>
      <c r="U66" s="10"/>
      <c r="V66" s="10"/>
    </row>
    <row r="67" spans="1:22" ht="15" thickBot="1">
      <c r="A67" s="10"/>
      <c r="B67" s="10"/>
      <c r="C67" s="10"/>
      <c r="D67" s="10"/>
      <c r="E67" s="10"/>
      <c r="F67" s="10"/>
      <c r="G67" s="10"/>
      <c r="H67" s="10"/>
      <c r="I67" s="10"/>
      <c r="J67" s="10"/>
      <c r="K67" s="10"/>
      <c r="L67" s="10"/>
      <c r="M67" s="10"/>
      <c r="N67" s="10"/>
      <c r="O67" s="10"/>
      <c r="P67" s="10"/>
      <c r="Q67" s="10"/>
      <c r="R67" s="10"/>
      <c r="S67" s="10"/>
      <c r="T67" s="10"/>
      <c r="U67" s="10"/>
      <c r="V67" s="10"/>
    </row>
    <row r="68" spans="1:22">
      <c r="A68" s="745" t="s">
        <v>718</v>
      </c>
      <c r="B68" s="746">
        <f>'Valeur de l''action'!L18</f>
        <v>26.03</v>
      </c>
      <c r="C68" s="10"/>
      <c r="D68" s="10"/>
      <c r="E68" s="10"/>
      <c r="F68" s="10"/>
      <c r="G68" s="10"/>
      <c r="H68" s="10"/>
      <c r="I68" s="10"/>
      <c r="J68" s="10" t="s">
        <v>829</v>
      </c>
      <c r="K68" s="10"/>
      <c r="L68" s="10"/>
      <c r="M68" s="10"/>
      <c r="N68" s="10"/>
      <c r="O68" s="10"/>
      <c r="P68" s="10"/>
      <c r="Q68" s="10"/>
      <c r="R68" s="10"/>
      <c r="S68" s="10"/>
      <c r="T68" s="10"/>
      <c r="U68" s="10"/>
      <c r="V68" s="10"/>
    </row>
    <row r="69" spans="1:22" ht="37.5" customHeight="1">
      <c r="A69" s="704" t="s">
        <v>830</v>
      </c>
      <c r="B69" s="747">
        <v>120000000</v>
      </c>
      <c r="C69" s="10"/>
      <c r="D69" s="10"/>
      <c r="E69" s="10"/>
      <c r="F69" s="10"/>
      <c r="G69" s="10"/>
      <c r="H69" s="10" t="s">
        <v>831</v>
      </c>
      <c r="I69" s="10"/>
      <c r="J69" s="622">
        <f>'Valeur de l''action'!O8</f>
        <v>0.23496567002247859</v>
      </c>
      <c r="K69" s="10"/>
      <c r="L69" s="10"/>
      <c r="M69" s="10"/>
      <c r="N69" s="10"/>
      <c r="O69" s="10"/>
      <c r="P69" s="10"/>
      <c r="Q69" s="10"/>
      <c r="R69" s="10"/>
      <c r="S69" s="10"/>
      <c r="T69" s="10"/>
      <c r="U69" s="10"/>
      <c r="V69" s="10"/>
    </row>
    <row r="70" spans="1:22" ht="15" thickBot="1">
      <c r="A70" s="748" t="s">
        <v>832</v>
      </c>
      <c r="B70" s="749">
        <f>B69/B68</f>
        <v>4610065.3092585476</v>
      </c>
      <c r="C70" s="10"/>
      <c r="D70" s="10"/>
      <c r="E70" s="10"/>
      <c r="F70" s="10"/>
      <c r="G70" s="10"/>
      <c r="H70" s="10" t="s">
        <v>833</v>
      </c>
      <c r="I70" s="10"/>
      <c r="J70" s="622">
        <f>'Valeur de l''action'!P8</f>
        <v>0.17484219159017864</v>
      </c>
      <c r="K70" s="10"/>
      <c r="L70" s="10"/>
      <c r="M70" s="10"/>
      <c r="N70" s="10"/>
      <c r="O70" s="10"/>
      <c r="P70" s="10"/>
      <c r="Q70" s="10"/>
      <c r="R70" s="10"/>
      <c r="S70" s="10"/>
      <c r="T70" s="10"/>
      <c r="U70" s="10"/>
      <c r="V70" s="10"/>
    </row>
    <row r="71" spans="1:22" ht="15" thickBot="1">
      <c r="A71" s="10"/>
      <c r="B71" s="705"/>
      <c r="C71" s="10"/>
      <c r="D71" s="10"/>
      <c r="E71" s="10"/>
      <c r="G71" s="10"/>
      <c r="H71" s="10"/>
      <c r="I71" s="10"/>
      <c r="J71" s="10"/>
      <c r="K71" s="10"/>
      <c r="L71" s="10"/>
      <c r="M71" s="10"/>
      <c r="N71" s="10"/>
      <c r="O71" s="10"/>
      <c r="P71" s="10"/>
      <c r="Q71" s="10"/>
      <c r="R71" s="10"/>
      <c r="S71" s="10"/>
      <c r="T71" s="10"/>
      <c r="U71" s="10"/>
      <c r="V71" s="10"/>
    </row>
    <row r="72" spans="1:22" ht="29.5" thickBot="1">
      <c r="A72" s="750"/>
      <c r="B72" s="751">
        <v>2007</v>
      </c>
      <c r="C72" s="752" t="s">
        <v>834</v>
      </c>
      <c r="D72" s="751">
        <v>2009</v>
      </c>
      <c r="E72" s="753" t="s">
        <v>835</v>
      </c>
      <c r="F72" s="754" t="s">
        <v>836</v>
      </c>
      <c r="G72" s="10"/>
      <c r="H72" s="10"/>
      <c r="I72" s="10"/>
      <c r="J72" s="10"/>
      <c r="K72" s="10"/>
      <c r="L72" s="10"/>
      <c r="M72" s="10"/>
      <c r="N72" s="10"/>
      <c r="O72" s="10"/>
      <c r="P72" s="10"/>
      <c r="Q72" s="10"/>
      <c r="R72" s="10"/>
      <c r="S72" s="10"/>
    </row>
    <row r="73" spans="1:22" ht="15.5">
      <c r="A73" s="755" t="s">
        <v>776</v>
      </c>
      <c r="B73" s="756">
        <v>730000</v>
      </c>
      <c r="C73" s="757">
        <f>B73/$B$76</f>
        <v>4.5948216988881158E-2</v>
      </c>
      <c r="D73" s="758">
        <f>B73</f>
        <v>730000</v>
      </c>
      <c r="E73" s="757">
        <f>D73/$D$76</f>
        <v>3.5614072680812459E-2</v>
      </c>
      <c r="F73" s="759">
        <f>(E73-C73)/C73</f>
        <v>-0.22490849450304939</v>
      </c>
      <c r="G73" s="10"/>
      <c r="H73" s="10"/>
      <c r="I73" s="10"/>
      <c r="J73" s="10"/>
      <c r="K73" s="10"/>
      <c r="L73" s="10"/>
      <c r="M73" s="10"/>
      <c r="N73" s="10"/>
      <c r="O73" s="10"/>
      <c r="P73" s="10"/>
      <c r="Q73" s="10"/>
      <c r="R73" s="10"/>
      <c r="S73" s="10"/>
    </row>
    <row r="74" spans="1:22" ht="15.5">
      <c r="A74" s="761" t="s">
        <v>777</v>
      </c>
      <c r="B74" s="756">
        <v>6395000</v>
      </c>
      <c r="C74" s="757">
        <f>B74/$B$76</f>
        <v>0.40251896937519865</v>
      </c>
      <c r="D74" s="758">
        <f>B74</f>
        <v>6395000</v>
      </c>
      <c r="E74" s="757">
        <f>D74/$D$76</f>
        <v>0.31198903396410371</v>
      </c>
      <c r="F74" s="759">
        <f>(E74-C74)/C74</f>
        <v>-0.22490849450304931</v>
      </c>
      <c r="G74" s="10"/>
      <c r="H74" s="10"/>
      <c r="I74" s="10"/>
      <c r="J74" s="10"/>
      <c r="K74" s="10"/>
      <c r="L74" s="10"/>
      <c r="M74" s="10"/>
      <c r="N74" s="10"/>
      <c r="O74" s="10"/>
      <c r="P74" s="10"/>
      <c r="Q74" s="10"/>
      <c r="R74" s="10"/>
      <c r="S74" s="10"/>
    </row>
    <row r="75" spans="1:22" ht="16" thickBot="1">
      <c r="A75" s="762" t="s">
        <v>778</v>
      </c>
      <c r="B75" s="763">
        <v>8762450</v>
      </c>
      <c r="C75" s="764">
        <f>B75/$B$76</f>
        <v>0.55153281363592022</v>
      </c>
      <c r="D75" s="765">
        <f>B75+B70</f>
        <v>13372515.309258547</v>
      </c>
      <c r="E75" s="764">
        <f>D75/$D$76</f>
        <v>0.65239689335508388</v>
      </c>
      <c r="F75" s="766">
        <f>(E75-C75)/C75</f>
        <v>0.18287956260340735</v>
      </c>
      <c r="G75" s="10"/>
      <c r="H75" s="10"/>
      <c r="I75" s="10"/>
      <c r="J75" s="10"/>
      <c r="K75" s="10"/>
      <c r="L75" s="10"/>
      <c r="M75" s="10"/>
      <c r="N75" s="10"/>
      <c r="O75" s="10"/>
      <c r="P75" s="10"/>
      <c r="Q75" s="10"/>
      <c r="R75" s="10"/>
      <c r="S75" s="10"/>
    </row>
    <row r="76" spans="1:22" ht="16" thickBot="1">
      <c r="A76" s="10"/>
      <c r="B76" s="767">
        <f>SUM(B73:B75)</f>
        <v>15887450</v>
      </c>
      <c r="C76" s="768">
        <f>SUM(C73:C75)</f>
        <v>1</v>
      </c>
      <c r="D76" s="767">
        <f>SUM(D73:D75)</f>
        <v>20497515.309258547</v>
      </c>
      <c r="E76" s="768">
        <f>SUM(E73:E75)</f>
        <v>1</v>
      </c>
      <c r="F76" s="769">
        <f>(D76-B76)/B76</f>
        <v>0.29017024816811676</v>
      </c>
      <c r="G76" s="10"/>
      <c r="H76" s="770"/>
      <c r="I76" s="10"/>
      <c r="J76" s="10"/>
      <c r="K76" s="10"/>
      <c r="L76" s="10"/>
      <c r="M76" s="10"/>
      <c r="N76" s="10"/>
      <c r="O76" s="10"/>
      <c r="P76" s="10"/>
      <c r="Q76" s="10"/>
      <c r="R76" s="10"/>
      <c r="S76" s="10"/>
      <c r="T76" s="10"/>
      <c r="U76" s="10"/>
      <c r="V76" s="10"/>
    </row>
    <row r="77" spans="1:22">
      <c r="A77" s="9" t="s">
        <v>814</v>
      </c>
      <c r="B77" s="10"/>
      <c r="C77" s="10"/>
      <c r="D77" s="10"/>
      <c r="E77" s="10"/>
      <c r="F77" s="770"/>
      <c r="G77" s="10"/>
      <c r="H77" s="770"/>
      <c r="I77" s="10"/>
      <c r="J77" s="10"/>
      <c r="K77" s="10"/>
      <c r="L77" s="10"/>
      <c r="M77" s="10"/>
      <c r="N77" s="10"/>
      <c r="O77" s="10"/>
      <c r="P77" s="10"/>
      <c r="Q77" s="10"/>
      <c r="R77" s="10"/>
      <c r="S77" s="10"/>
      <c r="T77" s="10"/>
      <c r="U77" s="10"/>
      <c r="V77" s="10"/>
    </row>
    <row r="78" spans="1:22" ht="15" thickBot="1">
      <c r="A78" s="10"/>
      <c r="B78" s="10"/>
      <c r="C78" s="10"/>
      <c r="D78" s="10"/>
      <c r="E78" s="9"/>
      <c r="F78" s="10"/>
      <c r="G78" s="770"/>
      <c r="H78" s="770"/>
      <c r="I78" s="10"/>
      <c r="J78" s="10"/>
      <c r="K78" s="9" t="s">
        <v>894</v>
      </c>
      <c r="L78" s="10"/>
      <c r="M78" s="10"/>
      <c r="N78" s="10"/>
      <c r="O78" s="10"/>
      <c r="P78" s="10"/>
      <c r="Q78" s="10"/>
      <c r="R78" s="10"/>
      <c r="S78" s="10"/>
      <c r="T78" s="10"/>
    </row>
    <row r="79" spans="1:22">
      <c r="A79" s="10"/>
      <c r="B79" s="10"/>
      <c r="C79" s="10"/>
      <c r="D79" s="10"/>
      <c r="E79" s="9"/>
      <c r="F79" s="770"/>
      <c r="G79" s="770"/>
      <c r="H79" s="770"/>
      <c r="I79" s="10"/>
      <c r="J79" s="10"/>
      <c r="K79" s="789"/>
      <c r="L79" s="790">
        <v>2009</v>
      </c>
      <c r="M79" s="791">
        <v>2008</v>
      </c>
      <c r="N79" s="791">
        <v>2007</v>
      </c>
      <c r="O79" s="792">
        <v>2006</v>
      </c>
      <c r="P79" s="10"/>
      <c r="Q79" s="10"/>
      <c r="R79" s="10"/>
      <c r="S79" s="10"/>
      <c r="T79" s="10"/>
    </row>
    <row r="80" spans="1:22">
      <c r="A80" s="10"/>
      <c r="B80" s="10"/>
      <c r="C80" s="10"/>
      <c r="D80" s="10"/>
      <c r="E80" s="9"/>
      <c r="F80" s="770"/>
      <c r="G80" s="770"/>
      <c r="H80" s="770"/>
      <c r="I80" s="10"/>
      <c r="J80" s="10"/>
      <c r="K80" s="724" t="s">
        <v>812</v>
      </c>
      <c r="L80" s="726">
        <f>M80+60000</f>
        <v>7127016</v>
      </c>
      <c r="M80" s="727">
        <f t="shared" ref="M80:N80" si="4">G52</f>
        <v>7067016</v>
      </c>
      <c r="N80" s="727">
        <f t="shared" si="4"/>
        <v>4741467</v>
      </c>
      <c r="O80" s="727">
        <f>I52</f>
        <v>3607991</v>
      </c>
      <c r="P80" s="10"/>
      <c r="Q80" s="10"/>
      <c r="R80" s="10"/>
      <c r="S80" s="10"/>
      <c r="T80" s="10"/>
    </row>
    <row r="81" spans="1:20">
      <c r="A81" s="10"/>
      <c r="B81" s="10"/>
      <c r="C81" s="10"/>
      <c r="D81" s="10"/>
      <c r="E81" s="9"/>
      <c r="F81" s="770"/>
      <c r="G81" s="770"/>
      <c r="H81" s="770"/>
      <c r="I81" s="10"/>
      <c r="J81" s="10"/>
      <c r="K81" s="724" t="s">
        <v>785</v>
      </c>
      <c r="L81" s="726">
        <f>M81+120000</f>
        <v>2372508</v>
      </c>
      <c r="M81" s="727">
        <f t="shared" ref="M81:N81" si="5">G45</f>
        <v>2252508</v>
      </c>
      <c r="N81" s="727">
        <f t="shared" si="5"/>
        <v>2878118</v>
      </c>
      <c r="O81" s="727">
        <f>I45</f>
        <v>2036728</v>
      </c>
      <c r="P81" s="10"/>
      <c r="Q81" s="10"/>
      <c r="R81" s="10"/>
      <c r="S81" s="10"/>
      <c r="T81" s="10"/>
    </row>
    <row r="82" spans="1:20" ht="15" thickBot="1">
      <c r="A82" s="10"/>
      <c r="B82" s="10"/>
      <c r="C82" s="10"/>
      <c r="D82" s="10"/>
      <c r="E82" s="9"/>
      <c r="F82" s="770"/>
      <c r="G82" s="770"/>
      <c r="H82" s="770"/>
      <c r="I82" s="10"/>
      <c r="J82" s="10"/>
      <c r="K82" s="736" t="s">
        <v>822</v>
      </c>
      <c r="L82" s="738">
        <f>M82</f>
        <v>745048</v>
      </c>
      <c r="M82" s="739">
        <f t="shared" ref="M82:N82" si="6">G51</f>
        <v>745048</v>
      </c>
      <c r="N82" s="739">
        <f t="shared" si="6"/>
        <v>315446</v>
      </c>
      <c r="O82" s="739">
        <f>I51</f>
        <v>351972</v>
      </c>
      <c r="P82" s="10"/>
      <c r="Q82" s="10"/>
      <c r="R82" s="10"/>
      <c r="S82" s="10"/>
      <c r="T82" s="10"/>
    </row>
    <row r="83" spans="1:20" ht="15" thickBot="1">
      <c r="A83" s="10"/>
      <c r="B83" s="10"/>
      <c r="C83" s="10"/>
      <c r="D83" s="10"/>
      <c r="E83" s="9"/>
      <c r="F83" s="770"/>
      <c r="G83" s="770"/>
      <c r="H83" s="770"/>
      <c r="I83" s="10"/>
      <c r="J83" s="10"/>
      <c r="K83" s="10"/>
      <c r="L83" s="10"/>
      <c r="M83" s="10"/>
      <c r="N83" s="10"/>
      <c r="O83" s="10"/>
      <c r="P83" s="10"/>
      <c r="Q83" s="10"/>
      <c r="R83" s="10"/>
      <c r="S83" s="10"/>
      <c r="T83" s="10"/>
    </row>
    <row r="84" spans="1:20">
      <c r="A84" s="10"/>
      <c r="B84" s="10"/>
      <c r="C84" s="10"/>
      <c r="D84" s="10"/>
      <c r="E84" s="9"/>
      <c r="F84" s="770"/>
      <c r="G84" s="770"/>
      <c r="H84" s="770"/>
      <c r="I84" s="10"/>
      <c r="J84" s="10"/>
      <c r="K84" s="706" t="s">
        <v>815</v>
      </c>
      <c r="L84" s="729">
        <f>(L80-L81)/L80</f>
        <v>0.6671106112291596</v>
      </c>
      <c r="M84" s="777">
        <f>(M80-M81)/M80</f>
        <v>0.68126462427706402</v>
      </c>
      <c r="N84" s="777">
        <f>(N80-N81)/N80</f>
        <v>0.39298997546539921</v>
      </c>
      <c r="O84" s="793">
        <f>(O80-O81)/O80</f>
        <v>0.43549526592499815</v>
      </c>
      <c r="P84" s="10"/>
      <c r="Q84" s="10"/>
      <c r="R84" s="10"/>
      <c r="S84" s="10"/>
      <c r="T84" s="10"/>
    </row>
    <row r="85" spans="1:20">
      <c r="A85" s="10"/>
      <c r="B85" s="10"/>
      <c r="C85" s="10"/>
      <c r="D85" s="10"/>
      <c r="E85" s="9"/>
      <c r="F85" s="770"/>
      <c r="G85" s="770"/>
      <c r="H85" s="770"/>
      <c r="I85" s="10"/>
      <c r="J85" s="10"/>
      <c r="K85" s="701" t="s">
        <v>819</v>
      </c>
      <c r="L85" s="733">
        <f>L81/L80</f>
        <v>0.3328893887708404</v>
      </c>
      <c r="M85" s="781">
        <f>M81/M80</f>
        <v>0.31873537572293598</v>
      </c>
      <c r="N85" s="781">
        <f>N81/N80</f>
        <v>0.60701002453460073</v>
      </c>
      <c r="O85" s="794">
        <f>O81/O80</f>
        <v>0.5645047340750019</v>
      </c>
      <c r="P85" s="10"/>
      <c r="Q85" s="10"/>
      <c r="R85" s="10"/>
      <c r="S85" s="10"/>
      <c r="T85" s="10"/>
    </row>
    <row r="86" spans="1:20" ht="15" thickBot="1">
      <c r="A86" s="10"/>
      <c r="B86" s="10"/>
      <c r="C86" s="10"/>
      <c r="D86" s="10"/>
      <c r="E86" s="9"/>
      <c r="F86" s="770"/>
      <c r="G86" s="770"/>
      <c r="H86" s="770"/>
      <c r="I86" s="10"/>
      <c r="J86" s="10"/>
      <c r="K86" s="740" t="s">
        <v>823</v>
      </c>
      <c r="L86" s="742">
        <f>L81/(L81+L82)</f>
        <v>0.76101535946748033</v>
      </c>
      <c r="M86" s="786">
        <f>M81/(M81+M82)</f>
        <v>0.75144817978379719</v>
      </c>
      <c r="N86" s="786">
        <f>N81/(N81+N82)</f>
        <v>0.90122446270060663</v>
      </c>
      <c r="O86" s="795">
        <f>O81/(O81+O82)</f>
        <v>0.8526512328881819</v>
      </c>
      <c r="P86" s="10"/>
      <c r="Q86" s="10"/>
      <c r="R86" s="10"/>
      <c r="S86" s="10"/>
      <c r="T86" s="10"/>
    </row>
    <row r="87" spans="1:20" ht="15" thickBot="1">
      <c r="A87" s="10"/>
      <c r="B87" s="10"/>
      <c r="C87" s="10"/>
      <c r="D87" s="10"/>
      <c r="E87" s="9"/>
      <c r="F87" s="770"/>
      <c r="G87" s="770"/>
      <c r="H87" s="770"/>
      <c r="I87" s="10"/>
      <c r="J87" s="10"/>
      <c r="K87" s="10" t="s">
        <v>826</v>
      </c>
      <c r="L87" s="879">
        <f>B63/L81</f>
        <v>-0.15217567232650006</v>
      </c>
      <c r="M87" s="879">
        <f t="shared" ref="M87:N87" si="7">B63/G45</f>
        <v>-0.16028267158207651</v>
      </c>
      <c r="N87" s="879">
        <f t="shared" si="7"/>
        <v>7.2074181809084967E-2</v>
      </c>
      <c r="O87" s="879">
        <f>D63/I45</f>
        <v>8.6376776869567268E-2</v>
      </c>
      <c r="P87" s="10"/>
      <c r="Q87" s="10"/>
      <c r="R87" s="10"/>
      <c r="S87" s="10"/>
      <c r="T87" s="10"/>
    </row>
    <row r="88" spans="1:20" s="683" customFormat="1" ht="15" thickBot="1">
      <c r="A88" s="10"/>
      <c r="B88" s="10"/>
      <c r="C88" s="10"/>
      <c r="D88" s="10"/>
      <c r="E88" s="9"/>
      <c r="F88" s="770"/>
      <c r="G88" s="770"/>
      <c r="H88" s="770"/>
      <c r="I88" s="10"/>
      <c r="J88" s="10"/>
      <c r="K88" s="10"/>
      <c r="L88" s="10"/>
      <c r="M88" s="10"/>
      <c r="N88" s="10"/>
      <c r="O88" s="10"/>
      <c r="P88" s="10"/>
    </row>
    <row r="89" spans="1:20" s="10" customFormat="1">
      <c r="E89" s="9"/>
      <c r="F89" s="770"/>
      <c r="G89" s="770"/>
      <c r="H89" s="770"/>
    </row>
    <row r="90" spans="1:20" ht="15" thickBot="1">
      <c r="A90" s="10"/>
      <c r="B90" s="10"/>
      <c r="C90" s="10"/>
      <c r="D90" s="10"/>
      <c r="E90" s="9"/>
      <c r="F90" s="770"/>
      <c r="G90" s="770"/>
      <c r="H90" s="770"/>
      <c r="I90" s="10"/>
      <c r="J90" s="10"/>
      <c r="K90" s="10"/>
      <c r="L90" s="10"/>
      <c r="M90" s="10"/>
      <c r="N90" s="10"/>
      <c r="O90" s="10"/>
      <c r="P90" s="10"/>
      <c r="Q90" s="10"/>
      <c r="R90" s="10"/>
    </row>
    <row r="91" spans="1:20" ht="24" thickBot="1">
      <c r="A91" s="874" t="s">
        <v>837</v>
      </c>
      <c r="B91" s="875"/>
      <c r="C91" s="875"/>
      <c r="D91" s="875"/>
      <c r="E91" s="875"/>
      <c r="F91" s="875"/>
      <c r="G91" s="875"/>
      <c r="H91" s="875"/>
      <c r="I91" s="875"/>
      <c r="J91" s="875"/>
      <c r="K91" s="875"/>
      <c r="L91" s="875"/>
      <c r="M91" s="875"/>
      <c r="N91" s="875"/>
      <c r="O91" s="875"/>
      <c r="P91" s="875"/>
      <c r="Q91" s="875"/>
      <c r="R91" s="875"/>
    </row>
    <row r="92" spans="1:20" ht="15" thickBot="1">
      <c r="A92" s="10"/>
      <c r="B92" s="10"/>
      <c r="C92" s="10"/>
      <c r="D92" s="10"/>
      <c r="E92" s="10"/>
      <c r="F92" s="10"/>
      <c r="G92" s="10"/>
      <c r="H92" s="10"/>
      <c r="I92" s="10"/>
      <c r="J92" s="10"/>
      <c r="K92" s="10"/>
      <c r="L92" s="10"/>
      <c r="M92" s="10"/>
      <c r="N92" s="10"/>
      <c r="O92" s="10"/>
      <c r="P92" s="10"/>
      <c r="Q92" s="10"/>
      <c r="R92" s="10"/>
    </row>
    <row r="93" spans="1:20" ht="18.75" customHeight="1" thickBot="1">
      <c r="A93" s="771" t="s">
        <v>848</v>
      </c>
      <c r="B93" s="772">
        <v>2009</v>
      </c>
      <c r="C93" s="773">
        <v>2008</v>
      </c>
      <c r="D93" s="773">
        <v>2007</v>
      </c>
      <c r="E93" s="774">
        <v>2006</v>
      </c>
      <c r="F93" s="10"/>
      <c r="G93" s="10"/>
      <c r="H93" s="1064" t="s">
        <v>814</v>
      </c>
      <c r="I93" s="1065"/>
      <c r="J93" s="10"/>
      <c r="K93" s="10"/>
      <c r="L93" s="10"/>
      <c r="M93" s="10"/>
      <c r="N93" s="10"/>
      <c r="O93" s="10"/>
      <c r="P93" s="10"/>
      <c r="Q93" s="10"/>
      <c r="R93" s="10"/>
    </row>
    <row r="94" spans="1:20" s="10" customFormat="1">
      <c r="A94" s="720" t="s">
        <v>812</v>
      </c>
      <c r="B94" s="722">
        <f>C94+120000</f>
        <v>7187016</v>
      </c>
      <c r="C94" s="722">
        <f>G52</f>
        <v>7067016</v>
      </c>
      <c r="D94" s="722">
        <f>H52</f>
        <v>4741467</v>
      </c>
      <c r="E94" s="723">
        <f>I52</f>
        <v>3607991</v>
      </c>
    </row>
    <row r="95" spans="1:20" ht="15.5">
      <c r="A95" s="724" t="s">
        <v>785</v>
      </c>
      <c r="B95" s="726">
        <f>C95</f>
        <v>2252508</v>
      </c>
      <c r="C95" s="726">
        <f>G45</f>
        <v>2252508</v>
      </c>
      <c r="D95" s="726">
        <f>H45</f>
        <v>2878118</v>
      </c>
      <c r="E95" s="727">
        <f>I45</f>
        <v>2036728</v>
      </c>
      <c r="F95" s="10"/>
      <c r="G95" s="10" t="s">
        <v>838</v>
      </c>
      <c r="H95" s="10"/>
      <c r="I95" s="775">
        <v>120000</v>
      </c>
      <c r="J95" s="10"/>
      <c r="K95" s="10"/>
      <c r="L95" s="10"/>
      <c r="M95" s="10"/>
      <c r="N95" s="10"/>
      <c r="O95" s="10"/>
      <c r="P95" s="10"/>
      <c r="Q95" s="10"/>
      <c r="R95" s="10"/>
    </row>
    <row r="96" spans="1:20" ht="15" thickBot="1">
      <c r="A96" s="736" t="s">
        <v>822</v>
      </c>
      <c r="B96" s="738">
        <f>C96+I95</f>
        <v>1917995</v>
      </c>
      <c r="C96" s="738">
        <f>SUM(G46:G47)</f>
        <v>1797995</v>
      </c>
      <c r="D96" s="738">
        <f>SUM(H46:H47)</f>
        <v>783227</v>
      </c>
      <c r="E96" s="739">
        <f>SUM(I46:I47)</f>
        <v>674646</v>
      </c>
      <c r="F96" s="10"/>
      <c r="G96" s="565"/>
      <c r="H96" s="10" t="s">
        <v>839</v>
      </c>
      <c r="I96" s="10"/>
      <c r="J96" s="10"/>
      <c r="K96" s="10"/>
      <c r="L96" s="10"/>
      <c r="M96" s="10"/>
      <c r="N96" s="10"/>
      <c r="O96" s="10"/>
      <c r="P96" s="10"/>
      <c r="Q96" s="10"/>
      <c r="R96" s="10"/>
    </row>
    <row r="97" spans="1:25" ht="15" thickBot="1">
      <c r="A97" s="10"/>
      <c r="B97" s="10"/>
      <c r="C97" s="10"/>
      <c r="D97" s="10"/>
      <c r="E97" s="10"/>
      <c r="F97" s="10" t="s">
        <v>813</v>
      </c>
      <c r="G97" s="10"/>
      <c r="H97" s="10"/>
      <c r="I97" s="10"/>
      <c r="J97" s="10"/>
      <c r="K97" s="10"/>
      <c r="L97" s="10"/>
      <c r="M97" s="10"/>
      <c r="N97" s="10"/>
      <c r="O97" s="10"/>
      <c r="P97" s="10"/>
      <c r="Q97" s="10"/>
      <c r="R97" s="10"/>
    </row>
    <row r="98" spans="1:25" s="10" customFormat="1">
      <c r="A98" s="776" t="s">
        <v>815</v>
      </c>
      <c r="B98" s="728">
        <f>(B94-B95)/B94</f>
        <v>0.68658647761463176</v>
      </c>
      <c r="C98" s="777">
        <f>(C94-C95)/C94</f>
        <v>0.68126462427706402</v>
      </c>
      <c r="D98" s="777">
        <f>(D94-D95)/D94</f>
        <v>0.39298997546539921</v>
      </c>
      <c r="E98" s="778">
        <f>(E94-E95)/E94</f>
        <v>0.43549526592499815</v>
      </c>
      <c r="F98" s="779" t="s">
        <v>816</v>
      </c>
      <c r="H98" s="1074"/>
      <c r="I98" s="1074"/>
      <c r="J98" s="1074"/>
    </row>
    <row r="99" spans="1:25" s="10" customFormat="1" ht="15" thickBot="1">
      <c r="A99" s="780" t="s">
        <v>819</v>
      </c>
      <c r="B99" s="732">
        <f>B95/B94</f>
        <v>0.31341352238536829</v>
      </c>
      <c r="C99" s="781">
        <f>C95/C94</f>
        <v>0.31873537572293598</v>
      </c>
      <c r="D99" s="781">
        <f>D95/D94</f>
        <v>0.60701002453460073</v>
      </c>
      <c r="E99" s="782">
        <f>E95/E94</f>
        <v>0.5645047340750019</v>
      </c>
      <c r="F99" s="783" t="s">
        <v>820</v>
      </c>
      <c r="H99" s="1074"/>
      <c r="I99" s="1074"/>
      <c r="J99" s="1074"/>
    </row>
    <row r="100" spans="1:25" s="683" customFormat="1" ht="15" thickBot="1">
      <c r="A100" s="784" t="s">
        <v>823</v>
      </c>
      <c r="B100" s="785">
        <f>B95/(B95+B96)</f>
        <v>0.54010463486059113</v>
      </c>
      <c r="C100" s="786">
        <f>C95/(C95+C96)</f>
        <v>0.556105747854032</v>
      </c>
      <c r="D100" s="786">
        <f>D95/(D95+D96)</f>
        <v>0.78608216379499884</v>
      </c>
      <c r="E100" s="787">
        <f>E95/(E95+E96)</f>
        <v>0.75117929138510586</v>
      </c>
      <c r="F100" s="788" t="s">
        <v>824</v>
      </c>
      <c r="G100" s="10"/>
      <c r="H100" s="10"/>
      <c r="I100" s="10"/>
      <c r="J100" s="10"/>
      <c r="K100" s="10"/>
      <c r="L100" s="10"/>
      <c r="M100" s="10"/>
      <c r="N100" s="10"/>
      <c r="O100" s="10"/>
      <c r="P100" s="10"/>
      <c r="Q100" s="10"/>
      <c r="R100" s="10"/>
    </row>
    <row r="101" spans="1:25" s="10" customFormat="1">
      <c r="A101" s="9"/>
    </row>
    <row r="102" spans="1:25" ht="15" thickBo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5" ht="24" thickBot="1">
      <c r="A103" s="874" t="s">
        <v>840</v>
      </c>
      <c r="B103" s="875"/>
      <c r="C103" s="875"/>
      <c r="D103" s="875"/>
      <c r="E103" s="875"/>
      <c r="F103" s="875"/>
      <c r="G103" s="875"/>
      <c r="H103" s="875"/>
      <c r="I103" s="875"/>
      <c r="J103" s="875"/>
      <c r="K103" s="875"/>
      <c r="L103" s="875"/>
      <c r="M103" s="875"/>
      <c r="N103" s="875"/>
      <c r="O103" s="875"/>
      <c r="P103" s="875"/>
      <c r="Q103" s="875"/>
      <c r="R103" s="875"/>
      <c r="S103" s="10"/>
      <c r="T103" s="10"/>
      <c r="U103" s="10"/>
      <c r="V103" s="10"/>
      <c r="W103" s="10"/>
      <c r="X103" s="10"/>
      <c r="Y103" s="10"/>
    </row>
    <row r="104" spans="1:25" ht="15" thickBo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1:25">
      <c r="A105" s="745" t="s">
        <v>718</v>
      </c>
      <c r="B105" s="746">
        <v>26.03</v>
      </c>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25" ht="15" thickBot="1">
      <c r="A106" s="704" t="s">
        <v>830</v>
      </c>
      <c r="B106" s="747">
        <v>60000000</v>
      </c>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5" ht="24" thickBot="1">
      <c r="A107" s="748" t="s">
        <v>832</v>
      </c>
      <c r="B107" s="749">
        <f>B106/B105</f>
        <v>2305032.6546292738</v>
      </c>
      <c r="C107" s="10"/>
      <c r="D107" s="10"/>
      <c r="E107" s="10"/>
      <c r="F107" s="10"/>
      <c r="G107" s="10"/>
      <c r="H107" s="1064" t="s">
        <v>814</v>
      </c>
      <c r="I107" s="1065"/>
      <c r="J107" s="10"/>
      <c r="K107" s="10"/>
      <c r="L107" s="10"/>
      <c r="M107" s="10"/>
      <c r="N107" s="10"/>
      <c r="O107" s="10"/>
      <c r="P107" s="10"/>
      <c r="Q107" s="10"/>
      <c r="R107" s="10"/>
      <c r="S107" s="10"/>
      <c r="T107" s="10"/>
      <c r="U107" s="10"/>
      <c r="V107" s="10"/>
      <c r="W107" s="10"/>
      <c r="X107" s="10"/>
      <c r="Y107" s="10"/>
    </row>
    <row r="108" spans="1:25" ht="15" thickBot="1">
      <c r="A108" s="10"/>
      <c r="B108" s="705"/>
      <c r="C108" s="10"/>
      <c r="D108" s="10"/>
      <c r="E108" s="10"/>
      <c r="G108" s="10"/>
      <c r="H108" s="10"/>
      <c r="I108" s="10"/>
      <c r="J108" s="10"/>
      <c r="K108" s="10"/>
      <c r="L108" s="10"/>
      <c r="M108" s="10"/>
      <c r="N108" s="10"/>
      <c r="O108" s="10"/>
      <c r="P108" s="10"/>
      <c r="Q108" s="10"/>
      <c r="R108" s="10"/>
      <c r="S108" s="10"/>
      <c r="T108" s="10"/>
      <c r="U108" s="10"/>
      <c r="V108" s="10"/>
      <c r="W108" s="10"/>
      <c r="X108" s="10"/>
      <c r="Y108" s="10"/>
    </row>
    <row r="109" spans="1:25" ht="29.5" thickBot="1">
      <c r="A109" s="750"/>
      <c r="B109" s="751">
        <v>2007</v>
      </c>
      <c r="C109" s="752" t="s">
        <v>834</v>
      </c>
      <c r="D109" s="751">
        <v>2009</v>
      </c>
      <c r="E109" s="753" t="s">
        <v>835</v>
      </c>
      <c r="F109" s="754" t="s">
        <v>836</v>
      </c>
      <c r="G109" s="10"/>
      <c r="H109" s="10"/>
      <c r="I109" s="10"/>
      <c r="J109" s="10"/>
      <c r="K109" s="10"/>
      <c r="L109" s="10"/>
      <c r="M109" s="10"/>
      <c r="N109" s="10"/>
      <c r="O109" s="10"/>
      <c r="P109" s="10"/>
      <c r="Q109" s="10"/>
      <c r="R109" s="10"/>
      <c r="S109" s="10"/>
      <c r="T109" s="10"/>
      <c r="U109" s="10"/>
      <c r="V109" s="10"/>
      <c r="W109" s="10"/>
      <c r="X109" s="10"/>
      <c r="Y109" s="10"/>
    </row>
    <row r="110" spans="1:25" ht="15.5">
      <c r="A110" s="755" t="s">
        <v>776</v>
      </c>
      <c r="B110" s="756">
        <v>730000</v>
      </c>
      <c r="C110" s="757">
        <f>B110/$B$113</f>
        <v>4.5948216988881158E-2</v>
      </c>
      <c r="D110" s="758">
        <f>B110</f>
        <v>730000</v>
      </c>
      <c r="E110" s="757">
        <f>D110/$D$113</f>
        <v>4.0126463982871716E-2</v>
      </c>
      <c r="F110" s="759">
        <f>(E110-C110)/C110</f>
        <v>-0.12670247917167768</v>
      </c>
      <c r="G110" s="10"/>
      <c r="H110" s="10" t="s">
        <v>841</v>
      </c>
      <c r="I110" s="10"/>
      <c r="J110" s="10"/>
      <c r="K110" s="10"/>
      <c r="L110" s="10"/>
      <c r="M110" s="10"/>
      <c r="N110" s="10"/>
      <c r="O110" s="10"/>
      <c r="P110" s="10"/>
      <c r="Q110" s="10"/>
      <c r="R110" s="10"/>
      <c r="S110" s="10"/>
      <c r="T110" s="10"/>
      <c r="U110" s="10"/>
      <c r="V110" s="10"/>
      <c r="W110" s="10"/>
      <c r="X110" s="10"/>
      <c r="Y110" s="10"/>
    </row>
    <row r="111" spans="1:25" ht="15.5">
      <c r="A111" s="761" t="s">
        <v>777</v>
      </c>
      <c r="B111" s="756">
        <v>6395000</v>
      </c>
      <c r="C111" s="757">
        <f>B111/$B$113</f>
        <v>0.40251896937519865</v>
      </c>
      <c r="D111" s="758">
        <f>B111</f>
        <v>6395000</v>
      </c>
      <c r="E111" s="757">
        <f>D111/$D$113</f>
        <v>0.35151881804173235</v>
      </c>
      <c r="F111" s="759">
        <f>(E111-C111)/C111</f>
        <v>-0.12670247917167776</v>
      </c>
      <c r="G111" s="10"/>
      <c r="H111" s="10" t="s">
        <v>842</v>
      </c>
      <c r="I111" s="10"/>
      <c r="J111" s="10"/>
      <c r="K111" s="10"/>
      <c r="L111" s="10"/>
      <c r="M111" s="10"/>
      <c r="N111" s="10"/>
      <c r="O111" s="10"/>
      <c r="P111" s="10"/>
      <c r="Q111" s="10"/>
      <c r="R111" s="10"/>
      <c r="S111" s="10"/>
      <c r="T111" s="10"/>
      <c r="U111" s="10"/>
      <c r="V111" s="10"/>
      <c r="W111" s="10"/>
      <c r="X111" s="10"/>
      <c r="Y111" s="10"/>
    </row>
    <row r="112" spans="1:25" ht="16" thickBot="1">
      <c r="A112" s="762" t="s">
        <v>778</v>
      </c>
      <c r="B112" s="763">
        <v>8762450</v>
      </c>
      <c r="C112" s="757">
        <f>B112/$B$113</f>
        <v>0.55153281363592022</v>
      </c>
      <c r="D112" s="765">
        <f>B112+B107</f>
        <v>11067482.654629273</v>
      </c>
      <c r="E112" s="757">
        <f>D112/$D$113</f>
        <v>0.60835471797539586</v>
      </c>
      <c r="F112" s="766">
        <f>(E112-C112)/C112</f>
        <v>0.10302542828754542</v>
      </c>
      <c r="G112" s="10"/>
      <c r="H112" s="10"/>
      <c r="I112" s="10"/>
      <c r="J112" s="10"/>
      <c r="K112" s="10"/>
      <c r="L112" s="10"/>
      <c r="M112" s="10"/>
      <c r="N112" s="10"/>
      <c r="O112" s="10"/>
      <c r="P112" s="10"/>
      <c r="Q112" s="10"/>
      <c r="R112" s="10"/>
      <c r="S112" s="10"/>
      <c r="T112" s="10"/>
      <c r="U112" s="10"/>
      <c r="V112" s="10"/>
      <c r="W112" s="10"/>
      <c r="X112" s="10"/>
      <c r="Y112" s="10"/>
    </row>
    <row r="113" spans="1:25" ht="16" thickBot="1">
      <c r="A113" s="10"/>
      <c r="B113" s="767">
        <f>SUM(B110:B112)</f>
        <v>15887450</v>
      </c>
      <c r="C113" s="768">
        <f>SUM(C110:C112)</f>
        <v>1</v>
      </c>
      <c r="D113" s="767">
        <f>SUM(D110:D112)</f>
        <v>18192482.654629275</v>
      </c>
      <c r="E113" s="768">
        <f>SUM(E110:E112)</f>
        <v>1</v>
      </c>
      <c r="F113" s="769">
        <f>(D113-B113)/B113</f>
        <v>0.14508512408405849</v>
      </c>
      <c r="G113" s="10"/>
      <c r="H113" s="1074" t="s">
        <v>843</v>
      </c>
      <c r="I113" s="1074"/>
      <c r="J113" s="1074"/>
      <c r="K113" s="10"/>
      <c r="L113" s="10"/>
      <c r="M113" s="10"/>
      <c r="N113" s="10"/>
      <c r="O113" s="10"/>
      <c r="P113" s="10"/>
      <c r="Q113" s="10"/>
      <c r="R113" s="10"/>
      <c r="S113" s="10"/>
      <c r="T113" s="10"/>
      <c r="U113" s="10"/>
      <c r="V113" s="10"/>
      <c r="W113" s="10"/>
      <c r="X113" s="10"/>
      <c r="Y113" s="10"/>
    </row>
    <row r="114" spans="1:25">
      <c r="A114" s="10"/>
      <c r="B114" s="10"/>
      <c r="C114" s="10"/>
      <c r="D114" s="10"/>
      <c r="E114" s="10"/>
      <c r="F114" s="10"/>
      <c r="G114" s="10"/>
      <c r="H114" s="1074"/>
      <c r="I114" s="1074"/>
      <c r="J114" s="1074"/>
      <c r="K114" s="10"/>
      <c r="L114" s="10"/>
      <c r="M114" s="10"/>
      <c r="N114" s="10"/>
      <c r="O114" s="10"/>
      <c r="P114" s="10"/>
      <c r="Q114" s="10"/>
      <c r="R114" s="10"/>
      <c r="S114" s="10"/>
      <c r="T114" s="10"/>
      <c r="U114" s="10"/>
      <c r="V114" s="10"/>
      <c r="W114" s="10"/>
      <c r="X114" s="10"/>
      <c r="Y114" s="10"/>
    </row>
    <row r="115" spans="1:25" ht="15" thickBot="1">
      <c r="A115" s="9" t="s">
        <v>844</v>
      </c>
      <c r="B115" s="10"/>
      <c r="C115" s="10"/>
      <c r="D115" s="10"/>
      <c r="E115" s="10"/>
      <c r="F115" s="10"/>
      <c r="G115" s="10"/>
      <c r="H115" s="1074"/>
      <c r="I115" s="1074"/>
      <c r="J115" s="1074"/>
      <c r="K115" s="10"/>
      <c r="L115" s="10"/>
      <c r="M115" s="10"/>
      <c r="N115" s="10"/>
      <c r="O115" s="10"/>
      <c r="P115" s="10"/>
      <c r="Q115" s="10"/>
      <c r="R115" s="10"/>
      <c r="S115" s="10"/>
      <c r="T115" s="10"/>
      <c r="U115" s="10"/>
      <c r="V115" s="10"/>
      <c r="W115" s="10"/>
      <c r="X115" s="10"/>
      <c r="Y115" s="10"/>
    </row>
    <row r="116" spans="1:25">
      <c r="A116" s="789"/>
      <c r="B116" s="790">
        <v>2009</v>
      </c>
      <c r="C116" s="791">
        <v>2008</v>
      </c>
      <c r="D116" s="791">
        <v>2007</v>
      </c>
      <c r="E116" s="792">
        <v>2006</v>
      </c>
      <c r="F116" s="10"/>
      <c r="G116" s="10"/>
      <c r="H116" s="1074"/>
      <c r="I116" s="1074"/>
      <c r="J116" s="1074"/>
      <c r="K116" s="10"/>
      <c r="L116" s="10"/>
      <c r="M116" s="10"/>
      <c r="N116" s="10"/>
      <c r="O116" s="10"/>
      <c r="P116" s="10"/>
      <c r="Q116" s="10"/>
      <c r="R116" s="10"/>
      <c r="S116" s="10"/>
      <c r="T116" s="10"/>
      <c r="U116" s="10"/>
      <c r="V116" s="10"/>
      <c r="W116" s="10"/>
      <c r="X116" s="10"/>
      <c r="Y116" s="10"/>
    </row>
    <row r="117" spans="1:25">
      <c r="A117" s="724" t="s">
        <v>812</v>
      </c>
      <c r="B117" s="726">
        <f>C117+60000</f>
        <v>7127016</v>
      </c>
      <c r="C117" s="726">
        <f>C94</f>
        <v>7067016</v>
      </c>
      <c r="D117" s="726">
        <f t="shared" ref="D117:E119" si="8">D94</f>
        <v>4741467</v>
      </c>
      <c r="E117" s="727">
        <f t="shared" si="8"/>
        <v>3607991</v>
      </c>
      <c r="F117" s="10"/>
      <c r="G117" s="10"/>
      <c r="H117" s="10"/>
      <c r="I117" s="10"/>
      <c r="J117" s="10"/>
      <c r="K117" s="10"/>
      <c r="L117" s="10"/>
      <c r="M117" s="10"/>
      <c r="N117" s="10"/>
      <c r="O117" s="10"/>
      <c r="P117" s="10"/>
      <c r="Q117" s="10"/>
      <c r="R117" s="10"/>
      <c r="S117" s="10"/>
      <c r="T117" s="10"/>
      <c r="U117" s="10"/>
      <c r="V117" s="10"/>
      <c r="W117" s="10"/>
      <c r="X117" s="10"/>
      <c r="Y117" s="10"/>
    </row>
    <row r="118" spans="1:25">
      <c r="A118" s="724" t="s">
        <v>785</v>
      </c>
      <c r="B118" s="726">
        <f>C118</f>
        <v>2252508</v>
      </c>
      <c r="C118" s="726">
        <f>C95</f>
        <v>2252508</v>
      </c>
      <c r="D118" s="726">
        <f t="shared" si="8"/>
        <v>2878118</v>
      </c>
      <c r="E118" s="727">
        <f t="shared" si="8"/>
        <v>2036728</v>
      </c>
      <c r="F118" s="10"/>
      <c r="G118" s="10"/>
      <c r="H118" s="10"/>
      <c r="I118" s="10"/>
      <c r="J118" s="10"/>
      <c r="K118" s="10"/>
      <c r="L118" s="10"/>
      <c r="M118" s="10"/>
      <c r="N118" s="10"/>
      <c r="O118" s="10"/>
      <c r="P118" s="10"/>
      <c r="Q118" s="10"/>
      <c r="R118" s="10"/>
      <c r="S118" s="10"/>
      <c r="T118" s="10"/>
      <c r="U118" s="10"/>
      <c r="V118" s="10"/>
      <c r="W118" s="10"/>
      <c r="X118" s="10"/>
      <c r="Y118" s="10"/>
    </row>
    <row r="119" spans="1:25" ht="15" thickBot="1">
      <c r="A119" s="736" t="s">
        <v>822</v>
      </c>
      <c r="B119" s="738">
        <f>C119+60000</f>
        <v>1857995</v>
      </c>
      <c r="C119" s="738">
        <f>C96</f>
        <v>1797995</v>
      </c>
      <c r="D119" s="738">
        <f t="shared" si="8"/>
        <v>783227</v>
      </c>
      <c r="E119" s="739">
        <f t="shared" si="8"/>
        <v>674646</v>
      </c>
      <c r="F119" s="10"/>
      <c r="G119" s="10"/>
      <c r="H119" s="10"/>
      <c r="I119" s="10"/>
      <c r="J119" s="10"/>
      <c r="K119" s="10"/>
      <c r="L119" s="10"/>
      <c r="M119" s="10"/>
      <c r="N119" s="10"/>
      <c r="O119" s="10"/>
      <c r="P119" s="10"/>
      <c r="Q119" s="10"/>
      <c r="R119" s="10"/>
      <c r="S119" s="10"/>
      <c r="T119" s="10"/>
      <c r="U119" s="10"/>
      <c r="V119" s="10"/>
      <c r="W119" s="10"/>
      <c r="X119" s="10"/>
      <c r="Y119" s="10"/>
    </row>
    <row r="120" spans="1:25" ht="15" thickBo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1:25">
      <c r="A121" s="706" t="s">
        <v>815</v>
      </c>
      <c r="B121" s="729">
        <f>(B117-B118)/B117</f>
        <v>0.68394795241093886</v>
      </c>
      <c r="C121" s="777">
        <f>(C117-C118)/C117</f>
        <v>0.68126462427706402</v>
      </c>
      <c r="D121" s="777">
        <f>(D117-D118)/D117</f>
        <v>0.39298997546539921</v>
      </c>
      <c r="E121" s="793">
        <f>(E117-E118)/E117</f>
        <v>0.43549526592499815</v>
      </c>
      <c r="F121" s="10"/>
      <c r="G121" s="10"/>
      <c r="H121" s="10"/>
      <c r="I121" s="10"/>
      <c r="J121" s="10"/>
      <c r="K121" s="10"/>
      <c r="L121" s="10"/>
      <c r="M121" s="10"/>
      <c r="N121" s="10"/>
      <c r="O121" s="10"/>
      <c r="P121" s="10"/>
      <c r="Q121" s="10"/>
      <c r="R121" s="10"/>
      <c r="S121" s="10"/>
      <c r="T121" s="10"/>
      <c r="U121" s="10"/>
      <c r="V121" s="10"/>
      <c r="W121" s="10"/>
      <c r="X121" s="10"/>
      <c r="Y121" s="10"/>
    </row>
    <row r="122" spans="1:25">
      <c r="A122" s="701" t="s">
        <v>819</v>
      </c>
      <c r="B122" s="733">
        <f>B118/B117</f>
        <v>0.31605204758906114</v>
      </c>
      <c r="C122" s="781">
        <f>C118/C117</f>
        <v>0.31873537572293598</v>
      </c>
      <c r="D122" s="781">
        <f>D118/D117</f>
        <v>0.60701002453460073</v>
      </c>
      <c r="E122" s="794">
        <f>E118/E117</f>
        <v>0.5645047340750019</v>
      </c>
      <c r="F122" s="10"/>
      <c r="G122" s="10"/>
      <c r="H122" s="10"/>
      <c r="I122" s="10"/>
      <c r="J122" s="10"/>
      <c r="K122" s="10"/>
      <c r="L122" s="10"/>
      <c r="M122" s="10"/>
      <c r="N122" s="10"/>
      <c r="O122" s="10"/>
      <c r="P122" s="10"/>
      <c r="Q122" s="10"/>
      <c r="R122" s="10"/>
      <c r="S122" s="10"/>
      <c r="T122" s="10"/>
      <c r="U122" s="10"/>
      <c r="V122" s="10"/>
      <c r="W122" s="10"/>
      <c r="X122" s="10"/>
      <c r="Y122" s="10"/>
    </row>
    <row r="123" spans="1:25" ht="15" thickBot="1">
      <c r="A123" s="740" t="s">
        <v>823</v>
      </c>
      <c r="B123" s="742">
        <f>B118/(B118+B119)</f>
        <v>0.54798840920442093</v>
      </c>
      <c r="C123" s="786">
        <f>C118/(C118+C119)</f>
        <v>0.556105747854032</v>
      </c>
      <c r="D123" s="786">
        <f>D118/(D118+D119)</f>
        <v>0.78608216379499884</v>
      </c>
      <c r="E123" s="795">
        <f>E118/(E118+E119)</f>
        <v>0.75117929138510586</v>
      </c>
      <c r="F123" s="10"/>
      <c r="G123" s="10"/>
      <c r="H123" s="10"/>
      <c r="I123" s="10"/>
      <c r="J123" s="10"/>
      <c r="K123" s="10"/>
      <c r="L123" s="10"/>
      <c r="M123" s="10"/>
      <c r="N123" s="10"/>
      <c r="O123" s="10"/>
      <c r="P123" s="10"/>
      <c r="Q123" s="10"/>
      <c r="R123" s="10"/>
      <c r="S123" s="10"/>
      <c r="T123" s="10"/>
      <c r="U123" s="10"/>
      <c r="V123" s="10"/>
      <c r="W123" s="10"/>
      <c r="X123" s="10"/>
      <c r="Y123" s="10"/>
    </row>
    <row r="124" spans="1:25" s="683" customFormat="1" ht="15" thickBot="1">
      <c r="A124" s="10"/>
      <c r="B124" s="10"/>
      <c r="C124" s="10"/>
      <c r="D124" s="10"/>
      <c r="E124" s="10"/>
      <c r="F124" s="10"/>
      <c r="G124" s="10"/>
      <c r="H124" s="10"/>
      <c r="I124" s="10"/>
      <c r="J124" s="10"/>
      <c r="K124" s="10"/>
      <c r="L124" s="10"/>
      <c r="M124" s="10"/>
      <c r="N124" s="10"/>
      <c r="O124" s="10"/>
      <c r="P124" s="10"/>
      <c r="Q124" s="10"/>
      <c r="R124" s="10"/>
    </row>
    <row r="125" spans="1:25">
      <c r="A125" s="9" t="s">
        <v>845</v>
      </c>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1:25" ht="15" customHeight="1" thickBo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1:25" ht="30" customHeight="1" thickBot="1">
      <c r="A127" s="874" t="s">
        <v>892</v>
      </c>
      <c r="B127" s="875"/>
      <c r="C127" s="875"/>
      <c r="D127" s="875"/>
      <c r="E127" s="875"/>
      <c r="F127" s="875"/>
      <c r="G127" s="875"/>
      <c r="H127" s="875"/>
      <c r="I127" s="875"/>
      <c r="J127" s="875"/>
      <c r="K127" s="875"/>
      <c r="L127" s="875"/>
      <c r="M127" s="875"/>
      <c r="N127" s="875"/>
      <c r="O127" s="875"/>
      <c r="P127" s="875"/>
      <c r="Q127" s="875"/>
      <c r="R127" s="683"/>
      <c r="S127" s="10"/>
      <c r="T127" s="10"/>
      <c r="U127" s="10"/>
      <c r="V127" s="10"/>
      <c r="W127" s="10"/>
      <c r="X127" s="10"/>
      <c r="Y127" s="10"/>
    </row>
    <row r="128" spans="1: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1:25">
      <c r="A129" s="10" t="s">
        <v>872</v>
      </c>
      <c r="B129" s="831">
        <f>'Scénarios '!C2</f>
        <v>0.11245834671835075</v>
      </c>
      <c r="C129" s="623" t="s">
        <v>875</v>
      </c>
      <c r="D129" s="10">
        <v>2009</v>
      </c>
      <c r="E129" s="10"/>
      <c r="F129" s="10"/>
      <c r="G129" s="10"/>
      <c r="H129" s="10"/>
      <c r="I129" s="10"/>
      <c r="J129" s="10"/>
      <c r="K129" s="10"/>
      <c r="L129" s="10"/>
      <c r="M129" s="10"/>
      <c r="N129" s="10"/>
      <c r="O129" s="10"/>
      <c r="P129" s="10"/>
      <c r="Q129" s="10"/>
      <c r="R129" s="10"/>
      <c r="S129" s="10"/>
      <c r="T129" s="10"/>
      <c r="U129" s="10"/>
      <c r="V129" s="10"/>
      <c r="W129" s="10"/>
      <c r="X129" s="10"/>
      <c r="Y129" s="10"/>
    </row>
    <row r="130" spans="1:25" ht="15" thickBo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1:25">
      <c r="A131" s="642" t="s">
        <v>870</v>
      </c>
      <c r="B131" s="563">
        <v>2009</v>
      </c>
      <c r="C131" s="563">
        <v>2010</v>
      </c>
      <c r="D131" s="563">
        <v>2011</v>
      </c>
      <c r="E131" s="563">
        <v>2012</v>
      </c>
      <c r="F131" s="563">
        <v>2013</v>
      </c>
      <c r="G131" s="563">
        <v>2014</v>
      </c>
      <c r="H131" s="563">
        <v>2015</v>
      </c>
      <c r="I131" s="563">
        <v>2016</v>
      </c>
      <c r="J131" s="563">
        <v>2017</v>
      </c>
      <c r="K131" s="563">
        <v>2018</v>
      </c>
      <c r="L131" s="563">
        <v>2019</v>
      </c>
      <c r="M131" s="563">
        <v>2020</v>
      </c>
      <c r="N131" s="563">
        <v>2021</v>
      </c>
      <c r="O131" s="563">
        <v>2022</v>
      </c>
      <c r="P131" s="563">
        <v>2023</v>
      </c>
      <c r="Q131" s="564">
        <v>2024</v>
      </c>
      <c r="R131" s="10"/>
      <c r="S131" s="10"/>
      <c r="T131" s="10"/>
      <c r="U131" s="10"/>
      <c r="V131" s="10"/>
      <c r="W131" s="10"/>
      <c r="X131" s="10"/>
      <c r="Y131" s="10"/>
    </row>
    <row r="132" spans="1:25">
      <c r="A132" s="569" t="s">
        <v>871</v>
      </c>
      <c r="B132" s="570">
        <v>-105</v>
      </c>
      <c r="C132" s="570">
        <v>-105</v>
      </c>
      <c r="D132" s="570">
        <v>-105</v>
      </c>
      <c r="E132" s="570">
        <v>-105</v>
      </c>
      <c r="F132" s="570"/>
      <c r="G132" s="570"/>
      <c r="H132" s="570"/>
      <c r="I132" s="571"/>
      <c r="J132" s="571"/>
      <c r="K132" s="571"/>
      <c r="L132" s="571"/>
      <c r="M132" s="571"/>
      <c r="N132" s="571"/>
      <c r="O132" s="571"/>
      <c r="P132" s="571"/>
      <c r="Q132" s="572"/>
      <c r="R132" s="10"/>
      <c r="S132" s="10"/>
      <c r="T132" s="10"/>
      <c r="U132" s="10"/>
      <c r="V132" s="10"/>
      <c r="W132" s="10"/>
      <c r="X132" s="10"/>
      <c r="Y132" s="10"/>
    </row>
    <row r="133" spans="1:25">
      <c r="A133" s="569" t="s">
        <v>0</v>
      </c>
      <c r="B133" s="577"/>
      <c r="C133" s="577"/>
      <c r="D133" s="577"/>
      <c r="E133" s="577"/>
      <c r="F133" s="577">
        <v>-95</v>
      </c>
      <c r="G133" s="577">
        <v>-95</v>
      </c>
      <c r="H133" s="578">
        <v>-95</v>
      </c>
      <c r="I133" s="578"/>
      <c r="J133" s="578"/>
      <c r="K133" s="578"/>
      <c r="L133" s="578"/>
      <c r="M133" s="578"/>
      <c r="N133" s="578"/>
      <c r="O133" s="578"/>
      <c r="P133" s="578"/>
      <c r="Q133" s="579"/>
      <c r="R133" s="10"/>
      <c r="S133" s="10"/>
      <c r="T133" s="10"/>
      <c r="U133" s="10"/>
      <c r="V133" s="10"/>
      <c r="W133" s="10"/>
      <c r="X133" s="10"/>
      <c r="Y133" s="10"/>
    </row>
    <row r="134" spans="1:25">
      <c r="A134" s="569" t="s">
        <v>6</v>
      </c>
      <c r="B134" s="577"/>
      <c r="C134" s="577"/>
      <c r="D134" s="577"/>
      <c r="E134" s="577"/>
      <c r="F134" s="578"/>
      <c r="G134" s="578"/>
      <c r="H134" s="578"/>
      <c r="I134" s="578">
        <v>185</v>
      </c>
      <c r="J134" s="578">
        <v>185</v>
      </c>
      <c r="K134" s="578">
        <v>185</v>
      </c>
      <c r="L134" s="578">
        <v>185</v>
      </c>
      <c r="M134" s="578">
        <v>185</v>
      </c>
      <c r="N134" s="578">
        <v>185</v>
      </c>
      <c r="O134" s="578">
        <v>185</v>
      </c>
      <c r="P134" s="578">
        <v>185</v>
      </c>
      <c r="Q134" s="579">
        <v>185</v>
      </c>
      <c r="R134" s="10"/>
      <c r="S134" s="10"/>
      <c r="T134" s="10"/>
      <c r="U134" s="10"/>
      <c r="V134" s="10"/>
      <c r="W134" s="10"/>
      <c r="X134" s="10"/>
      <c r="Y134" s="10"/>
    </row>
    <row r="135" spans="1:25">
      <c r="A135" s="569" t="s">
        <v>648</v>
      </c>
      <c r="B135" s="578">
        <f>B132+B133+B134</f>
        <v>-105</v>
      </c>
      <c r="C135" s="578">
        <f>C132+C133+C134</f>
        <v>-105</v>
      </c>
      <c r="D135" s="578">
        <f t="shared" ref="D135:Q135" si="9">D132+D133+D134</f>
        <v>-105</v>
      </c>
      <c r="E135" s="578">
        <f t="shared" si="9"/>
        <v>-105</v>
      </c>
      <c r="F135" s="578">
        <f t="shared" si="9"/>
        <v>-95</v>
      </c>
      <c r="G135" s="578">
        <f t="shared" si="9"/>
        <v>-95</v>
      </c>
      <c r="H135" s="578">
        <f t="shared" si="9"/>
        <v>-95</v>
      </c>
      <c r="I135" s="578">
        <f t="shared" si="9"/>
        <v>185</v>
      </c>
      <c r="J135" s="578">
        <f t="shared" si="9"/>
        <v>185</v>
      </c>
      <c r="K135" s="578">
        <f t="shared" si="9"/>
        <v>185</v>
      </c>
      <c r="L135" s="578">
        <f t="shared" si="9"/>
        <v>185</v>
      </c>
      <c r="M135" s="578">
        <f t="shared" si="9"/>
        <v>185</v>
      </c>
      <c r="N135" s="578">
        <f t="shared" si="9"/>
        <v>185</v>
      </c>
      <c r="O135" s="578">
        <f t="shared" si="9"/>
        <v>185</v>
      </c>
      <c r="P135" s="578">
        <f t="shared" si="9"/>
        <v>185</v>
      </c>
      <c r="Q135" s="579">
        <f t="shared" si="9"/>
        <v>185</v>
      </c>
      <c r="R135" s="10"/>
      <c r="S135" s="10"/>
      <c r="T135" s="10"/>
      <c r="U135" s="10"/>
      <c r="V135" s="10"/>
      <c r="W135" s="10"/>
      <c r="X135" s="10"/>
      <c r="Y135" s="10"/>
    </row>
    <row r="136" spans="1:25" ht="16" thickBot="1">
      <c r="A136" s="580" t="s">
        <v>649</v>
      </c>
      <c r="B136" s="581">
        <f>B135/(1+$B$129)^(B131-$D$129)</f>
        <v>-105</v>
      </c>
      <c r="C136" s="581">
        <f t="shared" ref="C136:Q136" si="10">C135/(1+$B$129)^(C131-$D$129)</f>
        <v>-94.385556375877172</v>
      </c>
      <c r="D136" s="581">
        <f t="shared" si="10"/>
        <v>-84.844126213179891</v>
      </c>
      <c r="E136" s="581">
        <f t="shared" si="10"/>
        <v>-76.267238646248842</v>
      </c>
      <c r="F136" s="581">
        <f t="shared" si="10"/>
        <v>-62.028113063347831</v>
      </c>
      <c r="G136" s="581">
        <f t="shared" si="10"/>
        <v>-55.75769488028476</v>
      </c>
      <c r="H136" s="581">
        <f t="shared" si="10"/>
        <v>-50.12115289059119</v>
      </c>
      <c r="I136" s="581">
        <f t="shared" si="10"/>
        <v>87.737532514194271</v>
      </c>
      <c r="J136" s="581">
        <f t="shared" si="10"/>
        <v>78.868150679988972</v>
      </c>
      <c r="K136" s="581">
        <f t="shared" si="10"/>
        <v>70.895374116831192</v>
      </c>
      <c r="L136" s="581">
        <f t="shared" si="10"/>
        <v>63.728565052314984</v>
      </c>
      <c r="M136" s="581">
        <f t="shared" si="10"/>
        <v>57.286248280943148</v>
      </c>
      <c r="N136" s="581">
        <f t="shared" si="10"/>
        <v>51.495184920794827</v>
      </c>
      <c r="O136" s="581">
        <f t="shared" si="10"/>
        <v>46.28953980407524</v>
      </c>
      <c r="P136" s="581">
        <f t="shared" si="10"/>
        <v>41.61013303610433</v>
      </c>
      <c r="Q136" s="581">
        <f t="shared" si="10"/>
        <v>37.403767214161654</v>
      </c>
      <c r="R136" s="10"/>
      <c r="S136" s="10"/>
      <c r="T136" s="10"/>
      <c r="U136" s="10"/>
      <c r="V136" s="10"/>
      <c r="W136" s="10"/>
      <c r="X136" s="10"/>
      <c r="Y136" s="10"/>
    </row>
    <row r="137" spans="1:25" ht="16" thickBot="1">
      <c r="A137" s="580" t="s">
        <v>360</v>
      </c>
      <c r="B137" s="829">
        <f>SUM(B136:Q136)</f>
        <v>6.9106135498789527</v>
      </c>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1:25" ht="16" thickBot="1">
      <c r="A138" s="580" t="s">
        <v>873</v>
      </c>
      <c r="B138" s="829">
        <f>SUM(B135:H135)</f>
        <v>-705</v>
      </c>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ht="16" thickBot="1">
      <c r="A139" s="580" t="s">
        <v>874</v>
      </c>
      <c r="B139" s="580">
        <v>7</v>
      </c>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1:25" ht="16" thickBot="1">
      <c r="A140" s="580" t="s">
        <v>423</v>
      </c>
      <c r="B140" s="830">
        <f>IRR(B135:Q135)</f>
        <v>0.11431326653904739</v>
      </c>
      <c r="C140" s="10"/>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1:25" ht="15" thickBo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1:25">
      <c r="A142" s="642" t="s">
        <v>876</v>
      </c>
      <c r="B142" s="563">
        <v>2009</v>
      </c>
      <c r="C142" s="563">
        <v>2010</v>
      </c>
      <c r="D142" s="563">
        <v>2011</v>
      </c>
      <c r="E142" s="563">
        <v>2012</v>
      </c>
      <c r="F142" s="563">
        <v>2013</v>
      </c>
      <c r="G142" s="563">
        <v>2014</v>
      </c>
      <c r="H142" s="563">
        <v>2015</v>
      </c>
      <c r="I142" s="563">
        <v>2016</v>
      </c>
      <c r="J142" s="563">
        <v>2017</v>
      </c>
      <c r="K142" s="563">
        <v>2018</v>
      </c>
      <c r="L142" s="563">
        <v>2019</v>
      </c>
      <c r="M142" s="563">
        <v>2020</v>
      </c>
      <c r="N142" s="563">
        <v>2021</v>
      </c>
      <c r="O142" s="563">
        <v>2022</v>
      </c>
      <c r="P142" s="563">
        <v>2023</v>
      </c>
      <c r="Q142" s="564">
        <v>2024</v>
      </c>
      <c r="R142" s="10"/>
      <c r="S142" s="10"/>
      <c r="T142" s="10"/>
      <c r="U142" s="10"/>
      <c r="V142" s="10"/>
      <c r="W142" s="10"/>
      <c r="X142" s="10"/>
      <c r="Y142" s="10"/>
    </row>
    <row r="143" spans="1:25">
      <c r="A143" s="569" t="s">
        <v>871</v>
      </c>
      <c r="B143" s="570">
        <v>-105</v>
      </c>
      <c r="C143" s="570">
        <v>-105</v>
      </c>
      <c r="D143" s="570">
        <v>-105</v>
      </c>
      <c r="E143" s="570">
        <v>-105</v>
      </c>
      <c r="F143" s="570"/>
      <c r="G143" s="570"/>
      <c r="H143" s="570"/>
      <c r="I143" s="571"/>
      <c r="J143" s="571"/>
      <c r="K143" s="571"/>
      <c r="L143" s="571"/>
      <c r="M143" s="571"/>
      <c r="N143" s="571"/>
      <c r="O143" s="571"/>
      <c r="P143" s="571"/>
      <c r="Q143" s="572"/>
      <c r="R143" s="10"/>
      <c r="S143" s="10"/>
      <c r="T143" s="10"/>
      <c r="U143" s="10"/>
      <c r="V143" s="10"/>
      <c r="W143" s="10"/>
      <c r="X143" s="10"/>
      <c r="Y143" s="10"/>
    </row>
    <row r="144" spans="1:25">
      <c r="A144" s="569" t="s">
        <v>0</v>
      </c>
      <c r="B144" s="577"/>
      <c r="C144" s="577"/>
      <c r="D144" s="577"/>
      <c r="E144" s="577"/>
      <c r="F144" s="577">
        <v>-45</v>
      </c>
      <c r="G144" s="577">
        <v>-45</v>
      </c>
      <c r="H144" s="577"/>
      <c r="I144" s="578"/>
      <c r="J144" s="578"/>
      <c r="K144" s="578"/>
      <c r="L144" s="578"/>
      <c r="M144" s="578"/>
      <c r="N144" s="578"/>
      <c r="O144" s="578"/>
      <c r="P144" s="578"/>
      <c r="Q144" s="579"/>
      <c r="R144" s="10"/>
      <c r="S144" s="10"/>
      <c r="T144" s="10"/>
      <c r="U144" s="10"/>
      <c r="V144" s="10"/>
      <c r="W144" s="10"/>
      <c r="X144" s="10"/>
      <c r="Y144" s="10"/>
    </row>
    <row r="145" spans="1:25">
      <c r="A145" s="569" t="s">
        <v>6</v>
      </c>
      <c r="B145" s="577"/>
      <c r="C145" s="577"/>
      <c r="D145" s="577"/>
      <c r="E145" s="577"/>
      <c r="F145" s="578"/>
      <c r="G145" s="578"/>
      <c r="H145" s="578">
        <v>115</v>
      </c>
      <c r="I145" s="578">
        <v>115</v>
      </c>
      <c r="J145" s="578">
        <v>115</v>
      </c>
      <c r="K145" s="578">
        <v>115</v>
      </c>
      <c r="L145" s="578">
        <v>115</v>
      </c>
      <c r="M145" s="578">
        <v>115</v>
      </c>
      <c r="N145" s="578">
        <v>115</v>
      </c>
      <c r="O145" s="578">
        <v>115</v>
      </c>
      <c r="P145" s="578">
        <v>115</v>
      </c>
      <c r="Q145" s="578">
        <v>115</v>
      </c>
      <c r="R145" s="10"/>
      <c r="S145" s="10"/>
      <c r="T145" s="10"/>
      <c r="U145" s="10"/>
      <c r="V145" s="10"/>
      <c r="W145" s="10"/>
      <c r="X145" s="10"/>
      <c r="Y145" s="10"/>
    </row>
    <row r="146" spans="1:25">
      <c r="A146" s="569" t="s">
        <v>648</v>
      </c>
      <c r="B146" s="578">
        <f>B143+B144+B145</f>
        <v>-105</v>
      </c>
      <c r="C146" s="578">
        <f>C143+C144+C145</f>
        <v>-105</v>
      </c>
      <c r="D146" s="578">
        <f t="shared" ref="D146:Q146" si="11">D143+D144+D145</f>
        <v>-105</v>
      </c>
      <c r="E146" s="578">
        <f t="shared" si="11"/>
        <v>-105</v>
      </c>
      <c r="F146" s="578">
        <f t="shared" si="11"/>
        <v>-45</v>
      </c>
      <c r="G146" s="578">
        <f t="shared" si="11"/>
        <v>-45</v>
      </c>
      <c r="H146" s="578">
        <f t="shared" si="11"/>
        <v>115</v>
      </c>
      <c r="I146" s="578">
        <f t="shared" si="11"/>
        <v>115</v>
      </c>
      <c r="J146" s="578">
        <f t="shared" si="11"/>
        <v>115</v>
      </c>
      <c r="K146" s="578">
        <f t="shared" si="11"/>
        <v>115</v>
      </c>
      <c r="L146" s="578">
        <f t="shared" si="11"/>
        <v>115</v>
      </c>
      <c r="M146" s="578">
        <f t="shared" si="11"/>
        <v>115</v>
      </c>
      <c r="N146" s="578">
        <f t="shared" si="11"/>
        <v>115</v>
      </c>
      <c r="O146" s="578">
        <f t="shared" si="11"/>
        <v>115</v>
      </c>
      <c r="P146" s="578">
        <f t="shared" si="11"/>
        <v>115</v>
      </c>
      <c r="Q146" s="579">
        <f t="shared" si="11"/>
        <v>115</v>
      </c>
      <c r="R146" s="10"/>
      <c r="S146" s="10"/>
      <c r="T146" s="10"/>
      <c r="U146" s="10"/>
      <c r="V146" s="10"/>
      <c r="W146" s="10"/>
      <c r="X146" s="10"/>
      <c r="Y146" s="10"/>
    </row>
    <row r="147" spans="1:25" ht="16" thickBot="1">
      <c r="A147" s="580" t="s">
        <v>649</v>
      </c>
      <c r="B147" s="581">
        <f>B146/(1+$B$129)^(B142-$D$129)</f>
        <v>-105</v>
      </c>
      <c r="C147" s="581">
        <f t="shared" ref="C147" si="12">C146/(1+$B$129)^(C142-$D$129)</f>
        <v>-94.385556375877172</v>
      </c>
      <c r="D147" s="581">
        <f t="shared" ref="D147" si="13">D146/(1+$B$129)^(D142-$D$129)</f>
        <v>-84.844126213179891</v>
      </c>
      <c r="E147" s="581">
        <f t="shared" ref="E147" si="14">E146/(1+$B$129)^(E142-$D$129)</f>
        <v>-76.267238646248842</v>
      </c>
      <c r="F147" s="581">
        <f t="shared" ref="F147" si="15">F146/(1+$B$129)^(F142-$D$129)</f>
        <v>-29.381737766848971</v>
      </c>
      <c r="G147" s="581">
        <f t="shared" ref="G147" si="16">G146/(1+$B$129)^(G142-$D$129)</f>
        <v>-26.411539680134887</v>
      </c>
      <c r="H147" s="581">
        <f t="shared" ref="H147" si="17">H146/(1+$B$129)^(H142-$D$129)</f>
        <v>60.672974551768284</v>
      </c>
      <c r="I147" s="581">
        <f t="shared" ref="I147" si="18">I146/(1+$B$129)^(I142-$D$129)</f>
        <v>54.539547238553197</v>
      </c>
      <c r="J147" s="581">
        <f t="shared" ref="J147" si="19">J146/(1+$B$129)^(J142-$D$129)</f>
        <v>49.026147719993141</v>
      </c>
      <c r="K147" s="581">
        <f t="shared" ref="K147" si="20">K146/(1+$B$129)^(K142-$D$129)</f>
        <v>44.070097423976144</v>
      </c>
      <c r="L147" s="581">
        <f t="shared" ref="L147" si="21">L146/(1+$B$129)^(L142-$D$129)</f>
        <v>39.615053951439045</v>
      </c>
      <c r="M147" s="581">
        <f t="shared" ref="M147" si="22">M146/(1+$B$129)^(M142-$D$129)</f>
        <v>35.610370553018718</v>
      </c>
      <c r="N147" s="581">
        <f t="shared" ref="N147" si="23">N146/(1+$B$129)^(N142-$D$129)</f>
        <v>32.010520356169756</v>
      </c>
      <c r="O147" s="581">
        <f t="shared" ref="O147" si="24">O146/(1+$B$129)^(O142-$D$129)</f>
        <v>28.774578797127852</v>
      </c>
      <c r="P147" s="581">
        <f t="shared" ref="P147" si="25">P146/(1+$B$129)^(P142-$D$129)</f>
        <v>25.865758373794581</v>
      </c>
      <c r="Q147" s="581">
        <f t="shared" ref="Q147" si="26">Q146/(1+$B$129)^(Q142-$D$129)</f>
        <v>23.25099043042481</v>
      </c>
      <c r="R147" s="10"/>
      <c r="S147" s="10"/>
      <c r="T147" s="10"/>
      <c r="U147" s="10"/>
      <c r="V147" s="10"/>
      <c r="W147" s="10"/>
      <c r="X147" s="10"/>
      <c r="Y147" s="10"/>
    </row>
    <row r="148" spans="1:25" ht="16" thickBot="1">
      <c r="A148" s="580" t="s">
        <v>360</v>
      </c>
      <c r="B148" s="829">
        <f>SUM(B147:Q147)</f>
        <v>-22.854159286024181</v>
      </c>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1:25" ht="16" thickBot="1">
      <c r="A149" s="580" t="s">
        <v>873</v>
      </c>
      <c r="B149" s="829">
        <f>SUM(B146:G146)</f>
        <v>-510</v>
      </c>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1:25" ht="16" thickBot="1">
      <c r="A150" s="580" t="s">
        <v>874</v>
      </c>
      <c r="B150" s="580">
        <v>6</v>
      </c>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1:25" ht="16" thickBot="1">
      <c r="A151" s="580" t="s">
        <v>423</v>
      </c>
      <c r="B151" s="830">
        <f>IRR(B146:Q146)</f>
        <v>0.10450915449742881</v>
      </c>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1: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ht="15" thickBo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1:25">
      <c r="A154" s="642" t="s">
        <v>876</v>
      </c>
      <c r="B154" s="563">
        <v>2009</v>
      </c>
      <c r="C154" s="563">
        <v>2010</v>
      </c>
      <c r="D154" s="563">
        <v>2011</v>
      </c>
      <c r="E154" s="563">
        <v>2012</v>
      </c>
      <c r="F154" s="563">
        <v>2013</v>
      </c>
      <c r="G154" s="563">
        <v>2014</v>
      </c>
      <c r="H154" s="563">
        <v>2015</v>
      </c>
      <c r="I154" s="563">
        <v>2016</v>
      </c>
      <c r="J154" s="563">
        <v>2017</v>
      </c>
      <c r="K154" s="563">
        <v>2018</v>
      </c>
      <c r="L154" s="563">
        <v>2019</v>
      </c>
      <c r="M154" s="563">
        <v>2020</v>
      </c>
      <c r="N154" s="563">
        <v>2021</v>
      </c>
      <c r="O154" s="563">
        <v>2022</v>
      </c>
      <c r="P154" s="563">
        <v>2023</v>
      </c>
      <c r="Q154" s="564">
        <v>2024</v>
      </c>
      <c r="R154" s="10"/>
      <c r="S154" s="10"/>
      <c r="T154" s="10"/>
      <c r="U154" s="10"/>
      <c r="V154" s="10"/>
      <c r="W154" s="10"/>
      <c r="X154" s="10"/>
      <c r="Y154" s="10"/>
    </row>
    <row r="155" spans="1:25">
      <c r="A155" s="569" t="s">
        <v>871</v>
      </c>
      <c r="B155" s="570">
        <v>-195</v>
      </c>
      <c r="C155" s="570">
        <v>-195</v>
      </c>
      <c r="D155" s="570"/>
      <c r="E155" s="570"/>
      <c r="F155" s="570"/>
      <c r="G155" s="570"/>
      <c r="H155" s="570"/>
      <c r="I155" s="571"/>
      <c r="J155" s="571"/>
      <c r="K155" s="571"/>
      <c r="L155" s="571"/>
      <c r="M155" s="571"/>
      <c r="N155" s="571"/>
      <c r="O155" s="571"/>
      <c r="P155" s="571"/>
      <c r="Q155" s="572"/>
      <c r="R155" s="10"/>
      <c r="S155" s="10"/>
      <c r="T155" s="10"/>
      <c r="U155" s="10"/>
      <c r="V155" s="10"/>
      <c r="W155" s="10"/>
      <c r="X155" s="10"/>
      <c r="Y155" s="10"/>
    </row>
    <row r="156" spans="1:25">
      <c r="A156" s="569" t="s">
        <v>0</v>
      </c>
      <c r="B156" s="577"/>
      <c r="C156" s="577"/>
      <c r="D156" s="577">
        <v>-75</v>
      </c>
      <c r="E156" s="577">
        <v>-75</v>
      </c>
      <c r="F156" s="577"/>
      <c r="G156" s="577"/>
      <c r="H156" s="577"/>
      <c r="I156" s="578"/>
      <c r="J156" s="578"/>
      <c r="K156" s="578"/>
      <c r="L156" s="578"/>
      <c r="M156" s="578"/>
      <c r="N156" s="578"/>
      <c r="O156" s="578"/>
      <c r="P156" s="578"/>
      <c r="Q156" s="579"/>
      <c r="R156" s="10"/>
      <c r="S156" s="10"/>
      <c r="T156" s="10"/>
      <c r="U156" s="10"/>
      <c r="V156" s="10"/>
      <c r="W156" s="10"/>
      <c r="X156" s="10"/>
      <c r="Y156" s="10"/>
    </row>
    <row r="157" spans="1:25">
      <c r="A157" s="569" t="s">
        <v>6</v>
      </c>
      <c r="B157" s="577"/>
      <c r="C157" s="577"/>
      <c r="D157" s="577"/>
      <c r="E157" s="577"/>
      <c r="F157" s="578">
        <v>120</v>
      </c>
      <c r="G157" s="578">
        <v>120</v>
      </c>
      <c r="H157" s="578">
        <v>120</v>
      </c>
      <c r="I157" s="578">
        <v>120</v>
      </c>
      <c r="J157" s="578">
        <v>120</v>
      </c>
      <c r="K157" s="578">
        <v>120</v>
      </c>
      <c r="L157" s="578">
        <v>120</v>
      </c>
      <c r="M157" s="578">
        <v>120</v>
      </c>
      <c r="N157" s="578">
        <v>120</v>
      </c>
      <c r="O157" s="578">
        <v>120</v>
      </c>
      <c r="P157" s="578">
        <v>120</v>
      </c>
      <c r="Q157" s="578">
        <v>120</v>
      </c>
      <c r="R157" s="10"/>
      <c r="S157" s="10"/>
      <c r="T157" s="10"/>
      <c r="U157" s="10"/>
      <c r="V157" s="10"/>
      <c r="W157" s="10"/>
      <c r="X157" s="10"/>
      <c r="Y157" s="10"/>
    </row>
    <row r="158" spans="1:25">
      <c r="A158" s="569" t="s">
        <v>648</v>
      </c>
      <c r="B158" s="578">
        <f>B155+B156+B157</f>
        <v>-195</v>
      </c>
      <c r="C158" s="578">
        <f>C155+C156+C157</f>
        <v>-195</v>
      </c>
      <c r="D158" s="578">
        <f t="shared" ref="D158:Q158" si="27">D155+D156+D157</f>
        <v>-75</v>
      </c>
      <c r="E158" s="578">
        <f t="shared" si="27"/>
        <v>-75</v>
      </c>
      <c r="F158" s="578">
        <f t="shared" si="27"/>
        <v>120</v>
      </c>
      <c r="G158" s="578">
        <f t="shared" si="27"/>
        <v>120</v>
      </c>
      <c r="H158" s="578">
        <f t="shared" si="27"/>
        <v>120</v>
      </c>
      <c r="I158" s="578">
        <f t="shared" si="27"/>
        <v>120</v>
      </c>
      <c r="J158" s="578">
        <f t="shared" si="27"/>
        <v>120</v>
      </c>
      <c r="K158" s="578">
        <f t="shared" si="27"/>
        <v>120</v>
      </c>
      <c r="L158" s="578">
        <f t="shared" si="27"/>
        <v>120</v>
      </c>
      <c r="M158" s="578">
        <f t="shared" si="27"/>
        <v>120</v>
      </c>
      <c r="N158" s="578">
        <f t="shared" si="27"/>
        <v>120</v>
      </c>
      <c r="O158" s="578">
        <f t="shared" si="27"/>
        <v>120</v>
      </c>
      <c r="P158" s="578">
        <f t="shared" si="27"/>
        <v>120</v>
      </c>
      <c r="Q158" s="579">
        <f t="shared" si="27"/>
        <v>120</v>
      </c>
      <c r="R158" s="10"/>
      <c r="S158" s="10"/>
      <c r="T158" s="10"/>
      <c r="U158" s="10"/>
      <c r="V158" s="10"/>
      <c r="W158" s="10"/>
      <c r="X158" s="10"/>
      <c r="Y158" s="10"/>
    </row>
    <row r="159" spans="1:25" ht="16" thickBot="1">
      <c r="A159" s="580" t="s">
        <v>649</v>
      </c>
      <c r="B159" s="581">
        <f>B158/(1+$B$129)^(B154-$D$129)</f>
        <v>-195</v>
      </c>
      <c r="C159" s="581">
        <f t="shared" ref="C159" si="28">C158/(1+$B$129)^(C154-$D$129)</f>
        <v>-175.28746184091474</v>
      </c>
      <c r="D159" s="581">
        <f t="shared" ref="D159" si="29">D158/(1+$B$129)^(D154-$D$129)</f>
        <v>-60.602947295128487</v>
      </c>
      <c r="E159" s="581">
        <f t="shared" ref="E159" si="30">E158/(1+$B$129)^(E154-$D$129)</f>
        <v>-54.47659903303488</v>
      </c>
      <c r="F159" s="581">
        <f t="shared" ref="F159" si="31">F158/(1+$B$129)^(F154-$D$129)</f>
        <v>78.351300711597261</v>
      </c>
      <c r="G159" s="581">
        <f t="shared" ref="G159" si="32">G158/(1+$B$129)^(G154-$D$129)</f>
        <v>70.430772480359693</v>
      </c>
      <c r="H159" s="581">
        <f t="shared" ref="H159" si="33">H158/(1+$B$129)^(H154-$D$129)</f>
        <v>63.310929967062556</v>
      </c>
      <c r="I159" s="581">
        <f t="shared" ref="I159" si="34">I158/(1+$B$129)^(I154-$D$129)</f>
        <v>56.910831901098987</v>
      </c>
      <c r="J159" s="581">
        <f t="shared" ref="J159" si="35">J158/(1+$B$129)^(J154-$D$129)</f>
        <v>51.157719359992846</v>
      </c>
      <c r="K159" s="581">
        <f t="shared" ref="K159" si="36">K158/(1+$B$129)^(K154-$D$129)</f>
        <v>45.986188616322934</v>
      </c>
      <c r="L159" s="581">
        <f t="shared" ref="L159" si="37">L158/(1+$B$129)^(L154-$D$129)</f>
        <v>41.337447601501609</v>
      </c>
      <c r="M159" s="581">
        <f t="shared" ref="M159" si="38">M158/(1+$B$129)^(M154-$D$129)</f>
        <v>37.158647533584748</v>
      </c>
      <c r="N159" s="581">
        <f t="shared" ref="N159" si="39">N158/(1+$B$129)^(N154-$D$129)</f>
        <v>33.402282110785833</v>
      </c>
      <c r="O159" s="581">
        <f t="shared" ref="O159" si="40">O158/(1+$B$129)^(O154-$D$129)</f>
        <v>30.025647440481237</v>
      </c>
      <c r="P159" s="581">
        <f t="shared" ref="P159" si="41">P158/(1+$B$129)^(P154-$D$129)</f>
        <v>26.990356563959562</v>
      </c>
      <c r="Q159" s="581">
        <f t="shared" ref="Q159" si="42">Q158/(1+$B$129)^(Q154-$D$129)</f>
        <v>24.261903057834587</v>
      </c>
      <c r="R159" s="10"/>
      <c r="S159" s="10"/>
      <c r="T159" s="10"/>
      <c r="U159" s="10"/>
      <c r="V159" s="10"/>
      <c r="W159" s="10"/>
      <c r="X159" s="10"/>
      <c r="Y159" s="10"/>
    </row>
    <row r="160" spans="1:25" ht="16" thickBot="1">
      <c r="A160" s="580" t="s">
        <v>360</v>
      </c>
      <c r="B160" s="829">
        <f>SUM(B159:Q159)</f>
        <v>73.957019175503802</v>
      </c>
      <c r="C160" s="10"/>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1:25" ht="16" thickBot="1">
      <c r="A161" s="580" t="s">
        <v>873</v>
      </c>
      <c r="B161" s="829">
        <f>SUM(B158:E158)</f>
        <v>-540</v>
      </c>
      <c r="C161" s="10"/>
      <c r="D161" s="10"/>
      <c r="E161" s="10"/>
      <c r="F161" s="10"/>
      <c r="G161" s="10"/>
      <c r="H161" s="10"/>
      <c r="I161" s="10"/>
      <c r="J161" s="10"/>
      <c r="K161" s="10"/>
      <c r="L161" s="10"/>
      <c r="M161" s="10"/>
      <c r="N161" s="10"/>
      <c r="O161" s="10"/>
      <c r="P161" s="10"/>
      <c r="Q161" s="10"/>
      <c r="R161" s="10"/>
      <c r="S161" s="10"/>
      <c r="T161" s="10"/>
      <c r="U161" s="10"/>
      <c r="V161" s="10"/>
      <c r="W161" s="10"/>
      <c r="X161" s="10"/>
      <c r="Y161" s="10"/>
    </row>
    <row r="162" spans="1:25" ht="35.25" customHeight="1" thickBot="1">
      <c r="A162" s="580" t="s">
        <v>874</v>
      </c>
      <c r="B162" s="580">
        <v>4</v>
      </c>
      <c r="C162" s="10"/>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1:25" ht="18.75" customHeight="1" thickBot="1">
      <c r="A163" s="580" t="s">
        <v>423</v>
      </c>
      <c r="B163" s="830">
        <f>IRR(B158:Q158)</f>
        <v>0.13453103458339788</v>
      </c>
      <c r="C163" s="10"/>
      <c r="D163" s="10"/>
      <c r="E163" s="10"/>
      <c r="F163" s="10"/>
      <c r="G163" s="10"/>
      <c r="H163" s="10"/>
      <c r="I163" s="10"/>
      <c r="J163" s="10"/>
      <c r="K163" s="10"/>
      <c r="L163" s="10"/>
      <c r="M163" s="10"/>
      <c r="N163" s="10"/>
      <c r="O163" s="10"/>
      <c r="P163" s="10"/>
      <c r="Q163" s="10"/>
      <c r="R163" s="10"/>
      <c r="S163" s="10"/>
      <c r="T163" s="10"/>
      <c r="U163" s="10"/>
      <c r="V163" s="10"/>
      <c r="W163" s="10"/>
      <c r="X163" s="10"/>
      <c r="Y163" s="10"/>
    </row>
    <row r="164" spans="1:25" ht="15" thickBo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1:25" ht="30" customHeight="1" thickBot="1">
      <c r="A165" s="10"/>
      <c r="B165" s="10"/>
      <c r="C165" s="10"/>
      <c r="D165" s="10"/>
      <c r="E165" s="10"/>
      <c r="F165" s="10"/>
      <c r="G165" s="10"/>
      <c r="H165" s="10"/>
      <c r="I165" s="10"/>
      <c r="J165" s="10"/>
      <c r="K165" s="10"/>
      <c r="L165" s="10"/>
      <c r="M165" s="10"/>
      <c r="N165" s="10"/>
      <c r="O165" s="10"/>
      <c r="P165" s="10"/>
      <c r="Q165" s="10"/>
      <c r="R165" s="683"/>
      <c r="S165" s="10"/>
      <c r="T165" s="10"/>
      <c r="U165" s="10"/>
      <c r="V165" s="10"/>
      <c r="W165" s="10"/>
      <c r="X165" s="10"/>
      <c r="Y165" s="10"/>
    </row>
    <row r="166" spans="1:25">
      <c r="A166" s="835" t="s">
        <v>445</v>
      </c>
      <c r="B166" s="837" t="s">
        <v>640</v>
      </c>
      <c r="C166" s="837" t="s">
        <v>642</v>
      </c>
      <c r="D166" s="837" t="s">
        <v>645</v>
      </c>
      <c r="E166" s="836" t="s">
        <v>383</v>
      </c>
      <c r="F166" s="10"/>
      <c r="G166" s="10"/>
      <c r="H166" s="10"/>
      <c r="I166" s="10"/>
      <c r="J166" s="10"/>
      <c r="K166" s="10"/>
      <c r="L166" s="10"/>
      <c r="M166" s="10"/>
      <c r="N166" s="10"/>
      <c r="O166" s="10"/>
      <c r="P166" s="10"/>
      <c r="Q166" s="10"/>
      <c r="R166" s="10"/>
      <c r="S166" s="10"/>
      <c r="T166" s="10"/>
      <c r="U166" s="10"/>
      <c r="V166" s="10"/>
      <c r="W166" s="10"/>
      <c r="X166" s="10"/>
      <c r="Y166" s="10"/>
    </row>
    <row r="167" spans="1:25">
      <c r="A167" s="832" t="s">
        <v>360</v>
      </c>
      <c r="B167" s="838">
        <f>B137</f>
        <v>6.9106135498789527</v>
      </c>
      <c r="C167" s="838">
        <f>B148</f>
        <v>-22.854159286024181</v>
      </c>
      <c r="D167" s="838">
        <f>B160</f>
        <v>73.957019175503802</v>
      </c>
      <c r="E167" s="842">
        <f>SUM(B167:D167)</f>
        <v>58.013473439358577</v>
      </c>
      <c r="F167" s="10"/>
      <c r="G167" s="10"/>
      <c r="H167" s="10"/>
      <c r="I167" s="10"/>
      <c r="J167" s="10"/>
      <c r="K167" s="10"/>
      <c r="L167" s="10"/>
      <c r="M167" s="10"/>
      <c r="N167" s="10"/>
      <c r="O167" s="10"/>
      <c r="P167" s="10"/>
      <c r="Q167" s="10"/>
      <c r="R167" s="10"/>
      <c r="S167" s="10"/>
      <c r="T167" s="10"/>
      <c r="U167" s="10"/>
      <c r="V167" s="10"/>
      <c r="W167" s="10"/>
      <c r="X167" s="10"/>
      <c r="Y167" s="10"/>
    </row>
    <row r="168" spans="1:25" hidden="1">
      <c r="A168" s="833" t="s">
        <v>423</v>
      </c>
      <c r="B168" s="839">
        <f>B139</f>
        <v>7</v>
      </c>
      <c r="C168" s="839">
        <f>B151</f>
        <v>0.10450915449742881</v>
      </c>
      <c r="D168" s="839">
        <f>B163</f>
        <v>0.13453103458339788</v>
      </c>
      <c r="E168" s="843"/>
      <c r="F168" s="10"/>
      <c r="G168" s="10"/>
      <c r="H168" s="10"/>
      <c r="I168" s="10"/>
      <c r="J168" s="10"/>
      <c r="K168" s="10"/>
      <c r="L168" s="10"/>
      <c r="M168" s="10"/>
      <c r="N168" s="10"/>
      <c r="O168" s="10"/>
      <c r="P168" s="10"/>
      <c r="Q168" s="10"/>
    </row>
    <row r="169" spans="1:25" s="10" customFormat="1">
      <c r="A169" s="832" t="s">
        <v>877</v>
      </c>
      <c r="B169" s="840">
        <f>B138</f>
        <v>-705</v>
      </c>
      <c r="C169" s="840">
        <f>B149</f>
        <v>-510</v>
      </c>
      <c r="D169" s="840">
        <f>B161</f>
        <v>-540</v>
      </c>
      <c r="E169" s="844">
        <f>B169+D169+105</f>
        <v>-1140</v>
      </c>
    </row>
    <row r="170" spans="1:25" s="10" customFormat="1">
      <c r="A170" s="832" t="s">
        <v>423</v>
      </c>
      <c r="B170" s="841">
        <f>B140</f>
        <v>0.11431326653904739</v>
      </c>
      <c r="C170" s="841">
        <f>B151</f>
        <v>0.10450915449742881</v>
      </c>
      <c r="D170" s="841">
        <f>B163</f>
        <v>0.13453103458339788</v>
      </c>
      <c r="E170" s="834" t="s">
        <v>550</v>
      </c>
    </row>
    <row r="171" spans="1:25" s="10" customFormat="1"/>
    <row r="172" spans="1:25" s="10" customFormat="1"/>
    <row r="173" spans="1:25" s="10" customFormat="1"/>
    <row r="174" spans="1:25" s="10" customFormat="1"/>
    <row r="175" spans="1:25" s="10" customFormat="1" ht="18.5">
      <c r="A175" s="760"/>
      <c r="B175" s="1073"/>
      <c r="C175" s="1073"/>
      <c r="D175" s="1073"/>
      <c r="E175" s="1073"/>
      <c r="F175" s="1073"/>
      <c r="G175" s="1073"/>
      <c r="H175" s="1073"/>
      <c r="I175" s="1073"/>
      <c r="J175" s="1073"/>
      <c r="K175" s="1073"/>
      <c r="L175" s="1073"/>
    </row>
    <row r="176" spans="1:25" s="10" customFormat="1" ht="18.5">
      <c r="B176" s="1073"/>
      <c r="C176" s="1073"/>
      <c r="D176" s="1073"/>
      <c r="E176" s="1073"/>
      <c r="F176" s="1073"/>
      <c r="G176" s="1073"/>
      <c r="H176" s="1073"/>
      <c r="I176" s="1073"/>
      <c r="J176" s="1073"/>
      <c r="K176" s="1073"/>
      <c r="L176" s="1073"/>
    </row>
    <row r="177" spans="1:17" s="10" customFormat="1" ht="18.5">
      <c r="B177" s="1073"/>
      <c r="C177" s="1073"/>
      <c r="D177" s="1073"/>
      <c r="E177" s="1073"/>
      <c r="F177" s="1073"/>
      <c r="G177" s="1073"/>
      <c r="H177" s="1073"/>
      <c r="I177" s="1073"/>
      <c r="J177" s="1073"/>
      <c r="K177" s="1073"/>
      <c r="L177" s="1073"/>
    </row>
    <row r="178" spans="1:17" s="10" customFormat="1" ht="15" thickBot="1"/>
    <row r="179" spans="1:17" s="10" customFormat="1" ht="24" thickBot="1">
      <c r="A179" s="874" t="s">
        <v>896</v>
      </c>
      <c r="B179" s="875"/>
      <c r="C179" s="875"/>
      <c r="D179" s="875"/>
      <c r="E179" s="875"/>
      <c r="F179" s="875"/>
      <c r="G179" s="875"/>
      <c r="H179" s="875"/>
      <c r="I179" s="875"/>
      <c r="J179" s="875"/>
      <c r="K179" s="875"/>
      <c r="L179" s="875"/>
      <c r="M179" s="875"/>
      <c r="N179" s="875"/>
      <c r="O179" s="875"/>
      <c r="P179" s="875"/>
      <c r="Q179" s="875"/>
    </row>
    <row r="180" spans="1:17" s="10" customFormat="1"/>
    <row r="181" spans="1:17">
      <c r="A181" s="871" t="s">
        <v>897</v>
      </c>
      <c r="B181" s="10"/>
      <c r="C181" s="10"/>
      <c r="D181" s="10"/>
      <c r="E181" s="10"/>
      <c r="F181" s="10"/>
      <c r="G181" s="10"/>
      <c r="H181" s="10"/>
      <c r="I181" s="10"/>
      <c r="J181" s="10"/>
      <c r="K181" s="10"/>
      <c r="L181" s="10"/>
      <c r="M181" s="10"/>
      <c r="N181" s="10"/>
      <c r="O181" s="10"/>
      <c r="P181" s="10"/>
      <c r="Q181" s="10"/>
    </row>
    <row r="182" spans="1:17">
      <c r="A182" s="872" t="s">
        <v>890</v>
      </c>
      <c r="B182" s="872"/>
      <c r="C182" s="10"/>
      <c r="D182" s="10"/>
      <c r="E182" s="10"/>
      <c r="F182" s="10"/>
      <c r="G182" s="10"/>
      <c r="H182" s="10"/>
      <c r="I182" s="10"/>
      <c r="J182" s="10"/>
      <c r="K182" s="10"/>
      <c r="L182" s="10"/>
      <c r="M182" s="10"/>
      <c r="N182" s="10"/>
      <c r="O182" s="10"/>
      <c r="P182" s="10"/>
      <c r="Q182" s="10"/>
    </row>
    <row r="183" spans="1:17">
      <c r="A183" s="872" t="s">
        <v>893</v>
      </c>
      <c r="B183" s="872"/>
      <c r="C183" s="10"/>
      <c r="D183" s="10"/>
      <c r="E183" s="10"/>
      <c r="F183" s="10"/>
      <c r="G183" s="10"/>
      <c r="H183" s="10"/>
      <c r="I183" s="10"/>
      <c r="J183" s="10"/>
      <c r="K183" s="10"/>
      <c r="L183" s="10"/>
      <c r="M183" s="10"/>
      <c r="N183" s="10"/>
      <c r="O183" s="10"/>
      <c r="P183" s="10"/>
      <c r="Q183" s="10"/>
    </row>
    <row r="184" spans="1:17">
      <c r="A184" s="872" t="s">
        <v>891</v>
      </c>
      <c r="B184" s="873">
        <f>'Valeur de l''action'!M8/1000000</f>
        <v>250.97499999999999</v>
      </c>
      <c r="C184" s="897" t="s">
        <v>912</v>
      </c>
      <c r="D184" s="10"/>
      <c r="E184" s="10"/>
      <c r="F184" s="10"/>
      <c r="G184" s="10"/>
      <c r="H184" s="10"/>
      <c r="I184" s="10"/>
      <c r="J184" s="10"/>
      <c r="K184" s="10"/>
      <c r="L184" s="10"/>
      <c r="M184" s="10"/>
      <c r="N184" s="10"/>
      <c r="O184" s="10"/>
      <c r="P184" s="10"/>
      <c r="Q184" s="10"/>
    </row>
    <row r="185" spans="1:17">
      <c r="A185" s="872" t="s">
        <v>895</v>
      </c>
      <c r="B185" s="873">
        <v>520</v>
      </c>
      <c r="C185" s="897" t="s">
        <v>912</v>
      </c>
      <c r="D185" s="10"/>
      <c r="E185" s="10"/>
      <c r="F185" s="10"/>
      <c r="G185" s="10"/>
      <c r="H185" s="10"/>
      <c r="I185" s="10"/>
      <c r="J185" s="10"/>
      <c r="K185" s="10"/>
      <c r="L185" s="10"/>
      <c r="M185" s="10"/>
      <c r="N185" s="10"/>
      <c r="O185" s="10"/>
      <c r="P185" s="10"/>
      <c r="Q185" s="10"/>
    </row>
    <row r="186" spans="1:17">
      <c r="A186" s="10"/>
      <c r="B186" s="10"/>
      <c r="C186" s="10"/>
      <c r="D186" s="10"/>
      <c r="E186" s="10"/>
      <c r="F186" s="10"/>
      <c r="G186" s="10"/>
      <c r="H186" s="10"/>
      <c r="I186" s="10"/>
      <c r="J186" s="10"/>
      <c r="K186" s="10"/>
      <c r="L186" s="10"/>
      <c r="M186" s="10"/>
      <c r="N186" s="10"/>
      <c r="O186" s="10"/>
      <c r="P186" s="10"/>
      <c r="Q186" s="10"/>
    </row>
    <row r="187" spans="1:17">
      <c r="A187" s="7" t="s">
        <v>878</v>
      </c>
      <c r="B187" s="1063" t="s">
        <v>879</v>
      </c>
      <c r="C187" s="1063"/>
    </row>
    <row r="188" spans="1:17" ht="15" thickBot="1">
      <c r="A188" s="878" t="s">
        <v>880</v>
      </c>
      <c r="B188" s="845">
        <v>2009</v>
      </c>
      <c r="C188" s="845">
        <v>2010</v>
      </c>
      <c r="D188" s="845">
        <v>2011</v>
      </c>
      <c r="E188" s="845">
        <v>2012</v>
      </c>
      <c r="F188" s="845">
        <v>2013</v>
      </c>
      <c r="G188" s="845">
        <v>2014</v>
      </c>
      <c r="H188" s="845">
        <v>2015</v>
      </c>
      <c r="I188" s="845">
        <v>2016</v>
      </c>
      <c r="J188" s="845">
        <v>2017</v>
      </c>
      <c r="K188" s="845">
        <v>2018</v>
      </c>
      <c r="L188" s="845">
        <v>2019</v>
      </c>
      <c r="M188" s="846">
        <v>2020</v>
      </c>
      <c r="N188" s="845">
        <v>2021</v>
      </c>
      <c r="O188" s="845">
        <v>2022</v>
      </c>
      <c r="P188" s="845">
        <v>2023</v>
      </c>
      <c r="Q188" s="845">
        <v>2024</v>
      </c>
    </row>
    <row r="189" spans="1:17">
      <c r="A189" s="847" t="s">
        <v>881</v>
      </c>
      <c r="B189" s="848">
        <f>'Scénarios '!C7*0.51</f>
        <v>-53.550000000000004</v>
      </c>
      <c r="C189" s="848">
        <f>'Scénarios '!D7*0.51</f>
        <v>-53.550000000000004</v>
      </c>
      <c r="D189" s="848">
        <f>'Scénarios '!E7*0.51</f>
        <v>-53.550000000000004</v>
      </c>
      <c r="E189" s="848">
        <f>'Scénarios '!F7*0.51</f>
        <v>-53.550000000000004</v>
      </c>
      <c r="F189" s="848">
        <f>'Scénarios '!G7*0.51</f>
        <v>-48.45</v>
      </c>
      <c r="G189" s="848">
        <f>'Scénarios '!H7*0.51</f>
        <v>-48.45</v>
      </c>
      <c r="H189" s="848">
        <f>'Scénarios '!I7*0.51</f>
        <v>-48.45</v>
      </c>
      <c r="I189" s="848">
        <f>'Scénarios '!J7*0.51</f>
        <v>94.350000000000009</v>
      </c>
      <c r="J189" s="848">
        <f>'Scénarios '!K7*0.51</f>
        <v>94.350000000000009</v>
      </c>
      <c r="K189" s="848">
        <f>'Scénarios '!L7*0.51</f>
        <v>94.350000000000009</v>
      </c>
      <c r="L189" s="848">
        <f>'Scénarios '!M7*0.51</f>
        <v>94.350000000000009</v>
      </c>
      <c r="M189" s="848">
        <f>'Scénarios '!N7*0.51</f>
        <v>94.350000000000009</v>
      </c>
      <c r="N189" s="848">
        <f>'Scénarios '!O7*0.51</f>
        <v>94.350000000000009</v>
      </c>
      <c r="O189" s="848">
        <f>'Scénarios '!P7*0.51</f>
        <v>94.350000000000009</v>
      </c>
      <c r="P189" s="848">
        <f>'Scénarios '!Q7*0.51</f>
        <v>94.350000000000009</v>
      </c>
      <c r="Q189" s="848">
        <f>'Scénarios '!R7*0.51</f>
        <v>94.350000000000009</v>
      </c>
    </row>
    <row r="190" spans="1:17">
      <c r="A190" s="849" t="s">
        <v>882</v>
      </c>
      <c r="B190" s="850">
        <v>-105</v>
      </c>
      <c r="C190" s="850"/>
      <c r="D190" s="850"/>
      <c r="E190" s="850"/>
      <c r="F190" s="850"/>
      <c r="G190" s="850"/>
      <c r="H190" s="850"/>
      <c r="I190" s="850"/>
      <c r="J190" s="850"/>
      <c r="K190" s="850"/>
      <c r="L190" s="850"/>
      <c r="M190" s="850"/>
      <c r="N190" s="850"/>
      <c r="O190" s="850"/>
      <c r="P190" s="850"/>
      <c r="Q190" s="850"/>
    </row>
    <row r="191" spans="1:17">
      <c r="A191" s="849" t="s">
        <v>883</v>
      </c>
      <c r="B191" s="850">
        <f>'Scénarios '!C9*0.51</f>
        <v>-99.45</v>
      </c>
      <c r="C191" s="850">
        <f>'Scénarios '!D9*0.51</f>
        <v>-99.45</v>
      </c>
      <c r="D191" s="850">
        <f>'Scénarios '!E9*0.51</f>
        <v>-38.25</v>
      </c>
      <c r="E191" s="850">
        <f>'Scénarios '!F9*0.51</f>
        <v>-38.25</v>
      </c>
      <c r="F191" s="850">
        <f>'Scénarios '!G9*0.51</f>
        <v>61.2</v>
      </c>
      <c r="G191" s="850">
        <f>'Scénarios '!H9*0.51</f>
        <v>61.2</v>
      </c>
      <c r="H191" s="850">
        <f>'Scénarios '!I9*0.51</f>
        <v>61.2</v>
      </c>
      <c r="I191" s="850">
        <f>'Scénarios '!J9*0.51</f>
        <v>61.2</v>
      </c>
      <c r="J191" s="850">
        <f>'Scénarios '!K9*0.51</f>
        <v>61.2</v>
      </c>
      <c r="K191" s="850">
        <f>'Scénarios '!L9*0.51</f>
        <v>61.2</v>
      </c>
      <c r="L191" s="850">
        <f>'Scénarios '!M9*0.51</f>
        <v>61.2</v>
      </c>
      <c r="M191" s="850">
        <f>'Scénarios '!N9*0.51</f>
        <v>61.2</v>
      </c>
      <c r="N191" s="850">
        <f>'Scénarios '!O9*0.51</f>
        <v>61.2</v>
      </c>
      <c r="O191" s="850">
        <f>'Scénarios '!P9*0.51</f>
        <v>61.2</v>
      </c>
      <c r="P191" s="850">
        <f>'Scénarios '!Q9*0.51</f>
        <v>61.2</v>
      </c>
      <c r="Q191" s="850">
        <f>'Scénarios '!R9*0.51</f>
        <v>61.2</v>
      </c>
    </row>
    <row r="192" spans="1:17">
      <c r="A192" s="849" t="s">
        <v>884</v>
      </c>
      <c r="B192" s="850">
        <f>'Scénarios '!C15</f>
        <v>94.954999999999998</v>
      </c>
      <c r="C192" s="850">
        <f>'Scénarios '!D15</f>
        <v>87.358599999999996</v>
      </c>
      <c r="D192" s="850">
        <f>'Scénarios '!E15</f>
        <v>79.762199999999993</v>
      </c>
      <c r="E192" s="850">
        <f>'Scénarios '!F15</f>
        <v>72.165800000000004</v>
      </c>
      <c r="F192" s="850">
        <f>'Scénarios '!G15</f>
        <v>64.569399999999987</v>
      </c>
      <c r="G192" s="850">
        <f>'Scénarios '!H15</f>
        <v>56.972999999999999</v>
      </c>
      <c r="H192" s="850">
        <f>'Scénarios '!I15</f>
        <v>49.376600000000003</v>
      </c>
      <c r="I192" s="850">
        <f>'Scénarios '!J15</f>
        <v>41.780199999999994</v>
      </c>
      <c r="J192" s="850">
        <f>'Scénarios '!K15</f>
        <v>34.183799999999998</v>
      </c>
      <c r="K192" s="850">
        <f>'Scénarios '!L15</f>
        <v>26.587400000000002</v>
      </c>
      <c r="L192" s="850">
        <f>'Scénarios '!M15</f>
        <v>18.990999999999996</v>
      </c>
      <c r="M192" s="850">
        <f>'Scénarios '!N15</f>
        <v>15.82583333333333</v>
      </c>
      <c r="N192" s="850">
        <f>'Scénarios '!O15</f>
        <v>12.660666666666664</v>
      </c>
      <c r="O192" s="850">
        <f>'Scénarios '!P15</f>
        <v>9.4954999999999981</v>
      </c>
      <c r="P192" s="850">
        <f>'Scénarios '!Q15</f>
        <v>6.330333333333332</v>
      </c>
      <c r="Q192" s="850">
        <f>'Scénarios '!R15</f>
        <v>3.165166666666666</v>
      </c>
    </row>
    <row r="193" spans="1:18">
      <c r="A193" s="851" t="s">
        <v>885</v>
      </c>
      <c r="B193" s="852">
        <f>SUM(B189:B192)</f>
        <v>-163.04500000000002</v>
      </c>
      <c r="C193" s="852">
        <f t="shared" ref="C193:Q193" si="43">SUM(C189:C192)</f>
        <v>-65.641400000000004</v>
      </c>
      <c r="D193" s="852">
        <f t="shared" si="43"/>
        <v>-12.037800000000018</v>
      </c>
      <c r="E193" s="852">
        <f t="shared" si="43"/>
        <v>-19.634200000000007</v>
      </c>
      <c r="F193" s="852">
        <f t="shared" si="43"/>
        <v>77.319399999999987</v>
      </c>
      <c r="G193" s="852">
        <f t="shared" si="43"/>
        <v>69.722999999999999</v>
      </c>
      <c r="H193" s="852">
        <f t="shared" si="43"/>
        <v>62.126600000000003</v>
      </c>
      <c r="I193" s="852">
        <f t="shared" si="43"/>
        <v>197.33019999999999</v>
      </c>
      <c r="J193" s="852">
        <f t="shared" si="43"/>
        <v>189.7338</v>
      </c>
      <c r="K193" s="852">
        <f t="shared" si="43"/>
        <v>182.13740000000001</v>
      </c>
      <c r="L193" s="852">
        <f t="shared" si="43"/>
        <v>174.541</v>
      </c>
      <c r="M193" s="852">
        <f t="shared" si="43"/>
        <v>171.37583333333333</v>
      </c>
      <c r="N193" s="852">
        <f t="shared" si="43"/>
        <v>168.21066666666667</v>
      </c>
      <c r="O193" s="852">
        <f t="shared" si="43"/>
        <v>165.0455</v>
      </c>
      <c r="P193" s="852">
        <f t="shared" si="43"/>
        <v>161.88033333333334</v>
      </c>
      <c r="Q193" s="853">
        <f t="shared" si="43"/>
        <v>158.71516666666668</v>
      </c>
    </row>
    <row r="194" spans="1:18" ht="8.25" customHeight="1">
      <c r="A194" s="854"/>
      <c r="B194" s="855"/>
      <c r="C194" s="855"/>
      <c r="D194" s="855"/>
      <c r="E194" s="855"/>
      <c r="F194" s="855"/>
      <c r="G194" s="855"/>
      <c r="H194" s="855"/>
      <c r="I194" s="855"/>
      <c r="J194" s="855"/>
      <c r="K194" s="855"/>
      <c r="L194" s="855"/>
      <c r="M194" s="855"/>
      <c r="N194" s="855"/>
      <c r="O194" s="855"/>
      <c r="P194" s="855"/>
      <c r="Q194" s="856"/>
    </row>
    <row r="195" spans="1:18">
      <c r="A195" s="857" t="s">
        <v>886</v>
      </c>
      <c r="B195" s="858">
        <f>SUM('Scénarios '!C21)</f>
        <v>-4.6523076923076925</v>
      </c>
      <c r="C195" s="858">
        <f>SUM('Scénarios '!D21)</f>
        <v>-18.60923076923077</v>
      </c>
      <c r="D195" s="858">
        <f>SUM('Scénarios '!E21)</f>
        <v>-46.359427055702916</v>
      </c>
      <c r="E195" s="858">
        <f>SUM('Scénarios '!F21)</f>
        <v>-40.237241379310341</v>
      </c>
      <c r="F195" s="858">
        <f>SUM('Scénarios '!G21)</f>
        <v>-46.309447199172403</v>
      </c>
      <c r="G195" s="858">
        <f>SUM('Scénarios '!H21)</f>
        <v>65.088544944103347</v>
      </c>
      <c r="H195" s="858">
        <f>SUM('Scénarios '!I21)</f>
        <v>65.578759369331152</v>
      </c>
      <c r="I195" s="858">
        <f>SUM('Scénarios '!J21)</f>
        <v>67.133085620339997</v>
      </c>
      <c r="J195" s="858">
        <f>SUM('Scénarios '!K21)</f>
        <v>63.206131112625229</v>
      </c>
      <c r="K195" s="858">
        <f>SUM('Scénarios '!L21)</f>
        <v>63.752081027528938</v>
      </c>
      <c r="L195" s="858">
        <f>SUM('Scénarios '!M21)</f>
        <v>64.495474857623719</v>
      </c>
      <c r="M195" s="858">
        <f>SUM('Scénarios '!N21)</f>
        <v>67.962227713177342</v>
      </c>
      <c r="N195" s="858">
        <f>SUM('Scénarios '!O21)</f>
        <v>68.845303582609034</v>
      </c>
      <c r="O195" s="858">
        <f>SUM('Scénarios '!P21)</f>
        <v>72.456426463123023</v>
      </c>
      <c r="P195" s="858">
        <f>SUM('Scénarios '!Q21)</f>
        <v>73.488719313247358</v>
      </c>
      <c r="Q195" s="858">
        <f>SUM('Scénarios '!R21)</f>
        <v>106.26525801361335</v>
      </c>
    </row>
    <row r="196" spans="1:18" ht="6.75" customHeight="1">
      <c r="A196" s="859"/>
      <c r="B196" s="860"/>
      <c r="C196" s="860"/>
      <c r="D196" s="860"/>
      <c r="E196" s="860"/>
      <c r="F196" s="860"/>
      <c r="G196" s="860"/>
      <c r="H196" s="860"/>
      <c r="I196" s="860"/>
      <c r="J196" s="860"/>
      <c r="K196" s="860"/>
      <c r="L196" s="860"/>
      <c r="M196" s="860"/>
      <c r="N196" s="860"/>
      <c r="O196" s="860"/>
      <c r="P196" s="860"/>
      <c r="Q196" s="861"/>
    </row>
    <row r="197" spans="1:18" ht="15" thickBot="1">
      <c r="A197" s="862" t="s">
        <v>887</v>
      </c>
      <c r="B197" s="863">
        <f>B193+B195</f>
        <v>-167.6973076923077</v>
      </c>
      <c r="C197" s="863">
        <f>C193+C195</f>
        <v>-84.250630769230781</v>
      </c>
      <c r="D197" s="863">
        <f t="shared" ref="D197:Q197" si="44">D193+D195</f>
        <v>-58.397227055702935</v>
      </c>
      <c r="E197" s="863">
        <f t="shared" si="44"/>
        <v>-59.871441379310347</v>
      </c>
      <c r="F197" s="863">
        <f t="shared" si="44"/>
        <v>31.009952800827584</v>
      </c>
      <c r="G197" s="863">
        <f t="shared" si="44"/>
        <v>134.81154494410333</v>
      </c>
      <c r="H197" s="863">
        <f t="shared" si="44"/>
        <v>127.70535936933115</v>
      </c>
      <c r="I197" s="863">
        <f t="shared" si="44"/>
        <v>264.46328562034</v>
      </c>
      <c r="J197" s="863">
        <f t="shared" si="44"/>
        <v>252.93993111262523</v>
      </c>
      <c r="K197" s="863">
        <f t="shared" si="44"/>
        <v>245.88948102752894</v>
      </c>
      <c r="L197" s="863">
        <f t="shared" si="44"/>
        <v>239.03647485762372</v>
      </c>
      <c r="M197" s="863">
        <f t="shared" si="44"/>
        <v>239.33806104651069</v>
      </c>
      <c r="N197" s="863">
        <f t="shared" si="44"/>
        <v>237.0559702492757</v>
      </c>
      <c r="O197" s="863">
        <f t="shared" si="44"/>
        <v>237.50192646312303</v>
      </c>
      <c r="P197" s="863">
        <f t="shared" si="44"/>
        <v>235.36905264658071</v>
      </c>
      <c r="Q197" s="864">
        <f t="shared" si="44"/>
        <v>264.98042468028001</v>
      </c>
    </row>
    <row r="199" spans="1:18" ht="15" thickBot="1">
      <c r="B199" s="846">
        <v>2009</v>
      </c>
      <c r="C199" s="846">
        <v>2010</v>
      </c>
      <c r="D199" s="846">
        <v>2011</v>
      </c>
      <c r="E199" s="846">
        <v>2012</v>
      </c>
      <c r="F199" s="846">
        <v>2013</v>
      </c>
      <c r="G199" s="846">
        <v>2014</v>
      </c>
      <c r="H199" s="846">
        <v>2015</v>
      </c>
      <c r="I199" s="846">
        <v>2016</v>
      </c>
      <c r="J199" s="846">
        <v>2017</v>
      </c>
      <c r="K199" s="846">
        <v>2018</v>
      </c>
      <c r="L199" s="846">
        <v>2019</v>
      </c>
      <c r="M199" s="846">
        <v>2020</v>
      </c>
      <c r="N199" s="846">
        <v>2021</v>
      </c>
      <c r="O199" s="846">
        <v>2022</v>
      </c>
      <c r="P199" s="846">
        <v>2023</v>
      </c>
      <c r="Q199" s="846">
        <v>2024</v>
      </c>
      <c r="R199" s="846" t="s">
        <v>383</v>
      </c>
    </row>
    <row r="200" spans="1:18" ht="15" thickBot="1">
      <c r="A200" s="865" t="s">
        <v>657</v>
      </c>
      <c r="B200" s="866">
        <f>B193+B195+B184+B185</f>
        <v>603.27769230769229</v>
      </c>
      <c r="C200" s="866">
        <f t="shared" ref="C200:Q200" si="45">C193+C195+B200</f>
        <v>519.02706153846157</v>
      </c>
      <c r="D200" s="866">
        <f t="shared" si="45"/>
        <v>460.62983448275861</v>
      </c>
      <c r="E200" s="866">
        <f t="shared" si="45"/>
        <v>400.75839310344827</v>
      </c>
      <c r="F200" s="866">
        <f t="shared" si="45"/>
        <v>431.76834590427586</v>
      </c>
      <c r="G200" s="866">
        <f t="shared" si="45"/>
        <v>566.57989084837914</v>
      </c>
      <c r="H200" s="866">
        <f t="shared" si="45"/>
        <v>694.28525021771031</v>
      </c>
      <c r="I200" s="866">
        <f t="shared" si="45"/>
        <v>958.74853583805032</v>
      </c>
      <c r="J200" s="866">
        <f t="shared" si="45"/>
        <v>1211.6884669506755</v>
      </c>
      <c r="K200" s="866">
        <f t="shared" si="45"/>
        <v>1457.5779479782045</v>
      </c>
      <c r="L200" s="866">
        <f t="shared" si="45"/>
        <v>1696.6144228358282</v>
      </c>
      <c r="M200" s="866">
        <f t="shared" si="45"/>
        <v>1935.952483882339</v>
      </c>
      <c r="N200" s="866">
        <f t="shared" si="45"/>
        <v>2173.0084541316146</v>
      </c>
      <c r="O200" s="866">
        <f t="shared" si="45"/>
        <v>2410.5103805947374</v>
      </c>
      <c r="P200" s="866">
        <f t="shared" si="45"/>
        <v>2645.8794332413181</v>
      </c>
      <c r="Q200" s="898">
        <f t="shared" si="45"/>
        <v>2910.8598579215982</v>
      </c>
      <c r="R200" s="900">
        <f>SUM(B200:Q200)</f>
        <v>21077.166451777091</v>
      </c>
    </row>
    <row r="201" spans="1:18">
      <c r="A201" s="867" t="s">
        <v>888</v>
      </c>
      <c r="B201" s="868">
        <f>'Scénarios '!C26</f>
        <v>-63.722307692307709</v>
      </c>
      <c r="C201" s="868">
        <f>'Scénarios '!D26</f>
        <v>-399.97293846153849</v>
      </c>
      <c r="D201" s="868">
        <f>'Scénarios '!E26</f>
        <v>-651.57016551724132</v>
      </c>
      <c r="E201" s="868">
        <f>'Scénarios '!F26</f>
        <v>-904.64160689655171</v>
      </c>
      <c r="F201" s="868">
        <f>'Scénarios '!G26</f>
        <v>-906.38165409572412</v>
      </c>
      <c r="G201" s="868">
        <f>'Scénarios '!H26</f>
        <v>-804.32010915162084</v>
      </c>
      <c r="H201" s="868">
        <f>'Scénarios '!I26</f>
        <v>-549.36474978228966</v>
      </c>
      <c r="I201" s="868">
        <f>'Scénarios '!J26</f>
        <v>-20.451464161949673</v>
      </c>
      <c r="J201" s="868">
        <f>'Scénarios '!K26</f>
        <v>496.93846695067555</v>
      </c>
      <c r="K201" s="868">
        <f>'Scénarios '!L26</f>
        <v>1007.2779479782045</v>
      </c>
      <c r="L201" s="868">
        <f>'Scénarios '!M26</f>
        <v>1510.7644228358281</v>
      </c>
      <c r="M201" s="868">
        <f>'Scénarios '!N26</f>
        <v>2014.5524838823387</v>
      </c>
      <c r="N201" s="868">
        <f>'Scénarios '!O26</f>
        <v>2516.0584541316143</v>
      </c>
      <c r="O201" s="868">
        <f>'Scénarios '!P26</f>
        <v>3018.0103805947374</v>
      </c>
      <c r="P201" s="868">
        <f>'Scénarios '!Q26</f>
        <v>3517.8294332413179</v>
      </c>
      <c r="Q201" s="899">
        <f>'Scénarios '!R26</f>
        <v>4047.2598579215978</v>
      </c>
      <c r="R201" s="900">
        <f>SUM(B201:Q201)</f>
        <v>13828.26645177709</v>
      </c>
    </row>
    <row r="202" spans="1:18">
      <c r="A202" s="869" t="s">
        <v>889</v>
      </c>
      <c r="B202" s="870">
        <f>B200-B201</f>
        <v>667</v>
      </c>
      <c r="C202" s="870">
        <f t="shared" ref="C202:R202" si="46">C200-C201</f>
        <v>919</v>
      </c>
      <c r="D202" s="870">
        <f t="shared" si="46"/>
        <v>1112.1999999999998</v>
      </c>
      <c r="E202" s="870">
        <f t="shared" si="46"/>
        <v>1305.4000000000001</v>
      </c>
      <c r="F202" s="870">
        <f t="shared" si="46"/>
        <v>1338.15</v>
      </c>
      <c r="G202" s="870">
        <f t="shared" si="46"/>
        <v>1370.9</v>
      </c>
      <c r="H202" s="870">
        <f t="shared" si="46"/>
        <v>1243.6500000000001</v>
      </c>
      <c r="I202" s="870">
        <f t="shared" si="46"/>
        <v>979.2</v>
      </c>
      <c r="J202" s="870">
        <f t="shared" si="46"/>
        <v>714.75</v>
      </c>
      <c r="K202" s="870">
        <f t="shared" si="46"/>
        <v>450.30000000000007</v>
      </c>
      <c r="L202" s="870">
        <f t="shared" si="46"/>
        <v>185.85000000000014</v>
      </c>
      <c r="M202" s="870">
        <f t="shared" si="46"/>
        <v>-78.599999999999682</v>
      </c>
      <c r="N202" s="870">
        <f t="shared" si="46"/>
        <v>-343.04999999999973</v>
      </c>
      <c r="O202" s="870">
        <f t="shared" si="46"/>
        <v>-607.5</v>
      </c>
      <c r="P202" s="870">
        <f t="shared" si="46"/>
        <v>-871.94999999999982</v>
      </c>
      <c r="Q202" s="901">
        <f t="shared" si="46"/>
        <v>-1136.3999999999996</v>
      </c>
      <c r="R202" s="902">
        <f t="shared" si="46"/>
        <v>7248.9000000000015</v>
      </c>
    </row>
    <row r="204" spans="1:18" ht="15" thickBot="1">
      <c r="A204" t="s">
        <v>900</v>
      </c>
      <c r="B204" s="846" t="s">
        <v>901</v>
      </c>
      <c r="C204" s="846" t="s">
        <v>902</v>
      </c>
      <c r="D204" s="846" t="s">
        <v>903</v>
      </c>
      <c r="E204" s="846" t="s">
        <v>904</v>
      </c>
      <c r="F204" s="882" t="s">
        <v>905</v>
      </c>
      <c r="G204" s="880"/>
    </row>
    <row r="205" spans="1:18" ht="15" thickBot="1">
      <c r="A205" s="865" t="s">
        <v>898</v>
      </c>
      <c r="B205" s="866">
        <v>16.559999999999999</v>
      </c>
      <c r="C205" s="866">
        <v>15.135</v>
      </c>
      <c r="D205" s="866">
        <v>15.42</v>
      </c>
      <c r="E205" s="866">
        <v>15.57</v>
      </c>
      <c r="F205" s="883">
        <v>17.34</v>
      </c>
      <c r="G205" s="881"/>
    </row>
    <row r="206" spans="1:18" s="10" customFormat="1">
      <c r="A206" t="s">
        <v>899</v>
      </c>
      <c r="B206"/>
      <c r="C206"/>
      <c r="D206"/>
      <c r="E206"/>
      <c r="F206"/>
      <c r="G206" s="6"/>
      <c r="H206"/>
      <c r="I206"/>
      <c r="J206"/>
      <c r="K206"/>
      <c r="L206"/>
      <c r="M206"/>
      <c r="N206"/>
      <c r="O206"/>
      <c r="P206"/>
      <c r="Q206"/>
    </row>
    <row r="207" spans="1:18" s="10" customFormat="1" ht="15" thickBot="1">
      <c r="A207"/>
      <c r="B207"/>
      <c r="C207"/>
      <c r="D207"/>
      <c r="E207"/>
      <c r="F207"/>
      <c r="G207" s="6"/>
      <c r="H207"/>
      <c r="I207"/>
      <c r="J207"/>
      <c r="K207"/>
      <c r="L207"/>
      <c r="M207"/>
      <c r="N207"/>
      <c r="O207"/>
      <c r="P207"/>
      <c r="Q207"/>
    </row>
    <row r="208" spans="1:18" s="10" customFormat="1" ht="24" thickBot="1">
      <c r="A208" s="1064" t="s">
        <v>814</v>
      </c>
      <c r="B208" s="1065"/>
    </row>
    <row r="209" spans="1:17" s="10" customFormat="1" ht="23.5">
      <c r="A209" s="877"/>
      <c r="B209" s="877"/>
    </row>
    <row r="210" spans="1:17" s="10" customFormat="1">
      <c r="A210" s="10" t="s">
        <v>846</v>
      </c>
    </row>
    <row r="211" spans="1:17" s="10" customFormat="1">
      <c r="A211" s="10" t="s">
        <v>847</v>
      </c>
    </row>
    <row r="212" spans="1:17" s="10" customFormat="1"/>
    <row r="213" spans="1:17" s="10" customFormat="1" ht="15.5">
      <c r="A213" s="132" t="s">
        <v>913</v>
      </c>
    </row>
    <row r="214" spans="1:17" s="10" customFormat="1"/>
    <row r="215" spans="1:17">
      <c r="A215" s="10"/>
      <c r="B215" s="10"/>
      <c r="C215" s="10"/>
      <c r="D215" s="10"/>
      <c r="E215" s="10"/>
      <c r="F215" s="10"/>
      <c r="G215" s="10"/>
      <c r="H215" s="10"/>
      <c r="I215" s="10"/>
      <c r="J215" s="10"/>
      <c r="K215" s="10"/>
      <c r="L215" s="10"/>
      <c r="M215" s="10"/>
      <c r="N215" s="10"/>
      <c r="O215" s="10"/>
      <c r="P215" s="10"/>
      <c r="Q215" s="10"/>
    </row>
  </sheetData>
  <mergeCells count="19">
    <mergeCell ref="K61:P61"/>
    <mergeCell ref="K62:P62"/>
    <mergeCell ref="K63:P63"/>
    <mergeCell ref="B187:C187"/>
    <mergeCell ref="A208:B208"/>
    <mergeCell ref="C3:H3"/>
    <mergeCell ref="B10:G10"/>
    <mergeCell ref="B11:C11"/>
    <mergeCell ref="D11:E11"/>
    <mergeCell ref="F11:G11"/>
    <mergeCell ref="B177:L177"/>
    <mergeCell ref="H93:I93"/>
    <mergeCell ref="H98:J99"/>
    <mergeCell ref="H107:I107"/>
    <mergeCell ref="H113:J116"/>
    <mergeCell ref="B175:L175"/>
    <mergeCell ref="B176:L176"/>
    <mergeCell ref="K59:O59"/>
    <mergeCell ref="K60:P60"/>
  </mergeCells>
  <conditionalFormatting sqref="C6:R6">
    <cfRule type="iconSet" priority="10">
      <iconSet>
        <cfvo type="percent" val="0"/>
        <cfvo type="num" val="0" gte="0"/>
        <cfvo type="num" val="0" gte="0"/>
      </iconSet>
    </cfRule>
  </conditionalFormatting>
  <conditionalFormatting sqref="B188:K188">
    <cfRule type="cellIs" dxfId="7" priority="7" stopIfTrue="1" operator="equal">
      <formula>"Echec"</formula>
    </cfRule>
  </conditionalFormatting>
  <conditionalFormatting sqref="B187">
    <cfRule type="cellIs" dxfId="6" priority="8" stopIfTrue="1" operator="equal">
      <formula>"Echec"</formula>
    </cfRule>
  </conditionalFormatting>
  <conditionalFormatting sqref="B200:Q200">
    <cfRule type="cellIs" dxfId="5" priority="6" stopIfTrue="1" operator="lessThan">
      <formula>0</formula>
    </cfRule>
  </conditionalFormatting>
  <conditionalFormatting sqref="B202:R202">
    <cfRule type="cellIs" dxfId="4" priority="4" stopIfTrue="1" operator="lessThan">
      <formula>0</formula>
    </cfRule>
    <cfRule type="cellIs" dxfId="3" priority="5" stopIfTrue="1" operator="greaterThan">
      <formula>0</formula>
    </cfRule>
  </conditionalFormatting>
  <conditionalFormatting sqref="B199:K199">
    <cfRule type="cellIs" dxfId="2" priority="3" stopIfTrue="1" operator="equal">
      <formula>"Echec"</formula>
    </cfRule>
  </conditionalFormatting>
  <conditionalFormatting sqref="B205:G205">
    <cfRule type="cellIs" dxfId="1" priority="2" stopIfTrue="1" operator="lessThan">
      <formula>0</formula>
    </cfRule>
  </conditionalFormatting>
  <conditionalFormatting sqref="B204:G204">
    <cfRule type="cellIs" dxfId="0" priority="1" stopIfTrue="1" operator="equal">
      <formula>"Echec"</formula>
    </cfRule>
  </conditionalFormatting>
  <pageMargins left="0.7" right="0.7" top="0.75" bottom="0.75" header="0.3" footer="0.3"/>
  <pageSetup paperSize="9" orientation="portrait"/>
  <drawing r:id="rId1"/>
  <extLst>
    <ext xmlns:x14="http://schemas.microsoft.com/office/spreadsheetml/2009/9/main" uri="{78C0D931-6437-407d-A8EE-F0AAD7539E65}">
      <x14:conditionalFormattings>
        <x14:conditionalFormatting xmlns:xm="http://schemas.microsoft.com/office/excel/2006/main">
          <x14:cfRule type="iconSet" priority="9" id="{F0F73EEC-4F69-41EF-B48E-55DCC2005E30}">
            <x14:iconSet iconSet="3Triangles">
              <x14:cfvo type="percent">
                <xm:f>0</xm:f>
              </x14:cfvo>
              <x14:cfvo type="num" gte="0">
                <xm:f>0</xm:f>
              </x14:cfvo>
              <x14:cfvo type="num" gte="0">
                <xm:f>0</xm:f>
              </x14:cfvo>
            </x14:iconSet>
          </x14:cfRule>
          <xm:sqref>C5:R5</xm:sqref>
        </x14:conditionalFormatting>
      </x14:conditionalFormattings>
    </ex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activeCell="E15" sqref="E15"/>
    </sheetView>
  </sheetViews>
  <sheetFormatPr baseColWidth="10" defaultColWidth="10.81640625" defaultRowHeight="14.5"/>
  <cols>
    <col min="1" max="1" width="14.453125" style="796" customWidth="1"/>
    <col min="2" max="2" width="17.453125" style="796" customWidth="1"/>
    <col min="3" max="3" width="15.81640625" style="796" customWidth="1"/>
    <col min="4" max="4" width="27" style="796" bestFit="1" customWidth="1"/>
    <col min="5" max="5" width="14.453125" style="796" customWidth="1"/>
    <col min="6" max="6" width="8.7265625" style="796" customWidth="1"/>
    <col min="7" max="7" width="19.453125" style="796" customWidth="1"/>
    <col min="8" max="10" width="10.81640625" style="796"/>
    <col min="11" max="11" width="11.453125" style="796" customWidth="1"/>
    <col min="12" max="12" width="1.81640625" style="796" bestFit="1" customWidth="1"/>
    <col min="13" max="13" width="9" style="796" customWidth="1"/>
    <col min="14" max="14" width="5.1796875" style="796" bestFit="1" customWidth="1"/>
    <col min="15" max="15" width="3.26953125" style="796" customWidth="1"/>
    <col min="16" max="256" width="10.81640625" style="796"/>
    <col min="257" max="257" width="14.453125" style="796" customWidth="1"/>
    <col min="258" max="258" width="17.453125" style="796" customWidth="1"/>
    <col min="259" max="259" width="15.81640625" style="796" customWidth="1"/>
    <col min="260" max="260" width="17.26953125" style="796" customWidth="1"/>
    <col min="261" max="261" width="14.453125" style="796" customWidth="1"/>
    <col min="262" max="262" width="8.7265625" style="796" customWidth="1"/>
    <col min="263" max="263" width="19.453125" style="796" customWidth="1"/>
    <col min="264" max="266" width="10.81640625" style="796"/>
    <col min="267" max="267" width="11.453125" style="796" customWidth="1"/>
    <col min="268" max="268" width="1.81640625" style="796" bestFit="1" customWidth="1"/>
    <col min="269" max="269" width="9" style="796" customWidth="1"/>
    <col min="270" max="270" width="5.1796875" style="796" bestFit="1" customWidth="1"/>
    <col min="271" max="271" width="3.26953125" style="796" customWidth="1"/>
    <col min="272" max="512" width="10.81640625" style="796"/>
    <col min="513" max="513" width="14.453125" style="796" customWidth="1"/>
    <col min="514" max="514" width="17.453125" style="796" customWidth="1"/>
    <col min="515" max="515" width="15.81640625" style="796" customWidth="1"/>
    <col min="516" max="516" width="17.26953125" style="796" customWidth="1"/>
    <col min="517" max="517" width="14.453125" style="796" customWidth="1"/>
    <col min="518" max="518" width="8.7265625" style="796" customWidth="1"/>
    <col min="519" max="519" width="19.453125" style="796" customWidth="1"/>
    <col min="520" max="522" width="10.81640625" style="796"/>
    <col min="523" max="523" width="11.453125" style="796" customWidth="1"/>
    <col min="524" max="524" width="1.81640625" style="796" bestFit="1" customWidth="1"/>
    <col min="525" max="525" width="9" style="796" customWidth="1"/>
    <col min="526" max="526" width="5.1796875" style="796" bestFit="1" customWidth="1"/>
    <col min="527" max="527" width="3.26953125" style="796" customWidth="1"/>
    <col min="528" max="768" width="10.81640625" style="796"/>
    <col min="769" max="769" width="14.453125" style="796" customWidth="1"/>
    <col min="770" max="770" width="17.453125" style="796" customWidth="1"/>
    <col min="771" max="771" width="15.81640625" style="796" customWidth="1"/>
    <col min="772" max="772" width="17.26953125" style="796" customWidth="1"/>
    <col min="773" max="773" width="14.453125" style="796" customWidth="1"/>
    <col min="774" max="774" width="8.7265625" style="796" customWidth="1"/>
    <col min="775" max="775" width="19.453125" style="796" customWidth="1"/>
    <col min="776" max="778" width="10.81640625" style="796"/>
    <col min="779" max="779" width="11.453125" style="796" customWidth="1"/>
    <col min="780" max="780" width="1.81640625" style="796" bestFit="1" customWidth="1"/>
    <col min="781" max="781" width="9" style="796" customWidth="1"/>
    <col min="782" max="782" width="5.1796875" style="796" bestFit="1" customWidth="1"/>
    <col min="783" max="783" width="3.26953125" style="796" customWidth="1"/>
    <col min="784" max="1024" width="10.81640625" style="796"/>
    <col min="1025" max="1025" width="14.453125" style="796" customWidth="1"/>
    <col min="1026" max="1026" width="17.453125" style="796" customWidth="1"/>
    <col min="1027" max="1027" width="15.81640625" style="796" customWidth="1"/>
    <col min="1028" max="1028" width="17.26953125" style="796" customWidth="1"/>
    <col min="1029" max="1029" width="14.453125" style="796" customWidth="1"/>
    <col min="1030" max="1030" width="8.7265625" style="796" customWidth="1"/>
    <col min="1031" max="1031" width="19.453125" style="796" customWidth="1"/>
    <col min="1032" max="1034" width="10.81640625" style="796"/>
    <col min="1035" max="1035" width="11.453125" style="796" customWidth="1"/>
    <col min="1036" max="1036" width="1.81640625" style="796" bestFit="1" customWidth="1"/>
    <col min="1037" max="1037" width="9" style="796" customWidth="1"/>
    <col min="1038" max="1038" width="5.1796875" style="796" bestFit="1" customWidth="1"/>
    <col min="1039" max="1039" width="3.26953125" style="796" customWidth="1"/>
    <col min="1040" max="1280" width="10.81640625" style="796"/>
    <col min="1281" max="1281" width="14.453125" style="796" customWidth="1"/>
    <col min="1282" max="1282" width="17.453125" style="796" customWidth="1"/>
    <col min="1283" max="1283" width="15.81640625" style="796" customWidth="1"/>
    <col min="1284" max="1284" width="17.26953125" style="796" customWidth="1"/>
    <col min="1285" max="1285" width="14.453125" style="796" customWidth="1"/>
    <col min="1286" max="1286" width="8.7265625" style="796" customWidth="1"/>
    <col min="1287" max="1287" width="19.453125" style="796" customWidth="1"/>
    <col min="1288" max="1290" width="10.81640625" style="796"/>
    <col min="1291" max="1291" width="11.453125" style="796" customWidth="1"/>
    <col min="1292" max="1292" width="1.81640625" style="796" bestFit="1" customWidth="1"/>
    <col min="1293" max="1293" width="9" style="796" customWidth="1"/>
    <col min="1294" max="1294" width="5.1796875" style="796" bestFit="1" customWidth="1"/>
    <col min="1295" max="1295" width="3.26953125" style="796" customWidth="1"/>
    <col min="1296" max="1536" width="10.81640625" style="796"/>
    <col min="1537" max="1537" width="14.453125" style="796" customWidth="1"/>
    <col min="1538" max="1538" width="17.453125" style="796" customWidth="1"/>
    <col min="1539" max="1539" width="15.81640625" style="796" customWidth="1"/>
    <col min="1540" max="1540" width="17.26953125" style="796" customWidth="1"/>
    <col min="1541" max="1541" width="14.453125" style="796" customWidth="1"/>
    <col min="1542" max="1542" width="8.7265625" style="796" customWidth="1"/>
    <col min="1543" max="1543" width="19.453125" style="796" customWidth="1"/>
    <col min="1544" max="1546" width="10.81640625" style="796"/>
    <col min="1547" max="1547" width="11.453125" style="796" customWidth="1"/>
    <col min="1548" max="1548" width="1.81640625" style="796" bestFit="1" customWidth="1"/>
    <col min="1549" max="1549" width="9" style="796" customWidth="1"/>
    <col min="1550" max="1550" width="5.1796875" style="796" bestFit="1" customWidth="1"/>
    <col min="1551" max="1551" width="3.26953125" style="796" customWidth="1"/>
    <col min="1552" max="1792" width="10.81640625" style="796"/>
    <col min="1793" max="1793" width="14.453125" style="796" customWidth="1"/>
    <col min="1794" max="1794" width="17.453125" style="796" customWidth="1"/>
    <col min="1795" max="1795" width="15.81640625" style="796" customWidth="1"/>
    <col min="1796" max="1796" width="17.26953125" style="796" customWidth="1"/>
    <col min="1797" max="1797" width="14.453125" style="796" customWidth="1"/>
    <col min="1798" max="1798" width="8.7265625" style="796" customWidth="1"/>
    <col min="1799" max="1799" width="19.453125" style="796" customWidth="1"/>
    <col min="1800" max="1802" width="10.81640625" style="796"/>
    <col min="1803" max="1803" width="11.453125" style="796" customWidth="1"/>
    <col min="1804" max="1804" width="1.81640625" style="796" bestFit="1" customWidth="1"/>
    <col min="1805" max="1805" width="9" style="796" customWidth="1"/>
    <col min="1806" max="1806" width="5.1796875" style="796" bestFit="1" customWidth="1"/>
    <col min="1807" max="1807" width="3.26953125" style="796" customWidth="1"/>
    <col min="1808" max="2048" width="10.81640625" style="796"/>
    <col min="2049" max="2049" width="14.453125" style="796" customWidth="1"/>
    <col min="2050" max="2050" width="17.453125" style="796" customWidth="1"/>
    <col min="2051" max="2051" width="15.81640625" style="796" customWidth="1"/>
    <col min="2052" max="2052" width="17.26953125" style="796" customWidth="1"/>
    <col min="2053" max="2053" width="14.453125" style="796" customWidth="1"/>
    <col min="2054" max="2054" width="8.7265625" style="796" customWidth="1"/>
    <col min="2055" max="2055" width="19.453125" style="796" customWidth="1"/>
    <col min="2056" max="2058" width="10.81640625" style="796"/>
    <col min="2059" max="2059" width="11.453125" style="796" customWidth="1"/>
    <col min="2060" max="2060" width="1.81640625" style="796" bestFit="1" customWidth="1"/>
    <col min="2061" max="2061" width="9" style="796" customWidth="1"/>
    <col min="2062" max="2062" width="5.1796875" style="796" bestFit="1" customWidth="1"/>
    <col min="2063" max="2063" width="3.26953125" style="796" customWidth="1"/>
    <col min="2064" max="2304" width="10.81640625" style="796"/>
    <col min="2305" max="2305" width="14.453125" style="796" customWidth="1"/>
    <col min="2306" max="2306" width="17.453125" style="796" customWidth="1"/>
    <col min="2307" max="2307" width="15.81640625" style="796" customWidth="1"/>
    <col min="2308" max="2308" width="17.26953125" style="796" customWidth="1"/>
    <col min="2309" max="2309" width="14.453125" style="796" customWidth="1"/>
    <col min="2310" max="2310" width="8.7265625" style="796" customWidth="1"/>
    <col min="2311" max="2311" width="19.453125" style="796" customWidth="1"/>
    <col min="2312" max="2314" width="10.81640625" style="796"/>
    <col min="2315" max="2315" width="11.453125" style="796" customWidth="1"/>
    <col min="2316" max="2316" width="1.81640625" style="796" bestFit="1" customWidth="1"/>
    <col min="2317" max="2317" width="9" style="796" customWidth="1"/>
    <col min="2318" max="2318" width="5.1796875" style="796" bestFit="1" customWidth="1"/>
    <col min="2319" max="2319" width="3.26953125" style="796" customWidth="1"/>
    <col min="2320" max="2560" width="10.81640625" style="796"/>
    <col min="2561" max="2561" width="14.453125" style="796" customWidth="1"/>
    <col min="2562" max="2562" width="17.453125" style="796" customWidth="1"/>
    <col min="2563" max="2563" width="15.81640625" style="796" customWidth="1"/>
    <col min="2564" max="2564" width="17.26953125" style="796" customWidth="1"/>
    <col min="2565" max="2565" width="14.453125" style="796" customWidth="1"/>
    <col min="2566" max="2566" width="8.7265625" style="796" customWidth="1"/>
    <col min="2567" max="2567" width="19.453125" style="796" customWidth="1"/>
    <col min="2568" max="2570" width="10.81640625" style="796"/>
    <col min="2571" max="2571" width="11.453125" style="796" customWidth="1"/>
    <col min="2572" max="2572" width="1.81640625" style="796" bestFit="1" customWidth="1"/>
    <col min="2573" max="2573" width="9" style="796" customWidth="1"/>
    <col min="2574" max="2574" width="5.1796875" style="796" bestFit="1" customWidth="1"/>
    <col min="2575" max="2575" width="3.26953125" style="796" customWidth="1"/>
    <col min="2576" max="2816" width="10.81640625" style="796"/>
    <col min="2817" max="2817" width="14.453125" style="796" customWidth="1"/>
    <col min="2818" max="2818" width="17.453125" style="796" customWidth="1"/>
    <col min="2819" max="2819" width="15.81640625" style="796" customWidth="1"/>
    <col min="2820" max="2820" width="17.26953125" style="796" customWidth="1"/>
    <col min="2821" max="2821" width="14.453125" style="796" customWidth="1"/>
    <col min="2822" max="2822" width="8.7265625" style="796" customWidth="1"/>
    <col min="2823" max="2823" width="19.453125" style="796" customWidth="1"/>
    <col min="2824" max="2826" width="10.81640625" style="796"/>
    <col min="2827" max="2827" width="11.453125" style="796" customWidth="1"/>
    <col min="2828" max="2828" width="1.81640625" style="796" bestFit="1" customWidth="1"/>
    <col min="2829" max="2829" width="9" style="796" customWidth="1"/>
    <col min="2830" max="2830" width="5.1796875" style="796" bestFit="1" customWidth="1"/>
    <col min="2831" max="2831" width="3.26953125" style="796" customWidth="1"/>
    <col min="2832" max="3072" width="10.81640625" style="796"/>
    <col min="3073" max="3073" width="14.453125" style="796" customWidth="1"/>
    <col min="3074" max="3074" width="17.453125" style="796" customWidth="1"/>
    <col min="3075" max="3075" width="15.81640625" style="796" customWidth="1"/>
    <col min="3076" max="3076" width="17.26953125" style="796" customWidth="1"/>
    <col min="3077" max="3077" width="14.453125" style="796" customWidth="1"/>
    <col min="3078" max="3078" width="8.7265625" style="796" customWidth="1"/>
    <col min="3079" max="3079" width="19.453125" style="796" customWidth="1"/>
    <col min="3080" max="3082" width="10.81640625" style="796"/>
    <col min="3083" max="3083" width="11.453125" style="796" customWidth="1"/>
    <col min="3084" max="3084" width="1.81640625" style="796" bestFit="1" customWidth="1"/>
    <col min="3085" max="3085" width="9" style="796" customWidth="1"/>
    <col min="3086" max="3086" width="5.1796875" style="796" bestFit="1" customWidth="1"/>
    <col min="3087" max="3087" width="3.26953125" style="796" customWidth="1"/>
    <col min="3088" max="3328" width="10.81640625" style="796"/>
    <col min="3329" max="3329" width="14.453125" style="796" customWidth="1"/>
    <col min="3330" max="3330" width="17.453125" style="796" customWidth="1"/>
    <col min="3331" max="3331" width="15.81640625" style="796" customWidth="1"/>
    <col min="3332" max="3332" width="17.26953125" style="796" customWidth="1"/>
    <col min="3333" max="3333" width="14.453125" style="796" customWidth="1"/>
    <col min="3334" max="3334" width="8.7265625" style="796" customWidth="1"/>
    <col min="3335" max="3335" width="19.453125" style="796" customWidth="1"/>
    <col min="3336" max="3338" width="10.81640625" style="796"/>
    <col min="3339" max="3339" width="11.453125" style="796" customWidth="1"/>
    <col min="3340" max="3340" width="1.81640625" style="796" bestFit="1" customWidth="1"/>
    <col min="3341" max="3341" width="9" style="796" customWidth="1"/>
    <col min="3342" max="3342" width="5.1796875" style="796" bestFit="1" customWidth="1"/>
    <col min="3343" max="3343" width="3.26953125" style="796" customWidth="1"/>
    <col min="3344" max="3584" width="10.81640625" style="796"/>
    <col min="3585" max="3585" width="14.453125" style="796" customWidth="1"/>
    <col min="3586" max="3586" width="17.453125" style="796" customWidth="1"/>
    <col min="3587" max="3587" width="15.81640625" style="796" customWidth="1"/>
    <col min="3588" max="3588" width="17.26953125" style="796" customWidth="1"/>
    <col min="3589" max="3589" width="14.453125" style="796" customWidth="1"/>
    <col min="3590" max="3590" width="8.7265625" style="796" customWidth="1"/>
    <col min="3591" max="3591" width="19.453125" style="796" customWidth="1"/>
    <col min="3592" max="3594" width="10.81640625" style="796"/>
    <col min="3595" max="3595" width="11.453125" style="796" customWidth="1"/>
    <col min="3596" max="3596" width="1.81640625" style="796" bestFit="1" customWidth="1"/>
    <col min="3597" max="3597" width="9" style="796" customWidth="1"/>
    <col min="3598" max="3598" width="5.1796875" style="796" bestFit="1" customWidth="1"/>
    <col min="3599" max="3599" width="3.26953125" style="796" customWidth="1"/>
    <col min="3600" max="3840" width="10.81640625" style="796"/>
    <col min="3841" max="3841" width="14.453125" style="796" customWidth="1"/>
    <col min="3842" max="3842" width="17.453125" style="796" customWidth="1"/>
    <col min="3843" max="3843" width="15.81640625" style="796" customWidth="1"/>
    <col min="3844" max="3844" width="17.26953125" style="796" customWidth="1"/>
    <col min="3845" max="3845" width="14.453125" style="796" customWidth="1"/>
    <col min="3846" max="3846" width="8.7265625" style="796" customWidth="1"/>
    <col min="3847" max="3847" width="19.453125" style="796" customWidth="1"/>
    <col min="3848" max="3850" width="10.81640625" style="796"/>
    <col min="3851" max="3851" width="11.453125" style="796" customWidth="1"/>
    <col min="3852" max="3852" width="1.81640625" style="796" bestFit="1" customWidth="1"/>
    <col min="3853" max="3853" width="9" style="796" customWidth="1"/>
    <col min="3854" max="3854" width="5.1796875" style="796" bestFit="1" customWidth="1"/>
    <col min="3855" max="3855" width="3.26953125" style="796" customWidth="1"/>
    <col min="3856" max="4096" width="10.81640625" style="796"/>
    <col min="4097" max="4097" width="14.453125" style="796" customWidth="1"/>
    <col min="4098" max="4098" width="17.453125" style="796" customWidth="1"/>
    <col min="4099" max="4099" width="15.81640625" style="796" customWidth="1"/>
    <col min="4100" max="4100" width="17.26953125" style="796" customWidth="1"/>
    <col min="4101" max="4101" width="14.453125" style="796" customWidth="1"/>
    <col min="4102" max="4102" width="8.7265625" style="796" customWidth="1"/>
    <col min="4103" max="4103" width="19.453125" style="796" customWidth="1"/>
    <col min="4104" max="4106" width="10.81640625" style="796"/>
    <col min="4107" max="4107" width="11.453125" style="796" customWidth="1"/>
    <col min="4108" max="4108" width="1.81640625" style="796" bestFit="1" customWidth="1"/>
    <col min="4109" max="4109" width="9" style="796" customWidth="1"/>
    <col min="4110" max="4110" width="5.1796875" style="796" bestFit="1" customWidth="1"/>
    <col min="4111" max="4111" width="3.26953125" style="796" customWidth="1"/>
    <col min="4112" max="4352" width="10.81640625" style="796"/>
    <col min="4353" max="4353" width="14.453125" style="796" customWidth="1"/>
    <col min="4354" max="4354" width="17.453125" style="796" customWidth="1"/>
    <col min="4355" max="4355" width="15.81640625" style="796" customWidth="1"/>
    <col min="4356" max="4356" width="17.26953125" style="796" customWidth="1"/>
    <col min="4357" max="4357" width="14.453125" style="796" customWidth="1"/>
    <col min="4358" max="4358" width="8.7265625" style="796" customWidth="1"/>
    <col min="4359" max="4359" width="19.453125" style="796" customWidth="1"/>
    <col min="4360" max="4362" width="10.81640625" style="796"/>
    <col min="4363" max="4363" width="11.453125" style="796" customWidth="1"/>
    <col min="4364" max="4364" width="1.81640625" style="796" bestFit="1" customWidth="1"/>
    <col min="4365" max="4365" width="9" style="796" customWidth="1"/>
    <col min="4366" max="4366" width="5.1796875" style="796" bestFit="1" customWidth="1"/>
    <col min="4367" max="4367" width="3.26953125" style="796" customWidth="1"/>
    <col min="4368" max="4608" width="10.81640625" style="796"/>
    <col min="4609" max="4609" width="14.453125" style="796" customWidth="1"/>
    <col min="4610" max="4610" width="17.453125" style="796" customWidth="1"/>
    <col min="4611" max="4611" width="15.81640625" style="796" customWidth="1"/>
    <col min="4612" max="4612" width="17.26953125" style="796" customWidth="1"/>
    <col min="4613" max="4613" width="14.453125" style="796" customWidth="1"/>
    <col min="4614" max="4614" width="8.7265625" style="796" customWidth="1"/>
    <col min="4615" max="4615" width="19.453125" style="796" customWidth="1"/>
    <col min="4616" max="4618" width="10.81640625" style="796"/>
    <col min="4619" max="4619" width="11.453125" style="796" customWidth="1"/>
    <col min="4620" max="4620" width="1.81640625" style="796" bestFit="1" customWidth="1"/>
    <col min="4621" max="4621" width="9" style="796" customWidth="1"/>
    <col min="4622" max="4622" width="5.1796875" style="796" bestFit="1" customWidth="1"/>
    <col min="4623" max="4623" width="3.26953125" style="796" customWidth="1"/>
    <col min="4624" max="4864" width="10.81640625" style="796"/>
    <col min="4865" max="4865" width="14.453125" style="796" customWidth="1"/>
    <col min="4866" max="4866" width="17.453125" style="796" customWidth="1"/>
    <col min="4867" max="4867" width="15.81640625" style="796" customWidth="1"/>
    <col min="4868" max="4868" width="17.26953125" style="796" customWidth="1"/>
    <col min="4869" max="4869" width="14.453125" style="796" customWidth="1"/>
    <col min="4870" max="4870" width="8.7265625" style="796" customWidth="1"/>
    <col min="4871" max="4871" width="19.453125" style="796" customWidth="1"/>
    <col min="4872" max="4874" width="10.81640625" style="796"/>
    <col min="4875" max="4875" width="11.453125" style="796" customWidth="1"/>
    <col min="4876" max="4876" width="1.81640625" style="796" bestFit="1" customWidth="1"/>
    <col min="4877" max="4877" width="9" style="796" customWidth="1"/>
    <col min="4878" max="4878" width="5.1796875" style="796" bestFit="1" customWidth="1"/>
    <col min="4879" max="4879" width="3.26953125" style="796" customWidth="1"/>
    <col min="4880" max="5120" width="10.81640625" style="796"/>
    <col min="5121" max="5121" width="14.453125" style="796" customWidth="1"/>
    <col min="5122" max="5122" width="17.453125" style="796" customWidth="1"/>
    <col min="5123" max="5123" width="15.81640625" style="796" customWidth="1"/>
    <col min="5124" max="5124" width="17.26953125" style="796" customWidth="1"/>
    <col min="5125" max="5125" width="14.453125" style="796" customWidth="1"/>
    <col min="5126" max="5126" width="8.7265625" style="796" customWidth="1"/>
    <col min="5127" max="5127" width="19.453125" style="796" customWidth="1"/>
    <col min="5128" max="5130" width="10.81640625" style="796"/>
    <col min="5131" max="5131" width="11.453125" style="796" customWidth="1"/>
    <col min="5132" max="5132" width="1.81640625" style="796" bestFit="1" customWidth="1"/>
    <col min="5133" max="5133" width="9" style="796" customWidth="1"/>
    <col min="5134" max="5134" width="5.1796875" style="796" bestFit="1" customWidth="1"/>
    <col min="5135" max="5135" width="3.26953125" style="796" customWidth="1"/>
    <col min="5136" max="5376" width="10.81640625" style="796"/>
    <col min="5377" max="5377" width="14.453125" style="796" customWidth="1"/>
    <col min="5378" max="5378" width="17.453125" style="796" customWidth="1"/>
    <col min="5379" max="5379" width="15.81640625" style="796" customWidth="1"/>
    <col min="5380" max="5380" width="17.26953125" style="796" customWidth="1"/>
    <col min="5381" max="5381" width="14.453125" style="796" customWidth="1"/>
    <col min="5382" max="5382" width="8.7265625" style="796" customWidth="1"/>
    <col min="5383" max="5383" width="19.453125" style="796" customWidth="1"/>
    <col min="5384" max="5386" width="10.81640625" style="796"/>
    <col min="5387" max="5387" width="11.453125" style="796" customWidth="1"/>
    <col min="5388" max="5388" width="1.81640625" style="796" bestFit="1" customWidth="1"/>
    <col min="5389" max="5389" width="9" style="796" customWidth="1"/>
    <col min="5390" max="5390" width="5.1796875" style="796" bestFit="1" customWidth="1"/>
    <col min="5391" max="5391" width="3.26953125" style="796" customWidth="1"/>
    <col min="5392" max="5632" width="10.81640625" style="796"/>
    <col min="5633" max="5633" width="14.453125" style="796" customWidth="1"/>
    <col min="5634" max="5634" width="17.453125" style="796" customWidth="1"/>
    <col min="5635" max="5635" width="15.81640625" style="796" customWidth="1"/>
    <col min="5636" max="5636" width="17.26953125" style="796" customWidth="1"/>
    <col min="5637" max="5637" width="14.453125" style="796" customWidth="1"/>
    <col min="5638" max="5638" width="8.7265625" style="796" customWidth="1"/>
    <col min="5639" max="5639" width="19.453125" style="796" customWidth="1"/>
    <col min="5640" max="5642" width="10.81640625" style="796"/>
    <col min="5643" max="5643" width="11.453125" style="796" customWidth="1"/>
    <col min="5644" max="5644" width="1.81640625" style="796" bestFit="1" customWidth="1"/>
    <col min="5645" max="5645" width="9" style="796" customWidth="1"/>
    <col min="5646" max="5646" width="5.1796875" style="796" bestFit="1" customWidth="1"/>
    <col min="5647" max="5647" width="3.26953125" style="796" customWidth="1"/>
    <col min="5648" max="5888" width="10.81640625" style="796"/>
    <col min="5889" max="5889" width="14.453125" style="796" customWidth="1"/>
    <col min="5890" max="5890" width="17.453125" style="796" customWidth="1"/>
    <col min="5891" max="5891" width="15.81640625" style="796" customWidth="1"/>
    <col min="5892" max="5892" width="17.26953125" style="796" customWidth="1"/>
    <col min="5893" max="5893" width="14.453125" style="796" customWidth="1"/>
    <col min="5894" max="5894" width="8.7265625" style="796" customWidth="1"/>
    <col min="5895" max="5895" width="19.453125" style="796" customWidth="1"/>
    <col min="5896" max="5898" width="10.81640625" style="796"/>
    <col min="5899" max="5899" width="11.453125" style="796" customWidth="1"/>
    <col min="5900" max="5900" width="1.81640625" style="796" bestFit="1" customWidth="1"/>
    <col min="5901" max="5901" width="9" style="796" customWidth="1"/>
    <col min="5902" max="5902" width="5.1796875" style="796" bestFit="1" customWidth="1"/>
    <col min="5903" max="5903" width="3.26953125" style="796" customWidth="1"/>
    <col min="5904" max="6144" width="10.81640625" style="796"/>
    <col min="6145" max="6145" width="14.453125" style="796" customWidth="1"/>
    <col min="6146" max="6146" width="17.453125" style="796" customWidth="1"/>
    <col min="6147" max="6147" width="15.81640625" style="796" customWidth="1"/>
    <col min="6148" max="6148" width="17.26953125" style="796" customWidth="1"/>
    <col min="6149" max="6149" width="14.453125" style="796" customWidth="1"/>
    <col min="6150" max="6150" width="8.7265625" style="796" customWidth="1"/>
    <col min="6151" max="6151" width="19.453125" style="796" customWidth="1"/>
    <col min="6152" max="6154" width="10.81640625" style="796"/>
    <col min="6155" max="6155" width="11.453125" style="796" customWidth="1"/>
    <col min="6156" max="6156" width="1.81640625" style="796" bestFit="1" customWidth="1"/>
    <col min="6157" max="6157" width="9" style="796" customWidth="1"/>
    <col min="6158" max="6158" width="5.1796875" style="796" bestFit="1" customWidth="1"/>
    <col min="6159" max="6159" width="3.26953125" style="796" customWidth="1"/>
    <col min="6160" max="6400" width="10.81640625" style="796"/>
    <col min="6401" max="6401" width="14.453125" style="796" customWidth="1"/>
    <col min="6402" max="6402" width="17.453125" style="796" customWidth="1"/>
    <col min="6403" max="6403" width="15.81640625" style="796" customWidth="1"/>
    <col min="6404" max="6404" width="17.26953125" style="796" customWidth="1"/>
    <col min="6405" max="6405" width="14.453125" style="796" customWidth="1"/>
    <col min="6406" max="6406" width="8.7265625" style="796" customWidth="1"/>
    <col min="6407" max="6407" width="19.453125" style="796" customWidth="1"/>
    <col min="6408" max="6410" width="10.81640625" style="796"/>
    <col min="6411" max="6411" width="11.453125" style="796" customWidth="1"/>
    <col min="6412" max="6412" width="1.81640625" style="796" bestFit="1" customWidth="1"/>
    <col min="6413" max="6413" width="9" style="796" customWidth="1"/>
    <col min="6414" max="6414" width="5.1796875" style="796" bestFit="1" customWidth="1"/>
    <col min="6415" max="6415" width="3.26953125" style="796" customWidth="1"/>
    <col min="6416" max="6656" width="10.81640625" style="796"/>
    <col min="6657" max="6657" width="14.453125" style="796" customWidth="1"/>
    <col min="6658" max="6658" width="17.453125" style="796" customWidth="1"/>
    <col min="6659" max="6659" width="15.81640625" style="796" customWidth="1"/>
    <col min="6660" max="6660" width="17.26953125" style="796" customWidth="1"/>
    <col min="6661" max="6661" width="14.453125" style="796" customWidth="1"/>
    <col min="6662" max="6662" width="8.7265625" style="796" customWidth="1"/>
    <col min="6663" max="6663" width="19.453125" style="796" customWidth="1"/>
    <col min="6664" max="6666" width="10.81640625" style="796"/>
    <col min="6667" max="6667" width="11.453125" style="796" customWidth="1"/>
    <col min="6668" max="6668" width="1.81640625" style="796" bestFit="1" customWidth="1"/>
    <col min="6669" max="6669" width="9" style="796" customWidth="1"/>
    <col min="6670" max="6670" width="5.1796875" style="796" bestFit="1" customWidth="1"/>
    <col min="6671" max="6671" width="3.26953125" style="796" customWidth="1"/>
    <col min="6672" max="6912" width="10.81640625" style="796"/>
    <col min="6913" max="6913" width="14.453125" style="796" customWidth="1"/>
    <col min="6914" max="6914" width="17.453125" style="796" customWidth="1"/>
    <col min="6915" max="6915" width="15.81640625" style="796" customWidth="1"/>
    <col min="6916" max="6916" width="17.26953125" style="796" customWidth="1"/>
    <col min="6917" max="6917" width="14.453125" style="796" customWidth="1"/>
    <col min="6918" max="6918" width="8.7265625" style="796" customWidth="1"/>
    <col min="6919" max="6919" width="19.453125" style="796" customWidth="1"/>
    <col min="6920" max="6922" width="10.81640625" style="796"/>
    <col min="6923" max="6923" width="11.453125" style="796" customWidth="1"/>
    <col min="6924" max="6924" width="1.81640625" style="796" bestFit="1" customWidth="1"/>
    <col min="6925" max="6925" width="9" style="796" customWidth="1"/>
    <col min="6926" max="6926" width="5.1796875" style="796" bestFit="1" customWidth="1"/>
    <col min="6927" max="6927" width="3.26953125" style="796" customWidth="1"/>
    <col min="6928" max="7168" width="10.81640625" style="796"/>
    <col min="7169" max="7169" width="14.453125" style="796" customWidth="1"/>
    <col min="7170" max="7170" width="17.453125" style="796" customWidth="1"/>
    <col min="7171" max="7171" width="15.81640625" style="796" customWidth="1"/>
    <col min="7172" max="7172" width="17.26953125" style="796" customWidth="1"/>
    <col min="7173" max="7173" width="14.453125" style="796" customWidth="1"/>
    <col min="7174" max="7174" width="8.7265625" style="796" customWidth="1"/>
    <col min="7175" max="7175" width="19.453125" style="796" customWidth="1"/>
    <col min="7176" max="7178" width="10.81640625" style="796"/>
    <col min="7179" max="7179" width="11.453125" style="796" customWidth="1"/>
    <col min="7180" max="7180" width="1.81640625" style="796" bestFit="1" customWidth="1"/>
    <col min="7181" max="7181" width="9" style="796" customWidth="1"/>
    <col min="7182" max="7182" width="5.1796875" style="796" bestFit="1" customWidth="1"/>
    <col min="7183" max="7183" width="3.26953125" style="796" customWidth="1"/>
    <col min="7184" max="7424" width="10.81640625" style="796"/>
    <col min="7425" max="7425" width="14.453125" style="796" customWidth="1"/>
    <col min="7426" max="7426" width="17.453125" style="796" customWidth="1"/>
    <col min="7427" max="7427" width="15.81640625" style="796" customWidth="1"/>
    <col min="7428" max="7428" width="17.26953125" style="796" customWidth="1"/>
    <col min="7429" max="7429" width="14.453125" style="796" customWidth="1"/>
    <col min="7430" max="7430" width="8.7265625" style="796" customWidth="1"/>
    <col min="7431" max="7431" width="19.453125" style="796" customWidth="1"/>
    <col min="7432" max="7434" width="10.81640625" style="796"/>
    <col min="7435" max="7435" width="11.453125" style="796" customWidth="1"/>
    <col min="7436" max="7436" width="1.81640625" style="796" bestFit="1" customWidth="1"/>
    <col min="7437" max="7437" width="9" style="796" customWidth="1"/>
    <col min="7438" max="7438" width="5.1796875" style="796" bestFit="1" customWidth="1"/>
    <col min="7439" max="7439" width="3.26953125" style="796" customWidth="1"/>
    <col min="7440" max="7680" width="10.81640625" style="796"/>
    <col min="7681" max="7681" width="14.453125" style="796" customWidth="1"/>
    <col min="7682" max="7682" width="17.453125" style="796" customWidth="1"/>
    <col min="7683" max="7683" width="15.81640625" style="796" customWidth="1"/>
    <col min="7684" max="7684" width="17.26953125" style="796" customWidth="1"/>
    <col min="7685" max="7685" width="14.453125" style="796" customWidth="1"/>
    <col min="7686" max="7686" width="8.7265625" style="796" customWidth="1"/>
    <col min="7687" max="7687" width="19.453125" style="796" customWidth="1"/>
    <col min="7688" max="7690" width="10.81640625" style="796"/>
    <col min="7691" max="7691" width="11.453125" style="796" customWidth="1"/>
    <col min="7692" max="7692" width="1.81640625" style="796" bestFit="1" customWidth="1"/>
    <col min="7693" max="7693" width="9" style="796" customWidth="1"/>
    <col min="7694" max="7694" width="5.1796875" style="796" bestFit="1" customWidth="1"/>
    <col min="7695" max="7695" width="3.26953125" style="796" customWidth="1"/>
    <col min="7696" max="7936" width="10.81640625" style="796"/>
    <col min="7937" max="7937" width="14.453125" style="796" customWidth="1"/>
    <col min="7938" max="7938" width="17.453125" style="796" customWidth="1"/>
    <col min="7939" max="7939" width="15.81640625" style="796" customWidth="1"/>
    <col min="7940" max="7940" width="17.26953125" style="796" customWidth="1"/>
    <col min="7941" max="7941" width="14.453125" style="796" customWidth="1"/>
    <col min="7942" max="7942" width="8.7265625" style="796" customWidth="1"/>
    <col min="7943" max="7943" width="19.453125" style="796" customWidth="1"/>
    <col min="7944" max="7946" width="10.81640625" style="796"/>
    <col min="7947" max="7947" width="11.453125" style="796" customWidth="1"/>
    <col min="7948" max="7948" width="1.81640625" style="796" bestFit="1" customWidth="1"/>
    <col min="7949" max="7949" width="9" style="796" customWidth="1"/>
    <col min="7950" max="7950" width="5.1796875" style="796" bestFit="1" customWidth="1"/>
    <col min="7951" max="7951" width="3.26953125" style="796" customWidth="1"/>
    <col min="7952" max="8192" width="10.81640625" style="796"/>
    <col min="8193" max="8193" width="14.453125" style="796" customWidth="1"/>
    <col min="8194" max="8194" width="17.453125" style="796" customWidth="1"/>
    <col min="8195" max="8195" width="15.81640625" style="796" customWidth="1"/>
    <col min="8196" max="8196" width="17.26953125" style="796" customWidth="1"/>
    <col min="8197" max="8197" width="14.453125" style="796" customWidth="1"/>
    <col min="8198" max="8198" width="8.7265625" style="796" customWidth="1"/>
    <col min="8199" max="8199" width="19.453125" style="796" customWidth="1"/>
    <col min="8200" max="8202" width="10.81640625" style="796"/>
    <col min="8203" max="8203" width="11.453125" style="796" customWidth="1"/>
    <col min="8204" max="8204" width="1.81640625" style="796" bestFit="1" customWidth="1"/>
    <col min="8205" max="8205" width="9" style="796" customWidth="1"/>
    <col min="8206" max="8206" width="5.1796875" style="796" bestFit="1" customWidth="1"/>
    <col min="8207" max="8207" width="3.26953125" style="796" customWidth="1"/>
    <col min="8208" max="8448" width="10.81640625" style="796"/>
    <col min="8449" max="8449" width="14.453125" style="796" customWidth="1"/>
    <col min="8450" max="8450" width="17.453125" style="796" customWidth="1"/>
    <col min="8451" max="8451" width="15.81640625" style="796" customWidth="1"/>
    <col min="8452" max="8452" width="17.26953125" style="796" customWidth="1"/>
    <col min="8453" max="8453" width="14.453125" style="796" customWidth="1"/>
    <col min="8454" max="8454" width="8.7265625" style="796" customWidth="1"/>
    <col min="8455" max="8455" width="19.453125" style="796" customWidth="1"/>
    <col min="8456" max="8458" width="10.81640625" style="796"/>
    <col min="8459" max="8459" width="11.453125" style="796" customWidth="1"/>
    <col min="8460" max="8460" width="1.81640625" style="796" bestFit="1" customWidth="1"/>
    <col min="8461" max="8461" width="9" style="796" customWidth="1"/>
    <col min="8462" max="8462" width="5.1796875" style="796" bestFit="1" customWidth="1"/>
    <col min="8463" max="8463" width="3.26953125" style="796" customWidth="1"/>
    <col min="8464" max="8704" width="10.81640625" style="796"/>
    <col min="8705" max="8705" width="14.453125" style="796" customWidth="1"/>
    <col min="8706" max="8706" width="17.453125" style="796" customWidth="1"/>
    <col min="8707" max="8707" width="15.81640625" style="796" customWidth="1"/>
    <col min="8708" max="8708" width="17.26953125" style="796" customWidth="1"/>
    <col min="8709" max="8709" width="14.453125" style="796" customWidth="1"/>
    <col min="8710" max="8710" width="8.7265625" style="796" customWidth="1"/>
    <col min="8711" max="8711" width="19.453125" style="796" customWidth="1"/>
    <col min="8712" max="8714" width="10.81640625" style="796"/>
    <col min="8715" max="8715" width="11.453125" style="796" customWidth="1"/>
    <col min="8716" max="8716" width="1.81640625" style="796" bestFit="1" customWidth="1"/>
    <col min="8717" max="8717" width="9" style="796" customWidth="1"/>
    <col min="8718" max="8718" width="5.1796875" style="796" bestFit="1" customWidth="1"/>
    <col min="8719" max="8719" width="3.26953125" style="796" customWidth="1"/>
    <col min="8720" max="8960" width="10.81640625" style="796"/>
    <col min="8961" max="8961" width="14.453125" style="796" customWidth="1"/>
    <col min="8962" max="8962" width="17.453125" style="796" customWidth="1"/>
    <col min="8963" max="8963" width="15.81640625" style="796" customWidth="1"/>
    <col min="8964" max="8964" width="17.26953125" style="796" customWidth="1"/>
    <col min="8965" max="8965" width="14.453125" style="796" customWidth="1"/>
    <col min="8966" max="8966" width="8.7265625" style="796" customWidth="1"/>
    <col min="8967" max="8967" width="19.453125" style="796" customWidth="1"/>
    <col min="8968" max="8970" width="10.81640625" style="796"/>
    <col min="8971" max="8971" width="11.453125" style="796" customWidth="1"/>
    <col min="8972" max="8972" width="1.81640625" style="796" bestFit="1" customWidth="1"/>
    <col min="8973" max="8973" width="9" style="796" customWidth="1"/>
    <col min="8974" max="8974" width="5.1796875" style="796" bestFit="1" customWidth="1"/>
    <col min="8975" max="8975" width="3.26953125" style="796" customWidth="1"/>
    <col min="8976" max="9216" width="10.81640625" style="796"/>
    <col min="9217" max="9217" width="14.453125" style="796" customWidth="1"/>
    <col min="9218" max="9218" width="17.453125" style="796" customWidth="1"/>
    <col min="9219" max="9219" width="15.81640625" style="796" customWidth="1"/>
    <col min="9220" max="9220" width="17.26953125" style="796" customWidth="1"/>
    <col min="9221" max="9221" width="14.453125" style="796" customWidth="1"/>
    <col min="9222" max="9222" width="8.7265625" style="796" customWidth="1"/>
    <col min="9223" max="9223" width="19.453125" style="796" customWidth="1"/>
    <col min="9224" max="9226" width="10.81640625" style="796"/>
    <col min="9227" max="9227" width="11.453125" style="796" customWidth="1"/>
    <col min="9228" max="9228" width="1.81640625" style="796" bestFit="1" customWidth="1"/>
    <col min="9229" max="9229" width="9" style="796" customWidth="1"/>
    <col min="9230" max="9230" width="5.1796875" style="796" bestFit="1" customWidth="1"/>
    <col min="9231" max="9231" width="3.26953125" style="796" customWidth="1"/>
    <col min="9232" max="9472" width="10.81640625" style="796"/>
    <col min="9473" max="9473" width="14.453125" style="796" customWidth="1"/>
    <col min="9474" max="9474" width="17.453125" style="796" customWidth="1"/>
    <col min="9475" max="9475" width="15.81640625" style="796" customWidth="1"/>
    <col min="9476" max="9476" width="17.26953125" style="796" customWidth="1"/>
    <col min="9477" max="9477" width="14.453125" style="796" customWidth="1"/>
    <col min="9478" max="9478" width="8.7265625" style="796" customWidth="1"/>
    <col min="9479" max="9479" width="19.453125" style="796" customWidth="1"/>
    <col min="9480" max="9482" width="10.81640625" style="796"/>
    <col min="9483" max="9483" width="11.453125" style="796" customWidth="1"/>
    <col min="9484" max="9484" width="1.81640625" style="796" bestFit="1" customWidth="1"/>
    <col min="9485" max="9485" width="9" style="796" customWidth="1"/>
    <col min="9486" max="9486" width="5.1796875" style="796" bestFit="1" customWidth="1"/>
    <col min="9487" max="9487" width="3.26953125" style="796" customWidth="1"/>
    <col min="9488" max="9728" width="10.81640625" style="796"/>
    <col min="9729" max="9729" width="14.453125" style="796" customWidth="1"/>
    <col min="9730" max="9730" width="17.453125" style="796" customWidth="1"/>
    <col min="9731" max="9731" width="15.81640625" style="796" customWidth="1"/>
    <col min="9732" max="9732" width="17.26953125" style="796" customWidth="1"/>
    <col min="9733" max="9733" width="14.453125" style="796" customWidth="1"/>
    <col min="9734" max="9734" width="8.7265625" style="796" customWidth="1"/>
    <col min="9735" max="9735" width="19.453125" style="796" customWidth="1"/>
    <col min="9736" max="9738" width="10.81640625" style="796"/>
    <col min="9739" max="9739" width="11.453125" style="796" customWidth="1"/>
    <col min="9740" max="9740" width="1.81640625" style="796" bestFit="1" customWidth="1"/>
    <col min="9741" max="9741" width="9" style="796" customWidth="1"/>
    <col min="9742" max="9742" width="5.1796875" style="796" bestFit="1" customWidth="1"/>
    <col min="9743" max="9743" width="3.26953125" style="796" customWidth="1"/>
    <col min="9744" max="9984" width="10.81640625" style="796"/>
    <col min="9985" max="9985" width="14.453125" style="796" customWidth="1"/>
    <col min="9986" max="9986" width="17.453125" style="796" customWidth="1"/>
    <col min="9987" max="9987" width="15.81640625" style="796" customWidth="1"/>
    <col min="9988" max="9988" width="17.26953125" style="796" customWidth="1"/>
    <col min="9989" max="9989" width="14.453125" style="796" customWidth="1"/>
    <col min="9990" max="9990" width="8.7265625" style="796" customWidth="1"/>
    <col min="9991" max="9991" width="19.453125" style="796" customWidth="1"/>
    <col min="9992" max="9994" width="10.81640625" style="796"/>
    <col min="9995" max="9995" width="11.453125" style="796" customWidth="1"/>
    <col min="9996" max="9996" width="1.81640625" style="796" bestFit="1" customWidth="1"/>
    <col min="9997" max="9997" width="9" style="796" customWidth="1"/>
    <col min="9998" max="9998" width="5.1796875" style="796" bestFit="1" customWidth="1"/>
    <col min="9999" max="9999" width="3.26953125" style="796" customWidth="1"/>
    <col min="10000" max="10240" width="10.81640625" style="796"/>
    <col min="10241" max="10241" width="14.453125" style="796" customWidth="1"/>
    <col min="10242" max="10242" width="17.453125" style="796" customWidth="1"/>
    <col min="10243" max="10243" width="15.81640625" style="796" customWidth="1"/>
    <col min="10244" max="10244" width="17.26953125" style="796" customWidth="1"/>
    <col min="10245" max="10245" width="14.453125" style="796" customWidth="1"/>
    <col min="10246" max="10246" width="8.7265625" style="796" customWidth="1"/>
    <col min="10247" max="10247" width="19.453125" style="796" customWidth="1"/>
    <col min="10248" max="10250" width="10.81640625" style="796"/>
    <col min="10251" max="10251" width="11.453125" style="796" customWidth="1"/>
    <col min="10252" max="10252" width="1.81640625" style="796" bestFit="1" customWidth="1"/>
    <col min="10253" max="10253" width="9" style="796" customWidth="1"/>
    <col min="10254" max="10254" width="5.1796875" style="796" bestFit="1" customWidth="1"/>
    <col min="10255" max="10255" width="3.26953125" style="796" customWidth="1"/>
    <col min="10256" max="10496" width="10.81640625" style="796"/>
    <col min="10497" max="10497" width="14.453125" style="796" customWidth="1"/>
    <col min="10498" max="10498" width="17.453125" style="796" customWidth="1"/>
    <col min="10499" max="10499" width="15.81640625" style="796" customWidth="1"/>
    <col min="10500" max="10500" width="17.26953125" style="796" customWidth="1"/>
    <col min="10501" max="10501" width="14.453125" style="796" customWidth="1"/>
    <col min="10502" max="10502" width="8.7265625" style="796" customWidth="1"/>
    <col min="10503" max="10503" width="19.453125" style="796" customWidth="1"/>
    <col min="10504" max="10506" width="10.81640625" style="796"/>
    <col min="10507" max="10507" width="11.453125" style="796" customWidth="1"/>
    <col min="10508" max="10508" width="1.81640625" style="796" bestFit="1" customWidth="1"/>
    <col min="10509" max="10509" width="9" style="796" customWidth="1"/>
    <col min="10510" max="10510" width="5.1796875" style="796" bestFit="1" customWidth="1"/>
    <col min="10511" max="10511" width="3.26953125" style="796" customWidth="1"/>
    <col min="10512" max="10752" width="10.81640625" style="796"/>
    <col min="10753" max="10753" width="14.453125" style="796" customWidth="1"/>
    <col min="10754" max="10754" width="17.453125" style="796" customWidth="1"/>
    <col min="10755" max="10755" width="15.81640625" style="796" customWidth="1"/>
    <col min="10756" max="10756" width="17.26953125" style="796" customWidth="1"/>
    <col min="10757" max="10757" width="14.453125" style="796" customWidth="1"/>
    <col min="10758" max="10758" width="8.7265625" style="796" customWidth="1"/>
    <col min="10759" max="10759" width="19.453125" style="796" customWidth="1"/>
    <col min="10760" max="10762" width="10.81640625" style="796"/>
    <col min="10763" max="10763" width="11.453125" style="796" customWidth="1"/>
    <col min="10764" max="10764" width="1.81640625" style="796" bestFit="1" customWidth="1"/>
    <col min="10765" max="10765" width="9" style="796" customWidth="1"/>
    <col min="10766" max="10766" width="5.1796875" style="796" bestFit="1" customWidth="1"/>
    <col min="10767" max="10767" width="3.26953125" style="796" customWidth="1"/>
    <col min="10768" max="11008" width="10.81640625" style="796"/>
    <col min="11009" max="11009" width="14.453125" style="796" customWidth="1"/>
    <col min="11010" max="11010" width="17.453125" style="796" customWidth="1"/>
    <col min="11011" max="11011" width="15.81640625" style="796" customWidth="1"/>
    <col min="11012" max="11012" width="17.26953125" style="796" customWidth="1"/>
    <col min="11013" max="11013" width="14.453125" style="796" customWidth="1"/>
    <col min="11014" max="11014" width="8.7265625" style="796" customWidth="1"/>
    <col min="11015" max="11015" width="19.453125" style="796" customWidth="1"/>
    <col min="11016" max="11018" width="10.81640625" style="796"/>
    <col min="11019" max="11019" width="11.453125" style="796" customWidth="1"/>
    <col min="11020" max="11020" width="1.81640625" style="796" bestFit="1" customWidth="1"/>
    <col min="11021" max="11021" width="9" style="796" customWidth="1"/>
    <col min="11022" max="11022" width="5.1796875" style="796" bestFit="1" customWidth="1"/>
    <col min="11023" max="11023" width="3.26953125" style="796" customWidth="1"/>
    <col min="11024" max="11264" width="10.81640625" style="796"/>
    <col min="11265" max="11265" width="14.453125" style="796" customWidth="1"/>
    <col min="11266" max="11266" width="17.453125" style="796" customWidth="1"/>
    <col min="11267" max="11267" width="15.81640625" style="796" customWidth="1"/>
    <col min="11268" max="11268" width="17.26953125" style="796" customWidth="1"/>
    <col min="11269" max="11269" width="14.453125" style="796" customWidth="1"/>
    <col min="11270" max="11270" width="8.7265625" style="796" customWidth="1"/>
    <col min="11271" max="11271" width="19.453125" style="796" customWidth="1"/>
    <col min="11272" max="11274" width="10.81640625" style="796"/>
    <col min="11275" max="11275" width="11.453125" style="796" customWidth="1"/>
    <col min="11276" max="11276" width="1.81640625" style="796" bestFit="1" customWidth="1"/>
    <col min="11277" max="11277" width="9" style="796" customWidth="1"/>
    <col min="11278" max="11278" width="5.1796875" style="796" bestFit="1" customWidth="1"/>
    <col min="11279" max="11279" width="3.26953125" style="796" customWidth="1"/>
    <col min="11280" max="11520" width="10.81640625" style="796"/>
    <col min="11521" max="11521" width="14.453125" style="796" customWidth="1"/>
    <col min="11522" max="11522" width="17.453125" style="796" customWidth="1"/>
    <col min="11523" max="11523" width="15.81640625" style="796" customWidth="1"/>
    <col min="11524" max="11524" width="17.26953125" style="796" customWidth="1"/>
    <col min="11525" max="11525" width="14.453125" style="796" customWidth="1"/>
    <col min="11526" max="11526" width="8.7265625" style="796" customWidth="1"/>
    <col min="11527" max="11527" width="19.453125" style="796" customWidth="1"/>
    <col min="11528" max="11530" width="10.81640625" style="796"/>
    <col min="11531" max="11531" width="11.453125" style="796" customWidth="1"/>
    <col min="11532" max="11532" width="1.81640625" style="796" bestFit="1" customWidth="1"/>
    <col min="11533" max="11533" width="9" style="796" customWidth="1"/>
    <col min="11534" max="11534" width="5.1796875" style="796" bestFit="1" customWidth="1"/>
    <col min="11535" max="11535" width="3.26953125" style="796" customWidth="1"/>
    <col min="11536" max="11776" width="10.81640625" style="796"/>
    <col min="11777" max="11777" width="14.453125" style="796" customWidth="1"/>
    <col min="11778" max="11778" width="17.453125" style="796" customWidth="1"/>
    <col min="11779" max="11779" width="15.81640625" style="796" customWidth="1"/>
    <col min="11780" max="11780" width="17.26953125" style="796" customWidth="1"/>
    <col min="11781" max="11781" width="14.453125" style="796" customWidth="1"/>
    <col min="11782" max="11782" width="8.7265625" style="796" customWidth="1"/>
    <col min="11783" max="11783" width="19.453125" style="796" customWidth="1"/>
    <col min="11784" max="11786" width="10.81640625" style="796"/>
    <col min="11787" max="11787" width="11.453125" style="796" customWidth="1"/>
    <col min="11788" max="11788" width="1.81640625" style="796" bestFit="1" customWidth="1"/>
    <col min="11789" max="11789" width="9" style="796" customWidth="1"/>
    <col min="11790" max="11790" width="5.1796875" style="796" bestFit="1" customWidth="1"/>
    <col min="11791" max="11791" width="3.26953125" style="796" customWidth="1"/>
    <col min="11792" max="12032" width="10.81640625" style="796"/>
    <col min="12033" max="12033" width="14.453125" style="796" customWidth="1"/>
    <col min="12034" max="12034" width="17.453125" style="796" customWidth="1"/>
    <col min="12035" max="12035" width="15.81640625" style="796" customWidth="1"/>
    <col min="12036" max="12036" width="17.26953125" style="796" customWidth="1"/>
    <col min="12037" max="12037" width="14.453125" style="796" customWidth="1"/>
    <col min="12038" max="12038" width="8.7265625" style="796" customWidth="1"/>
    <col min="12039" max="12039" width="19.453125" style="796" customWidth="1"/>
    <col min="12040" max="12042" width="10.81640625" style="796"/>
    <col min="12043" max="12043" width="11.453125" style="796" customWidth="1"/>
    <col min="12044" max="12044" width="1.81640625" style="796" bestFit="1" customWidth="1"/>
    <col min="12045" max="12045" width="9" style="796" customWidth="1"/>
    <col min="12046" max="12046" width="5.1796875" style="796" bestFit="1" customWidth="1"/>
    <col min="12047" max="12047" width="3.26953125" style="796" customWidth="1"/>
    <col min="12048" max="12288" width="10.81640625" style="796"/>
    <col min="12289" max="12289" width="14.453125" style="796" customWidth="1"/>
    <col min="12290" max="12290" width="17.453125" style="796" customWidth="1"/>
    <col min="12291" max="12291" width="15.81640625" style="796" customWidth="1"/>
    <col min="12292" max="12292" width="17.26953125" style="796" customWidth="1"/>
    <col min="12293" max="12293" width="14.453125" style="796" customWidth="1"/>
    <col min="12294" max="12294" width="8.7265625" style="796" customWidth="1"/>
    <col min="12295" max="12295" width="19.453125" style="796" customWidth="1"/>
    <col min="12296" max="12298" width="10.81640625" style="796"/>
    <col min="12299" max="12299" width="11.453125" style="796" customWidth="1"/>
    <col min="12300" max="12300" width="1.81640625" style="796" bestFit="1" customWidth="1"/>
    <col min="12301" max="12301" width="9" style="796" customWidth="1"/>
    <col min="12302" max="12302" width="5.1796875" style="796" bestFit="1" customWidth="1"/>
    <col min="12303" max="12303" width="3.26953125" style="796" customWidth="1"/>
    <col min="12304" max="12544" width="10.81640625" style="796"/>
    <col min="12545" max="12545" width="14.453125" style="796" customWidth="1"/>
    <col min="12546" max="12546" width="17.453125" style="796" customWidth="1"/>
    <col min="12547" max="12547" width="15.81640625" style="796" customWidth="1"/>
    <col min="12548" max="12548" width="17.26953125" style="796" customWidth="1"/>
    <col min="12549" max="12549" width="14.453125" style="796" customWidth="1"/>
    <col min="12550" max="12550" width="8.7265625" style="796" customWidth="1"/>
    <col min="12551" max="12551" width="19.453125" style="796" customWidth="1"/>
    <col min="12552" max="12554" width="10.81640625" style="796"/>
    <col min="12555" max="12555" width="11.453125" style="796" customWidth="1"/>
    <col min="12556" max="12556" width="1.81640625" style="796" bestFit="1" customWidth="1"/>
    <col min="12557" max="12557" width="9" style="796" customWidth="1"/>
    <col min="12558" max="12558" width="5.1796875" style="796" bestFit="1" customWidth="1"/>
    <col min="12559" max="12559" width="3.26953125" style="796" customWidth="1"/>
    <col min="12560" max="12800" width="10.81640625" style="796"/>
    <col min="12801" max="12801" width="14.453125" style="796" customWidth="1"/>
    <col min="12802" max="12802" width="17.453125" style="796" customWidth="1"/>
    <col min="12803" max="12803" width="15.81640625" style="796" customWidth="1"/>
    <col min="12804" max="12804" width="17.26953125" style="796" customWidth="1"/>
    <col min="12805" max="12805" width="14.453125" style="796" customWidth="1"/>
    <col min="12806" max="12806" width="8.7265625" style="796" customWidth="1"/>
    <col min="12807" max="12807" width="19.453125" style="796" customWidth="1"/>
    <col min="12808" max="12810" width="10.81640625" style="796"/>
    <col min="12811" max="12811" width="11.453125" style="796" customWidth="1"/>
    <col min="12812" max="12812" width="1.81640625" style="796" bestFit="1" customWidth="1"/>
    <col min="12813" max="12813" width="9" style="796" customWidth="1"/>
    <col min="12814" max="12814" width="5.1796875" style="796" bestFit="1" customWidth="1"/>
    <col min="12815" max="12815" width="3.26953125" style="796" customWidth="1"/>
    <col min="12816" max="13056" width="10.81640625" style="796"/>
    <col min="13057" max="13057" width="14.453125" style="796" customWidth="1"/>
    <col min="13058" max="13058" width="17.453125" style="796" customWidth="1"/>
    <col min="13059" max="13059" width="15.81640625" style="796" customWidth="1"/>
    <col min="13060" max="13060" width="17.26953125" style="796" customWidth="1"/>
    <col min="13061" max="13061" width="14.453125" style="796" customWidth="1"/>
    <col min="13062" max="13062" width="8.7265625" style="796" customWidth="1"/>
    <col min="13063" max="13063" width="19.453125" style="796" customWidth="1"/>
    <col min="13064" max="13066" width="10.81640625" style="796"/>
    <col min="13067" max="13067" width="11.453125" style="796" customWidth="1"/>
    <col min="13068" max="13068" width="1.81640625" style="796" bestFit="1" customWidth="1"/>
    <col min="13069" max="13069" width="9" style="796" customWidth="1"/>
    <col min="13070" max="13070" width="5.1796875" style="796" bestFit="1" customWidth="1"/>
    <col min="13071" max="13071" width="3.26953125" style="796" customWidth="1"/>
    <col min="13072" max="13312" width="10.81640625" style="796"/>
    <col min="13313" max="13313" width="14.453125" style="796" customWidth="1"/>
    <col min="13314" max="13314" width="17.453125" style="796" customWidth="1"/>
    <col min="13315" max="13315" width="15.81640625" style="796" customWidth="1"/>
    <col min="13316" max="13316" width="17.26953125" style="796" customWidth="1"/>
    <col min="13317" max="13317" width="14.453125" style="796" customWidth="1"/>
    <col min="13318" max="13318" width="8.7265625" style="796" customWidth="1"/>
    <col min="13319" max="13319" width="19.453125" style="796" customWidth="1"/>
    <col min="13320" max="13322" width="10.81640625" style="796"/>
    <col min="13323" max="13323" width="11.453125" style="796" customWidth="1"/>
    <col min="13324" max="13324" width="1.81640625" style="796" bestFit="1" customWidth="1"/>
    <col min="13325" max="13325" width="9" style="796" customWidth="1"/>
    <col min="13326" max="13326" width="5.1796875" style="796" bestFit="1" customWidth="1"/>
    <col min="13327" max="13327" width="3.26953125" style="796" customWidth="1"/>
    <col min="13328" max="13568" width="10.81640625" style="796"/>
    <col min="13569" max="13569" width="14.453125" style="796" customWidth="1"/>
    <col min="13570" max="13570" width="17.453125" style="796" customWidth="1"/>
    <col min="13571" max="13571" width="15.81640625" style="796" customWidth="1"/>
    <col min="13572" max="13572" width="17.26953125" style="796" customWidth="1"/>
    <col min="13573" max="13573" width="14.453125" style="796" customWidth="1"/>
    <col min="13574" max="13574" width="8.7265625" style="796" customWidth="1"/>
    <col min="13575" max="13575" width="19.453125" style="796" customWidth="1"/>
    <col min="13576" max="13578" width="10.81640625" style="796"/>
    <col min="13579" max="13579" width="11.453125" style="796" customWidth="1"/>
    <col min="13580" max="13580" width="1.81640625" style="796" bestFit="1" customWidth="1"/>
    <col min="13581" max="13581" width="9" style="796" customWidth="1"/>
    <col min="13582" max="13582" width="5.1796875" style="796" bestFit="1" customWidth="1"/>
    <col min="13583" max="13583" width="3.26953125" style="796" customWidth="1"/>
    <col min="13584" max="13824" width="10.81640625" style="796"/>
    <col min="13825" max="13825" width="14.453125" style="796" customWidth="1"/>
    <col min="13826" max="13826" width="17.453125" style="796" customWidth="1"/>
    <col min="13827" max="13827" width="15.81640625" style="796" customWidth="1"/>
    <col min="13828" max="13828" width="17.26953125" style="796" customWidth="1"/>
    <col min="13829" max="13829" width="14.453125" style="796" customWidth="1"/>
    <col min="13830" max="13830" width="8.7265625" style="796" customWidth="1"/>
    <col min="13831" max="13831" width="19.453125" style="796" customWidth="1"/>
    <col min="13832" max="13834" width="10.81640625" style="796"/>
    <col min="13835" max="13835" width="11.453125" style="796" customWidth="1"/>
    <col min="13836" max="13836" width="1.81640625" style="796" bestFit="1" customWidth="1"/>
    <col min="13837" max="13837" width="9" style="796" customWidth="1"/>
    <col min="13838" max="13838" width="5.1796875" style="796" bestFit="1" customWidth="1"/>
    <col min="13839" max="13839" width="3.26953125" style="796" customWidth="1"/>
    <col min="13840" max="14080" width="10.81640625" style="796"/>
    <col min="14081" max="14081" width="14.453125" style="796" customWidth="1"/>
    <col min="14082" max="14082" width="17.453125" style="796" customWidth="1"/>
    <col min="14083" max="14083" width="15.81640625" style="796" customWidth="1"/>
    <col min="14084" max="14084" width="17.26953125" style="796" customWidth="1"/>
    <col min="14085" max="14085" width="14.453125" style="796" customWidth="1"/>
    <col min="14086" max="14086" width="8.7265625" style="796" customWidth="1"/>
    <col min="14087" max="14087" width="19.453125" style="796" customWidth="1"/>
    <col min="14088" max="14090" width="10.81640625" style="796"/>
    <col min="14091" max="14091" width="11.453125" style="796" customWidth="1"/>
    <col min="14092" max="14092" width="1.81640625" style="796" bestFit="1" customWidth="1"/>
    <col min="14093" max="14093" width="9" style="796" customWidth="1"/>
    <col min="14094" max="14094" width="5.1796875" style="796" bestFit="1" customWidth="1"/>
    <col min="14095" max="14095" width="3.26953125" style="796" customWidth="1"/>
    <col min="14096" max="14336" width="10.81640625" style="796"/>
    <col min="14337" max="14337" width="14.453125" style="796" customWidth="1"/>
    <col min="14338" max="14338" width="17.453125" style="796" customWidth="1"/>
    <col min="14339" max="14339" width="15.81640625" style="796" customWidth="1"/>
    <col min="14340" max="14340" width="17.26953125" style="796" customWidth="1"/>
    <col min="14341" max="14341" width="14.453125" style="796" customWidth="1"/>
    <col min="14342" max="14342" width="8.7265625" style="796" customWidth="1"/>
    <col min="14343" max="14343" width="19.453125" style="796" customWidth="1"/>
    <col min="14344" max="14346" width="10.81640625" style="796"/>
    <col min="14347" max="14347" width="11.453125" style="796" customWidth="1"/>
    <col min="14348" max="14348" width="1.81640625" style="796" bestFit="1" customWidth="1"/>
    <col min="14349" max="14349" width="9" style="796" customWidth="1"/>
    <col min="14350" max="14350" width="5.1796875" style="796" bestFit="1" customWidth="1"/>
    <col min="14351" max="14351" width="3.26953125" style="796" customWidth="1"/>
    <col min="14352" max="14592" width="10.81640625" style="796"/>
    <col min="14593" max="14593" width="14.453125" style="796" customWidth="1"/>
    <col min="14594" max="14594" width="17.453125" style="796" customWidth="1"/>
    <col min="14595" max="14595" width="15.81640625" style="796" customWidth="1"/>
    <col min="14596" max="14596" width="17.26953125" style="796" customWidth="1"/>
    <col min="14597" max="14597" width="14.453125" style="796" customWidth="1"/>
    <col min="14598" max="14598" width="8.7265625" style="796" customWidth="1"/>
    <col min="14599" max="14599" width="19.453125" style="796" customWidth="1"/>
    <col min="14600" max="14602" width="10.81640625" style="796"/>
    <col min="14603" max="14603" width="11.453125" style="796" customWidth="1"/>
    <col min="14604" max="14604" width="1.81640625" style="796" bestFit="1" customWidth="1"/>
    <col min="14605" max="14605" width="9" style="796" customWidth="1"/>
    <col min="14606" max="14606" width="5.1796875" style="796" bestFit="1" customWidth="1"/>
    <col min="14607" max="14607" width="3.26953125" style="796" customWidth="1"/>
    <col min="14608" max="14848" width="10.81640625" style="796"/>
    <col min="14849" max="14849" width="14.453125" style="796" customWidth="1"/>
    <col min="14850" max="14850" width="17.453125" style="796" customWidth="1"/>
    <col min="14851" max="14851" width="15.81640625" style="796" customWidth="1"/>
    <col min="14852" max="14852" width="17.26953125" style="796" customWidth="1"/>
    <col min="14853" max="14853" width="14.453125" style="796" customWidth="1"/>
    <col min="14854" max="14854" width="8.7265625" style="796" customWidth="1"/>
    <col min="14855" max="14855" width="19.453125" style="796" customWidth="1"/>
    <col min="14856" max="14858" width="10.81640625" style="796"/>
    <col min="14859" max="14859" width="11.453125" style="796" customWidth="1"/>
    <col min="14860" max="14860" width="1.81640625" style="796" bestFit="1" customWidth="1"/>
    <col min="14861" max="14861" width="9" style="796" customWidth="1"/>
    <col min="14862" max="14862" width="5.1796875" style="796" bestFit="1" customWidth="1"/>
    <col min="14863" max="14863" width="3.26953125" style="796" customWidth="1"/>
    <col min="14864" max="15104" width="10.81640625" style="796"/>
    <col min="15105" max="15105" width="14.453125" style="796" customWidth="1"/>
    <col min="15106" max="15106" width="17.453125" style="796" customWidth="1"/>
    <col min="15107" max="15107" width="15.81640625" style="796" customWidth="1"/>
    <col min="15108" max="15108" width="17.26953125" style="796" customWidth="1"/>
    <col min="15109" max="15109" width="14.453125" style="796" customWidth="1"/>
    <col min="15110" max="15110" width="8.7265625" style="796" customWidth="1"/>
    <col min="15111" max="15111" width="19.453125" style="796" customWidth="1"/>
    <col min="15112" max="15114" width="10.81640625" style="796"/>
    <col min="15115" max="15115" width="11.453125" style="796" customWidth="1"/>
    <col min="15116" max="15116" width="1.81640625" style="796" bestFit="1" customWidth="1"/>
    <col min="15117" max="15117" width="9" style="796" customWidth="1"/>
    <col min="15118" max="15118" width="5.1796875" style="796" bestFit="1" customWidth="1"/>
    <col min="15119" max="15119" width="3.26953125" style="796" customWidth="1"/>
    <col min="15120" max="15360" width="10.81640625" style="796"/>
    <col min="15361" max="15361" width="14.453125" style="796" customWidth="1"/>
    <col min="15362" max="15362" width="17.453125" style="796" customWidth="1"/>
    <col min="15363" max="15363" width="15.81640625" style="796" customWidth="1"/>
    <col min="15364" max="15364" width="17.26953125" style="796" customWidth="1"/>
    <col min="15365" max="15365" width="14.453125" style="796" customWidth="1"/>
    <col min="15366" max="15366" width="8.7265625" style="796" customWidth="1"/>
    <col min="15367" max="15367" width="19.453125" style="796" customWidth="1"/>
    <col min="15368" max="15370" width="10.81640625" style="796"/>
    <col min="15371" max="15371" width="11.453125" style="796" customWidth="1"/>
    <col min="15372" max="15372" width="1.81640625" style="796" bestFit="1" customWidth="1"/>
    <col min="15373" max="15373" width="9" style="796" customWidth="1"/>
    <col min="15374" max="15374" width="5.1796875" style="796" bestFit="1" customWidth="1"/>
    <col min="15375" max="15375" width="3.26953125" style="796" customWidth="1"/>
    <col min="15376" max="15616" width="10.81640625" style="796"/>
    <col min="15617" max="15617" width="14.453125" style="796" customWidth="1"/>
    <col min="15618" max="15618" width="17.453125" style="796" customWidth="1"/>
    <col min="15619" max="15619" width="15.81640625" style="796" customWidth="1"/>
    <col min="15620" max="15620" width="17.26953125" style="796" customWidth="1"/>
    <col min="15621" max="15621" width="14.453125" style="796" customWidth="1"/>
    <col min="15622" max="15622" width="8.7265625" style="796" customWidth="1"/>
    <col min="15623" max="15623" width="19.453125" style="796" customWidth="1"/>
    <col min="15624" max="15626" width="10.81640625" style="796"/>
    <col min="15627" max="15627" width="11.453125" style="796" customWidth="1"/>
    <col min="15628" max="15628" width="1.81640625" style="796" bestFit="1" customWidth="1"/>
    <col min="15629" max="15629" width="9" style="796" customWidth="1"/>
    <col min="15630" max="15630" width="5.1796875" style="796" bestFit="1" customWidth="1"/>
    <col min="15631" max="15631" width="3.26953125" style="796" customWidth="1"/>
    <col min="15632" max="15872" width="10.81640625" style="796"/>
    <col min="15873" max="15873" width="14.453125" style="796" customWidth="1"/>
    <col min="15874" max="15874" width="17.453125" style="796" customWidth="1"/>
    <col min="15875" max="15875" width="15.81640625" style="796" customWidth="1"/>
    <col min="15876" max="15876" width="17.26953125" style="796" customWidth="1"/>
    <col min="15877" max="15877" width="14.453125" style="796" customWidth="1"/>
    <col min="15878" max="15878" width="8.7265625" style="796" customWidth="1"/>
    <col min="15879" max="15879" width="19.453125" style="796" customWidth="1"/>
    <col min="15880" max="15882" width="10.81640625" style="796"/>
    <col min="15883" max="15883" width="11.453125" style="796" customWidth="1"/>
    <col min="15884" max="15884" width="1.81640625" style="796" bestFit="1" customWidth="1"/>
    <col min="15885" max="15885" width="9" style="796" customWidth="1"/>
    <col min="15886" max="15886" width="5.1796875" style="796" bestFit="1" customWidth="1"/>
    <col min="15887" max="15887" width="3.26953125" style="796" customWidth="1"/>
    <col min="15888" max="16128" width="10.81640625" style="796"/>
    <col min="16129" max="16129" width="14.453125" style="796" customWidth="1"/>
    <col min="16130" max="16130" width="17.453125" style="796" customWidth="1"/>
    <col min="16131" max="16131" width="15.81640625" style="796" customWidth="1"/>
    <col min="16132" max="16132" width="17.26953125" style="796" customWidth="1"/>
    <col min="16133" max="16133" width="14.453125" style="796" customWidth="1"/>
    <col min="16134" max="16134" width="8.7265625" style="796" customWidth="1"/>
    <col min="16135" max="16135" width="19.453125" style="796" customWidth="1"/>
    <col min="16136" max="16138" width="10.81640625" style="796"/>
    <col min="16139" max="16139" width="11.453125" style="796" customWidth="1"/>
    <col min="16140" max="16140" width="1.81640625" style="796" bestFit="1" customWidth="1"/>
    <col min="16141" max="16141" width="9" style="796" customWidth="1"/>
    <col min="16142" max="16142" width="5.1796875" style="796" bestFit="1" customWidth="1"/>
    <col min="16143" max="16143" width="3.26953125" style="796" customWidth="1"/>
    <col min="16144" max="16384" width="10.81640625" style="796"/>
  </cols>
  <sheetData>
    <row r="1" spans="1:17" ht="15" thickBot="1">
      <c r="B1" s="797"/>
      <c r="C1" s="797"/>
      <c r="D1" s="797"/>
      <c r="E1" s="797"/>
      <c r="F1" s="797"/>
      <c r="G1" s="797"/>
    </row>
    <row r="2" spans="1:17" ht="15" thickBot="1">
      <c r="B2" s="798" t="s">
        <v>849</v>
      </c>
      <c r="C2" s="799"/>
      <c r="D2" s="800" t="s">
        <v>850</v>
      </c>
      <c r="E2" s="801" t="s">
        <v>851</v>
      </c>
      <c r="F2" s="802"/>
      <c r="G2" s="803" t="s">
        <v>852</v>
      </c>
      <c r="I2" s="1083" t="s">
        <v>853</v>
      </c>
      <c r="J2" s="1084"/>
      <c r="K2" s="1084"/>
      <c r="L2" s="1085"/>
      <c r="M2" s="804"/>
    </row>
    <row r="3" spans="1:17" ht="15" thickBot="1">
      <c r="A3" s="798" t="s">
        <v>69</v>
      </c>
      <c r="B3" s="805">
        <v>26.03</v>
      </c>
      <c r="C3" s="806"/>
      <c r="D3" s="1086">
        <f>B3/B4</f>
        <v>1.4789772727272728</v>
      </c>
      <c r="E3" s="1088">
        <f>(B3*1.2)/B4</f>
        <v>1.7747727272727272</v>
      </c>
      <c r="F3" s="1089"/>
      <c r="G3" s="1092">
        <f>(B3*1.25)/B4</f>
        <v>1.8487215909090908</v>
      </c>
      <c r="I3" s="807"/>
      <c r="J3" s="1094"/>
      <c r="K3" s="1094"/>
      <c r="L3" s="807"/>
      <c r="M3" s="804"/>
    </row>
    <row r="4" spans="1:17" ht="15" thickBot="1">
      <c r="A4" s="798" t="s">
        <v>867</v>
      </c>
      <c r="B4" s="808">
        <v>17.600000000000001</v>
      </c>
      <c r="C4" s="809"/>
      <c r="D4" s="1087"/>
      <c r="E4" s="1090"/>
      <c r="F4" s="1091"/>
      <c r="G4" s="1093"/>
      <c r="I4" s="807">
        <v>1</v>
      </c>
      <c r="J4" s="1094" t="s">
        <v>869</v>
      </c>
      <c r="K4" s="1094"/>
      <c r="L4" s="807" t="s">
        <v>854</v>
      </c>
      <c r="M4" s="810">
        <f>(B3*O4)-B4</f>
        <v>34.46</v>
      </c>
      <c r="N4" s="807" t="s">
        <v>855</v>
      </c>
      <c r="O4" s="807">
        <v>2</v>
      </c>
      <c r="P4" s="1082" t="s">
        <v>856</v>
      </c>
      <c r="Q4" s="1082"/>
    </row>
    <row r="5" spans="1:17" ht="15" thickBot="1"/>
    <row r="6" spans="1:17" ht="15" thickBot="1">
      <c r="I6" s="1083" t="s">
        <v>857</v>
      </c>
      <c r="J6" s="1084"/>
      <c r="K6" s="1084"/>
      <c r="L6" s="1084"/>
      <c r="M6" s="1085"/>
    </row>
    <row r="7" spans="1:17" ht="15" thickBot="1">
      <c r="A7" s="1095" t="s">
        <v>866</v>
      </c>
      <c r="B7" s="1095"/>
      <c r="C7" s="1096"/>
      <c r="D7" s="811">
        <v>7093223000</v>
      </c>
    </row>
    <row r="8" spans="1:17" ht="15" thickBot="1">
      <c r="A8" s="1095" t="s">
        <v>858</v>
      </c>
      <c r="B8" s="1095"/>
      <c r="C8" s="1096"/>
      <c r="D8" s="811">
        <v>15887450</v>
      </c>
      <c r="I8" s="807">
        <v>1</v>
      </c>
      <c r="J8" s="1094" t="s">
        <v>869</v>
      </c>
      <c r="K8" s="1094"/>
      <c r="L8" s="807" t="s">
        <v>854</v>
      </c>
      <c r="M8" s="810">
        <f>(B3*2)*1.2-B4</f>
        <v>44.872</v>
      </c>
      <c r="N8" s="807" t="s">
        <v>855</v>
      </c>
      <c r="O8" s="807">
        <v>2</v>
      </c>
      <c r="P8" s="1082" t="s">
        <v>856</v>
      </c>
      <c r="Q8" s="1082"/>
    </row>
    <row r="9" spans="1:17" ht="15" thickBot="1"/>
    <row r="10" spans="1:17" ht="15" thickBot="1">
      <c r="A10" s="812"/>
      <c r="D10" s="813"/>
      <c r="F10" s="812"/>
      <c r="I10" s="1083" t="s">
        <v>859</v>
      </c>
      <c r="J10" s="1084"/>
      <c r="K10" s="1084"/>
      <c r="L10" s="1084"/>
      <c r="M10" s="1085"/>
    </row>
    <row r="11" spans="1:17">
      <c r="A11" s="814" t="s">
        <v>860</v>
      </c>
      <c r="B11" s="815"/>
      <c r="C11" s="815"/>
      <c r="D11" s="815"/>
      <c r="E11" s="815"/>
      <c r="F11" s="816"/>
    </row>
    <row r="12" spans="1:17" ht="15" thickBot="1">
      <c r="A12" s="813"/>
      <c r="D12" s="812"/>
      <c r="F12" s="813"/>
      <c r="G12" s="804"/>
      <c r="I12" s="807">
        <v>1</v>
      </c>
      <c r="J12" s="1094" t="s">
        <v>869</v>
      </c>
      <c r="K12" s="1094"/>
      <c r="L12" s="807" t="s">
        <v>854</v>
      </c>
      <c r="M12" s="810">
        <f>(B3*2)*1.25-B4</f>
        <v>47.475000000000001</v>
      </c>
      <c r="N12" s="807" t="s">
        <v>855</v>
      </c>
      <c r="O12" s="807">
        <v>2</v>
      </c>
      <c r="P12" s="1082" t="s">
        <v>856</v>
      </c>
      <c r="Q12" s="1082"/>
    </row>
    <row r="13" spans="1:17">
      <c r="A13" s="817" t="s">
        <v>868</v>
      </c>
      <c r="B13" s="818"/>
      <c r="C13" s="819">
        <f>D8/2</f>
        <v>7943725</v>
      </c>
      <c r="D13" s="812"/>
      <c r="E13" s="804"/>
    </row>
    <row r="14" spans="1:17">
      <c r="A14" s="820" t="s">
        <v>861</v>
      </c>
      <c r="B14" s="821"/>
      <c r="C14" s="822">
        <f>C13/D7</f>
        <v>1.119903462784125E-3</v>
      </c>
    </row>
    <row r="15" spans="1:17">
      <c r="A15" s="820" t="s">
        <v>862</v>
      </c>
      <c r="B15" s="821"/>
      <c r="C15" s="823">
        <f>C13*M4</f>
        <v>273740763.5</v>
      </c>
    </row>
    <row r="16" spans="1:17">
      <c r="A16" s="820" t="s">
        <v>863</v>
      </c>
      <c r="B16" s="821"/>
      <c r="C16" s="823">
        <f>C13*M8</f>
        <v>356450828.19999999</v>
      </c>
    </row>
    <row r="17" spans="1:9" ht="15" thickBot="1">
      <c r="A17" s="824" t="s">
        <v>864</v>
      </c>
      <c r="B17" s="825"/>
      <c r="C17" s="826">
        <f>C13*M12</f>
        <v>377128344.375</v>
      </c>
      <c r="D17" s="804"/>
      <c r="E17" s="804"/>
      <c r="F17" s="804"/>
    </row>
    <row r="18" spans="1:9">
      <c r="A18" s="804"/>
      <c r="C18" s="804"/>
      <c r="I18" s="804"/>
    </row>
    <row r="19" spans="1:9">
      <c r="A19" s="804"/>
    </row>
    <row r="20" spans="1:9">
      <c r="C20" s="812" t="s">
        <v>865</v>
      </c>
    </row>
  </sheetData>
  <mergeCells count="15">
    <mergeCell ref="J12:K12"/>
    <mergeCell ref="P12:Q12"/>
    <mergeCell ref="I6:M6"/>
    <mergeCell ref="A7:C7"/>
    <mergeCell ref="A8:C8"/>
    <mergeCell ref="J8:K8"/>
    <mergeCell ref="P8:Q8"/>
    <mergeCell ref="I10:M10"/>
    <mergeCell ref="P4:Q4"/>
    <mergeCell ref="I2:L2"/>
    <mergeCell ref="D3:D4"/>
    <mergeCell ref="E3:F4"/>
    <mergeCell ref="G3:G4"/>
    <mergeCell ref="J3:K3"/>
    <mergeCell ref="J4:K4"/>
  </mergeCells>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Q8" sqref="Q8"/>
    </sheetView>
  </sheetViews>
  <sheetFormatPr baseColWidth="10" defaultColWidth="8.81640625" defaultRowHeight="14.5"/>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Données</vt:lpstr>
      <vt:lpstr>Chances de réussites</vt:lpstr>
      <vt:lpstr>Cours en bourse</vt:lpstr>
      <vt:lpstr>Tx actualisation</vt:lpstr>
      <vt:lpstr>Scénario 1</vt:lpstr>
      <vt:lpstr>Scénario 2</vt:lpstr>
      <vt:lpstr>Scénario 3</vt:lpstr>
      <vt:lpstr>Choix de sous-traitant </vt:lpstr>
      <vt:lpstr>Recommandation</vt:lpstr>
      <vt:lpstr>VAN d'exploitation </vt:lpstr>
      <vt:lpstr>Scénarios d'exploitation (2)</vt:lpstr>
      <vt:lpstr>Scénarios d'exploitation</vt:lpstr>
      <vt:lpstr>OVAR</vt:lpstr>
      <vt:lpstr>TdB R&amp;D</vt:lpstr>
      <vt:lpstr>TdB Exploitation</vt:lpstr>
      <vt:lpstr>Dossier 4</vt:lpstr>
      <vt:lpstr>Dossier 5 </vt:lpstr>
      <vt:lpstr>Scénarios </vt:lpstr>
      <vt:lpstr>Trésorerie</vt:lpstr>
      <vt:lpstr>Valeur de l'action</vt:lpstr>
      <vt:lpstr>Politique de financement</vt:lpstr>
      <vt:lpstr>Offre Pfizer</vt:lpstr>
      <vt:lpstr>Recommendations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Amine Sd</dc:creator>
  <cp:lastModifiedBy>Julien Ducrot</cp:lastModifiedBy>
  <dcterms:created xsi:type="dcterms:W3CDTF">2014-09-10T15:53:06Z</dcterms:created>
  <dcterms:modified xsi:type="dcterms:W3CDTF">2016-11-04T11:51:31Z</dcterms:modified>
</cp:coreProperties>
</file>