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26"/>
  <workbookPr codeName="ThisWorkbook" autoCompressPictures="0"/>
  <bookViews>
    <workbookView xWindow="60" yWindow="20" windowWidth="38340" windowHeight="19640"/>
  </bookViews>
  <sheets>
    <sheet name="DETAIL RESERVATIONS" sheetId="17" r:id="rId1"/>
  </sheets>
  <externalReferences>
    <externalReference r:id="rId2"/>
    <externalReference r:id="rId3"/>
  </externalReferences>
  <definedNames>
    <definedName name="_xlnm._FilterDatabase" localSheetId="0" hidden="1">'DETAIL RESERVATIONS'!$B$44:$H$46</definedName>
    <definedName name="_xlnm.Print_Area" localSheetId="0">'DETAIL RESERVATIONS'!$A$1:$Y$100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80" i="17" l="1"/>
  <c r="M80" i="17"/>
  <c r="M86" i="17"/>
  <c r="O94" i="17"/>
  <c r="M94" i="17"/>
  <c r="H33" i="17"/>
  <c r="H35" i="17"/>
  <c r="H39" i="17"/>
  <c r="H40" i="17"/>
  <c r="H47" i="17"/>
  <c r="H51" i="17"/>
  <c r="H54" i="17"/>
  <c r="H55" i="17"/>
  <c r="H58" i="17"/>
  <c r="H66" i="17"/>
  <c r="H71" i="17"/>
  <c r="H72" i="17"/>
  <c r="H80" i="17"/>
  <c r="H86" i="17"/>
  <c r="C5" i="17"/>
  <c r="D5" i="17"/>
  <c r="E5" i="17"/>
  <c r="C6" i="17"/>
  <c r="D6" i="17"/>
  <c r="E6" i="17"/>
  <c r="C7" i="17"/>
  <c r="D7" i="17"/>
  <c r="E7" i="17"/>
  <c r="C8" i="17"/>
  <c r="D8" i="17"/>
  <c r="E8" i="17"/>
  <c r="C9" i="17"/>
  <c r="D9" i="17"/>
  <c r="E9" i="17"/>
  <c r="C10" i="17"/>
  <c r="D10" i="17"/>
  <c r="E10" i="17"/>
  <c r="C11" i="17"/>
  <c r="D11" i="17"/>
  <c r="E11" i="17"/>
  <c r="C12" i="17"/>
  <c r="D12" i="17"/>
  <c r="E12" i="17"/>
  <c r="C13" i="17"/>
  <c r="D13" i="17"/>
  <c r="E13" i="17"/>
  <c r="C14" i="17"/>
  <c r="D14" i="17"/>
  <c r="E14" i="17"/>
  <c r="C15" i="17"/>
  <c r="D15" i="17"/>
  <c r="E15" i="17"/>
  <c r="C16" i="17"/>
  <c r="D16" i="17"/>
  <c r="E16" i="17"/>
  <c r="C17" i="17"/>
  <c r="D17" i="17"/>
  <c r="E17" i="17"/>
  <c r="C18" i="17"/>
  <c r="D18" i="17"/>
  <c r="E18" i="17"/>
  <c r="C19" i="17"/>
  <c r="D19" i="17"/>
  <c r="E19" i="17"/>
  <c r="C20" i="17"/>
  <c r="D20" i="17"/>
  <c r="E20" i="17"/>
  <c r="C21" i="17"/>
  <c r="D21" i="17"/>
  <c r="E21" i="17"/>
  <c r="C22" i="17"/>
  <c r="D22" i="17"/>
  <c r="E22" i="17"/>
  <c r="C23" i="17"/>
  <c r="D23" i="17"/>
  <c r="E23" i="17"/>
  <c r="C24" i="17"/>
  <c r="D24" i="17"/>
  <c r="E24" i="17"/>
  <c r="C25" i="17"/>
  <c r="D25" i="17"/>
  <c r="E25" i="17"/>
  <c r="C26" i="17"/>
  <c r="D26" i="17"/>
  <c r="E26" i="17"/>
  <c r="C27" i="17"/>
  <c r="D27" i="17"/>
  <c r="E27" i="17"/>
  <c r="E4" i="17"/>
  <c r="D4" i="17"/>
  <c r="C4" i="17"/>
  <c r="O4" i="17"/>
  <c r="N4" i="17"/>
  <c r="M4" i="17"/>
  <c r="H20" i="17"/>
  <c r="I20" i="17"/>
  <c r="J20" i="17"/>
  <c r="H21" i="17"/>
  <c r="I21" i="17"/>
  <c r="J21" i="17"/>
  <c r="H22" i="17"/>
  <c r="I22" i="17"/>
  <c r="J22" i="17"/>
  <c r="H23" i="17"/>
  <c r="I23" i="17"/>
  <c r="J23" i="17"/>
  <c r="H24" i="17"/>
  <c r="I24" i="17"/>
  <c r="J24" i="17"/>
  <c r="H25" i="17"/>
  <c r="I25" i="17"/>
  <c r="J25" i="17"/>
  <c r="H26" i="17"/>
  <c r="I26" i="17"/>
  <c r="J26" i="17"/>
  <c r="H27" i="17"/>
  <c r="I27" i="17"/>
  <c r="J27" i="17"/>
  <c r="H11" i="17"/>
  <c r="I11" i="17"/>
  <c r="J11" i="17"/>
  <c r="H12" i="17"/>
  <c r="I12" i="17"/>
  <c r="J12" i="17"/>
  <c r="H13" i="17"/>
  <c r="I13" i="17"/>
  <c r="J13" i="17"/>
  <c r="H14" i="17"/>
  <c r="I14" i="17"/>
  <c r="J14" i="17"/>
  <c r="H15" i="17"/>
  <c r="I15" i="17"/>
  <c r="J15" i="17"/>
  <c r="H16" i="17"/>
  <c r="I16" i="17"/>
  <c r="J16" i="17"/>
  <c r="H17" i="17"/>
  <c r="I17" i="17"/>
  <c r="J17" i="17"/>
  <c r="H18" i="17"/>
  <c r="I18" i="17"/>
  <c r="J18" i="17"/>
  <c r="H19" i="17"/>
  <c r="I19" i="17"/>
  <c r="J19" i="17"/>
  <c r="H7" i="17"/>
  <c r="I7" i="17"/>
  <c r="J7" i="17"/>
  <c r="H8" i="17"/>
  <c r="I8" i="17"/>
  <c r="J8" i="17"/>
  <c r="H9" i="17"/>
  <c r="I9" i="17"/>
  <c r="J9" i="17"/>
  <c r="H10" i="17"/>
  <c r="I10" i="17"/>
  <c r="J10" i="17"/>
  <c r="H6" i="17"/>
  <c r="I6" i="17"/>
  <c r="J6" i="17"/>
  <c r="H5" i="17"/>
  <c r="I5" i="17"/>
  <c r="J5" i="17"/>
  <c r="J4" i="17"/>
  <c r="I4" i="17"/>
  <c r="H4" i="17"/>
  <c r="T4" i="17"/>
  <c r="S4" i="17"/>
  <c r="R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4" i="17"/>
  <c r="K70" i="17"/>
  <c r="F79" i="17"/>
  <c r="F78" i="17"/>
  <c r="F77" i="17"/>
  <c r="F76" i="17"/>
  <c r="F75" i="17"/>
  <c r="F74" i="17"/>
  <c r="K34" i="17"/>
  <c r="J34" i="17"/>
  <c r="K32" i="17"/>
  <c r="J32" i="17"/>
  <c r="F70" i="17"/>
  <c r="F69" i="17"/>
  <c r="F68" i="17"/>
  <c r="F67" i="17"/>
  <c r="F65" i="17"/>
  <c r="F64" i="17"/>
  <c r="F63" i="17"/>
  <c r="F62" i="17"/>
  <c r="F61" i="17"/>
  <c r="F60" i="17"/>
  <c r="F59" i="17"/>
  <c r="F53" i="17"/>
  <c r="F52" i="17"/>
  <c r="F50" i="17"/>
  <c r="F49" i="17"/>
  <c r="F48" i="17"/>
  <c r="F46" i="17"/>
  <c r="F45" i="17"/>
  <c r="F44" i="17"/>
  <c r="F43" i="17"/>
  <c r="F42" i="17"/>
  <c r="F38" i="17"/>
  <c r="F37" i="17"/>
  <c r="F36" i="17"/>
  <c r="F81" i="17"/>
  <c r="F82" i="17"/>
  <c r="F83" i="17"/>
  <c r="F84" i="17"/>
  <c r="F85" i="17"/>
  <c r="O86" i="17"/>
  <c r="M71" i="17"/>
  <c r="O66" i="17"/>
  <c r="M66" i="17"/>
  <c r="O58" i="17"/>
  <c r="M58" i="17"/>
  <c r="O54" i="17"/>
  <c r="M54" i="17"/>
  <c r="O51" i="17"/>
  <c r="M51" i="17"/>
  <c r="O47" i="17"/>
  <c r="M47" i="17"/>
  <c r="O39" i="17"/>
  <c r="M39" i="17"/>
  <c r="O35" i="17"/>
  <c r="M35" i="17"/>
  <c r="O33" i="17"/>
  <c r="M33" i="17"/>
  <c r="I86" i="17"/>
  <c r="J84" i="17"/>
  <c r="K84" i="17"/>
  <c r="J85" i="17"/>
  <c r="K85" i="17"/>
  <c r="F86" i="17"/>
  <c r="J70" i="17"/>
  <c r="K61" i="17"/>
  <c r="J61" i="17"/>
  <c r="K67" i="17"/>
  <c r="J67" i="17"/>
  <c r="J68" i="17"/>
  <c r="J69" i="17"/>
  <c r="M72" i="17"/>
  <c r="Q33" i="17"/>
  <c r="Q35" i="17"/>
  <c r="Q39" i="17"/>
  <c r="Q47" i="17"/>
  <c r="Q51" i="17"/>
  <c r="Q54" i="17"/>
  <c r="M55" i="17"/>
  <c r="O40" i="17"/>
  <c r="Q40" i="17"/>
  <c r="O55" i="17"/>
  <c r="M95" i="17"/>
  <c r="O95" i="17"/>
  <c r="M40" i="17"/>
  <c r="I33" i="17"/>
  <c r="F33" i="17"/>
  <c r="K33" i="17"/>
  <c r="J33" i="17"/>
  <c r="K35" i="17"/>
  <c r="J35" i="17"/>
  <c r="I35" i="17"/>
  <c r="Q55" i="17"/>
  <c r="Q58" i="17"/>
  <c r="Q66" i="17"/>
  <c r="M96" i="17"/>
  <c r="L33" i="17"/>
  <c r="F35" i="17"/>
  <c r="L35" i="17"/>
  <c r="K90" i="17"/>
  <c r="K91" i="17"/>
  <c r="K92" i="17"/>
  <c r="K93" i="17"/>
  <c r="K89" i="17"/>
  <c r="K88" i="17"/>
  <c r="K87" i="17"/>
  <c r="K83" i="17"/>
  <c r="K82" i="17"/>
  <c r="K81" i="17"/>
  <c r="K78" i="17"/>
  <c r="K79" i="17"/>
  <c r="K77" i="17"/>
  <c r="K76" i="17"/>
  <c r="K75" i="17"/>
  <c r="K74" i="17"/>
  <c r="K69" i="17"/>
  <c r="K68" i="17"/>
  <c r="K62" i="17"/>
  <c r="K63" i="17"/>
  <c r="K65" i="17"/>
  <c r="K60" i="17"/>
  <c r="K59" i="17"/>
  <c r="K53" i="17"/>
  <c r="K50" i="17"/>
  <c r="K49" i="17"/>
  <c r="K48" i="17"/>
  <c r="K45" i="17"/>
  <c r="K46" i="17"/>
  <c r="K44" i="17"/>
  <c r="K43" i="17"/>
  <c r="K42" i="17"/>
  <c r="K37" i="17"/>
  <c r="K38" i="17"/>
  <c r="K86" i="17"/>
  <c r="J83" i="17"/>
  <c r="I80" i="17"/>
  <c r="J88" i="17"/>
  <c r="J89" i="17"/>
  <c r="J90" i="17"/>
  <c r="J91" i="17"/>
  <c r="J92" i="17"/>
  <c r="J93" i="17"/>
  <c r="J82" i="17"/>
  <c r="J75" i="17"/>
  <c r="J76" i="17"/>
  <c r="J77" i="17"/>
  <c r="J78" i="17"/>
  <c r="J79" i="17"/>
  <c r="J87" i="17"/>
  <c r="J81" i="17"/>
  <c r="J74" i="17"/>
  <c r="I94" i="17"/>
  <c r="H94" i="17"/>
  <c r="F94" i="17"/>
  <c r="I71" i="17"/>
  <c r="I66" i="17"/>
  <c r="I58" i="17"/>
  <c r="F58" i="17"/>
  <c r="K58" i="17"/>
  <c r="J57" i="17"/>
  <c r="J58" i="17"/>
  <c r="J60" i="17"/>
  <c r="J62" i="17"/>
  <c r="J63" i="17"/>
  <c r="J64" i="17"/>
  <c r="J65" i="17"/>
  <c r="J59" i="17"/>
  <c r="I54" i="17"/>
  <c r="I51" i="17"/>
  <c r="J53" i="17"/>
  <c r="J52" i="17"/>
  <c r="J50" i="17"/>
  <c r="J49" i="17"/>
  <c r="J48" i="17"/>
  <c r="I39" i="17"/>
  <c r="I40" i="17"/>
  <c r="J44" i="17"/>
  <c r="J45" i="17"/>
  <c r="J46" i="17"/>
  <c r="J43" i="17"/>
  <c r="J42" i="17"/>
  <c r="I47" i="17"/>
  <c r="J37" i="17"/>
  <c r="J38" i="17"/>
  <c r="J36" i="17"/>
  <c r="K36" i="17"/>
  <c r="J86" i="17"/>
  <c r="U5" i="17"/>
  <c r="U7" i="17"/>
  <c r="U9" i="17"/>
  <c r="U11" i="17"/>
  <c r="U13" i="17"/>
  <c r="U15" i="17"/>
  <c r="U17" i="17"/>
  <c r="U19" i="17"/>
  <c r="U21" i="17"/>
  <c r="U23" i="17"/>
  <c r="U25" i="17"/>
  <c r="U27" i="17"/>
  <c r="U6" i="17"/>
  <c r="U8" i="17"/>
  <c r="U10" i="17"/>
  <c r="U12" i="17"/>
  <c r="U14" i="17"/>
  <c r="U16" i="17"/>
  <c r="U18" i="17"/>
  <c r="U20" i="17"/>
  <c r="U22" i="17"/>
  <c r="U24" i="17"/>
  <c r="U26" i="17"/>
  <c r="U4" i="17"/>
  <c r="K5" i="17"/>
  <c r="K7" i="17"/>
  <c r="K9" i="17"/>
  <c r="K11" i="17"/>
  <c r="K13" i="17"/>
  <c r="K15" i="17"/>
  <c r="K17" i="17"/>
  <c r="K19" i="17"/>
  <c r="K21" i="17"/>
  <c r="K23" i="17"/>
  <c r="K25" i="17"/>
  <c r="K27" i="17"/>
  <c r="K6" i="17"/>
  <c r="K8" i="17"/>
  <c r="K10" i="17"/>
  <c r="K12" i="17"/>
  <c r="K14" i="17"/>
  <c r="K16" i="17"/>
  <c r="K18" i="17"/>
  <c r="K20" i="17"/>
  <c r="K22" i="17"/>
  <c r="K24" i="17"/>
  <c r="K26" i="17"/>
  <c r="K4" i="17"/>
  <c r="P5" i="17"/>
  <c r="P7" i="17"/>
  <c r="P9" i="17"/>
  <c r="P11" i="17"/>
  <c r="P13" i="17"/>
  <c r="P15" i="17"/>
  <c r="P17" i="17"/>
  <c r="P19" i="17"/>
  <c r="P21" i="17"/>
  <c r="P23" i="17"/>
  <c r="P25" i="17"/>
  <c r="P27" i="17"/>
  <c r="P6" i="17"/>
  <c r="P8" i="17"/>
  <c r="P10" i="17"/>
  <c r="P12" i="17"/>
  <c r="P14" i="17"/>
  <c r="P16" i="17"/>
  <c r="P18" i="17"/>
  <c r="P20" i="17"/>
  <c r="P22" i="17"/>
  <c r="P24" i="17"/>
  <c r="P26" i="17"/>
  <c r="P4" i="17"/>
  <c r="I72" i="17"/>
  <c r="I95" i="17"/>
  <c r="L58" i="17"/>
  <c r="J71" i="17"/>
  <c r="H95" i="17"/>
  <c r="I55" i="17"/>
  <c r="J66" i="17"/>
  <c r="J80" i="17"/>
  <c r="J94" i="17"/>
  <c r="J39" i="17"/>
  <c r="J47" i="17"/>
  <c r="J54" i="17"/>
  <c r="J51" i="17"/>
  <c r="K39" i="17"/>
  <c r="F39" i="17"/>
  <c r="K64" i="17"/>
  <c r="K52" i="17"/>
  <c r="V5" i="17"/>
  <c r="V26" i="17"/>
  <c r="V18" i="17"/>
  <c r="V10" i="17"/>
  <c r="V27" i="17"/>
  <c r="V19" i="17"/>
  <c r="V11" i="17"/>
  <c r="Q26" i="17"/>
  <c r="Q18" i="17"/>
  <c r="Q10" i="17"/>
  <c r="Q27" i="17"/>
  <c r="Q19" i="17"/>
  <c r="Q11" i="17"/>
  <c r="L20" i="17"/>
  <c r="L12" i="17"/>
  <c r="L4" i="17"/>
  <c r="L21" i="17"/>
  <c r="L13" i="17"/>
  <c r="L5" i="17"/>
  <c r="V24" i="17"/>
  <c r="V16" i="17"/>
  <c r="V8" i="17"/>
  <c r="V25" i="17"/>
  <c r="V17" i="17"/>
  <c r="V9" i="17"/>
  <c r="Q24" i="17"/>
  <c r="Q16" i="17"/>
  <c r="Q8" i="17"/>
  <c r="Q25" i="17"/>
  <c r="Q17" i="17"/>
  <c r="Q9" i="17"/>
  <c r="L26" i="17"/>
  <c r="L18" i="17"/>
  <c r="L10" i="17"/>
  <c r="L27" i="17"/>
  <c r="L19" i="17"/>
  <c r="L11" i="17"/>
  <c r="V22" i="17"/>
  <c r="V14" i="17"/>
  <c r="V6" i="17"/>
  <c r="V23" i="17"/>
  <c r="V15" i="17"/>
  <c r="V7" i="17"/>
  <c r="Q22" i="17"/>
  <c r="Q14" i="17"/>
  <c r="Q6" i="17"/>
  <c r="Q23" i="17"/>
  <c r="Q15" i="17"/>
  <c r="Q7" i="17"/>
  <c r="L24" i="17"/>
  <c r="L16" i="17"/>
  <c r="L8" i="17"/>
  <c r="L25" i="17"/>
  <c r="L17" i="17"/>
  <c r="L9" i="17"/>
  <c r="V20" i="17"/>
  <c r="V12" i="17"/>
  <c r="V4" i="17"/>
  <c r="V21" i="17"/>
  <c r="V13" i="17"/>
  <c r="Q20" i="17"/>
  <c r="Q12" i="17"/>
  <c r="Q4" i="17"/>
  <c r="Q21" i="17"/>
  <c r="Q13" i="17"/>
  <c r="Q5" i="17"/>
  <c r="L22" i="17"/>
  <c r="L14" i="17"/>
  <c r="L6" i="17"/>
  <c r="L23" i="17"/>
  <c r="L15" i="17"/>
  <c r="L7" i="17"/>
  <c r="J72" i="17"/>
  <c r="J40" i="17"/>
  <c r="K40" i="17"/>
  <c r="L39" i="17"/>
  <c r="L40" i="17"/>
  <c r="J95" i="17"/>
  <c r="K80" i="17"/>
  <c r="K94" i="17"/>
  <c r="F80" i="17"/>
  <c r="K71" i="17"/>
  <c r="F54" i="17"/>
  <c r="F71" i="17"/>
  <c r="K47" i="17"/>
  <c r="J55" i="17"/>
  <c r="F66" i="17"/>
  <c r="K51" i="17"/>
  <c r="F40" i="17"/>
  <c r="K54" i="17"/>
  <c r="K66" i="17"/>
  <c r="F51" i="17"/>
  <c r="F47" i="17"/>
  <c r="H96" i="17"/>
  <c r="I96" i="17"/>
  <c r="K72" i="17"/>
  <c r="J96" i="17"/>
  <c r="L86" i="17"/>
  <c r="L80" i="17"/>
  <c r="L71" i="17"/>
  <c r="L66" i="17"/>
  <c r="L54" i="17"/>
  <c r="L47" i="17"/>
  <c r="L94" i="17"/>
  <c r="L51" i="17"/>
  <c r="K95" i="17"/>
  <c r="F95" i="17"/>
  <c r="F72" i="17"/>
  <c r="K55" i="17"/>
  <c r="F55" i="17"/>
  <c r="L95" i="17"/>
  <c r="L72" i="17"/>
  <c r="F96" i="17"/>
  <c r="M5" i="17"/>
  <c r="N5" i="17"/>
  <c r="O5" i="17"/>
  <c r="M6" i="17"/>
  <c r="N6" i="17"/>
  <c r="O6" i="17"/>
  <c r="M7" i="17"/>
  <c r="N7" i="17"/>
  <c r="O7" i="17"/>
  <c r="M8" i="17"/>
  <c r="N8" i="17"/>
  <c r="O8" i="17"/>
  <c r="M9" i="17"/>
  <c r="N9" i="17"/>
  <c r="O9" i="17"/>
  <c r="M10" i="17"/>
  <c r="N10" i="17"/>
  <c r="O10" i="17"/>
  <c r="M11" i="17"/>
  <c r="N11" i="17"/>
  <c r="O11" i="17"/>
  <c r="M12" i="17"/>
  <c r="N12" i="17"/>
  <c r="O12" i="17"/>
  <c r="M13" i="17"/>
  <c r="N13" i="17"/>
  <c r="O13" i="17"/>
  <c r="M14" i="17"/>
  <c r="N14" i="17"/>
  <c r="O14" i="17"/>
  <c r="M15" i="17"/>
  <c r="N15" i="17"/>
  <c r="O15" i="17"/>
  <c r="M16" i="17"/>
  <c r="N16" i="17"/>
  <c r="O16" i="17"/>
  <c r="M17" i="17"/>
  <c r="N17" i="17"/>
  <c r="O17" i="17"/>
  <c r="M18" i="17"/>
  <c r="N18" i="17"/>
  <c r="O18" i="17"/>
  <c r="M19" i="17"/>
  <c r="N19" i="17"/>
  <c r="O19" i="17"/>
  <c r="M20" i="17"/>
  <c r="N20" i="17"/>
  <c r="O20" i="17"/>
  <c r="M21" i="17"/>
  <c r="N21" i="17"/>
  <c r="O21" i="17"/>
  <c r="M22" i="17"/>
  <c r="N22" i="17"/>
  <c r="O22" i="17"/>
  <c r="M23" i="17"/>
  <c r="N23" i="17"/>
  <c r="O23" i="17"/>
  <c r="M24" i="17"/>
  <c r="N24" i="17"/>
  <c r="O24" i="17"/>
  <c r="M25" i="17"/>
  <c r="N25" i="17"/>
  <c r="O25" i="17"/>
  <c r="M26" i="17"/>
  <c r="N26" i="17"/>
  <c r="O26" i="17"/>
  <c r="M27" i="17"/>
  <c r="N27" i="17"/>
  <c r="O27" i="17"/>
  <c r="R19" i="17"/>
  <c r="S19" i="17"/>
  <c r="T19" i="17"/>
  <c r="T5" i="17"/>
  <c r="T6" i="17"/>
  <c r="T7" i="17"/>
  <c r="T8" i="17"/>
  <c r="T9" i="17"/>
  <c r="T10" i="17"/>
  <c r="T11" i="17"/>
  <c r="T12" i="17"/>
  <c r="T13" i="17"/>
  <c r="T14" i="17"/>
  <c r="T15" i="17"/>
  <c r="T16" i="17"/>
  <c r="T17" i="17"/>
  <c r="T18" i="17"/>
  <c r="T20" i="17"/>
  <c r="T21" i="17"/>
  <c r="T22" i="17"/>
  <c r="T23" i="17"/>
  <c r="T24" i="17"/>
  <c r="T25" i="17"/>
  <c r="T26" i="17"/>
  <c r="T27" i="17"/>
  <c r="S27" i="17"/>
  <c r="S26" i="17"/>
  <c r="S25" i="17"/>
  <c r="S24" i="17"/>
  <c r="S23" i="17"/>
  <c r="S22" i="17"/>
  <c r="S21" i="17"/>
  <c r="S20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S5" i="17"/>
  <c r="R27" i="17"/>
  <c r="R26" i="17"/>
  <c r="R25" i="17"/>
  <c r="R24" i="17"/>
  <c r="R23" i="17"/>
  <c r="R22" i="17"/>
  <c r="R21" i="17"/>
  <c r="R20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W19" i="17"/>
  <c r="W12" i="17"/>
  <c r="W13" i="17"/>
  <c r="W14" i="17"/>
  <c r="W15" i="17"/>
  <c r="W24" i="17"/>
  <c r="W25" i="17"/>
  <c r="W10" i="17"/>
  <c r="W4" i="17"/>
  <c r="W17" i="17"/>
  <c r="W26" i="17"/>
  <c r="W18" i="17"/>
  <c r="W5" i="17"/>
  <c r="W6" i="17"/>
  <c r="W9" i="17"/>
  <c r="W11" i="17"/>
  <c r="W27" i="17"/>
  <c r="W22" i="17"/>
  <c r="W20" i="17"/>
  <c r="W7" i="17"/>
  <c r="W8" i="17"/>
  <c r="W23" i="17"/>
  <c r="W21" i="17"/>
  <c r="W16" i="17"/>
  <c r="L55" i="17"/>
  <c r="K96" i="17"/>
  <c r="L96" i="17"/>
  <c r="O71" i="17"/>
  <c r="O72" i="17"/>
  <c r="Q71" i="17"/>
  <c r="O96" i="17"/>
  <c r="Q72" i="17"/>
  <c r="Q80" i="17"/>
  <c r="Q86" i="17"/>
  <c r="Q94" i="17"/>
  <c r="Q95" i="17"/>
  <c r="G4" i="17"/>
  <c r="X4" i="17"/>
  <c r="G5" i="17"/>
  <c r="X5" i="17"/>
  <c r="G6" i="17"/>
  <c r="X6" i="17"/>
  <c r="G7" i="17"/>
  <c r="X7" i="17"/>
  <c r="G8" i="17"/>
  <c r="X8" i="17"/>
  <c r="G9" i="17"/>
  <c r="X9" i="17"/>
  <c r="G10" i="17"/>
  <c r="X10" i="17"/>
  <c r="G11" i="17"/>
  <c r="X11" i="17"/>
  <c r="G12" i="17"/>
  <c r="X12" i="17"/>
  <c r="G13" i="17"/>
  <c r="X13" i="17"/>
  <c r="G14" i="17"/>
  <c r="X14" i="17"/>
  <c r="G15" i="17"/>
  <c r="X15" i="17"/>
  <c r="G16" i="17"/>
  <c r="X16" i="17"/>
  <c r="G17" i="17"/>
  <c r="X17" i="17"/>
  <c r="G18" i="17"/>
  <c r="X18" i="17"/>
  <c r="G19" i="17"/>
  <c r="X19" i="17"/>
  <c r="G20" i="17"/>
  <c r="X20" i="17"/>
  <c r="G21" i="17"/>
  <c r="X21" i="17"/>
  <c r="G22" i="17"/>
  <c r="X22" i="17"/>
  <c r="G23" i="17"/>
  <c r="X23" i="17"/>
  <c r="G24" i="17"/>
  <c r="X24" i="17"/>
  <c r="G25" i="17"/>
  <c r="X25" i="17"/>
  <c r="G26" i="17"/>
  <c r="X26" i="17"/>
  <c r="G27" i="17"/>
  <c r="X27" i="17"/>
</calcChain>
</file>

<file path=xl/comments1.xml><?xml version="1.0" encoding="utf-8"?>
<comments xmlns="http://schemas.openxmlformats.org/spreadsheetml/2006/main">
  <authors>
    <author>TOUSSAERT Severine</author>
  </authors>
  <commentList>
    <comment ref="H81" authorId="0">
      <text>
        <r>
          <rPr>
            <b/>
            <sz val="9"/>
            <color indexed="81"/>
            <rFont val="Tahoma"/>
            <family val="2"/>
          </rPr>
          <t>TOUSSAERT Severine:</t>
        </r>
        <r>
          <rPr>
            <sz val="9"/>
            <color indexed="81"/>
            <rFont val="Tahoma"/>
            <family val="2"/>
          </rPr>
          <t xml:space="preserve">
+ 1 unité de vente =&gt; Locaux commerciaux</t>
        </r>
      </text>
    </comment>
  </commentList>
</comments>
</file>

<file path=xl/sharedStrings.xml><?xml version="1.0" encoding="utf-8"?>
<sst xmlns="http://schemas.openxmlformats.org/spreadsheetml/2006/main" count="270" uniqueCount="180">
  <si>
    <t>Q1</t>
  </si>
  <si>
    <t>Q2</t>
  </si>
  <si>
    <t>Q3</t>
  </si>
  <si>
    <t>Q4</t>
  </si>
  <si>
    <t>TOTAL</t>
  </si>
  <si>
    <t>DEC</t>
  </si>
  <si>
    <t>JAN</t>
  </si>
  <si>
    <t>FEV</t>
  </si>
  <si>
    <t>MARS</t>
  </si>
  <si>
    <t>AVRIL</t>
  </si>
  <si>
    <t>MAI</t>
  </si>
  <si>
    <t>JUIN</t>
  </si>
  <si>
    <t>JUIL</t>
  </si>
  <si>
    <t>AOUT</t>
  </si>
  <si>
    <t>SEPT</t>
  </si>
  <si>
    <t>OCT</t>
  </si>
  <si>
    <t>NOV</t>
  </si>
  <si>
    <t>A FLEUR D'EAU</t>
  </si>
  <si>
    <t>AU FIL DES SAISONS</t>
  </si>
  <si>
    <t>COTE BASSIN</t>
  </si>
  <si>
    <t>ESSENCIA</t>
  </si>
  <si>
    <t>IMPRECIS</t>
  </si>
  <si>
    <t>L'AIRIAL DES MERISIERS</t>
  </si>
  <si>
    <t>LE PARC DE CITON</t>
  </si>
  <si>
    <t>LES ALIZES</t>
  </si>
  <si>
    <t>LES VOILES DE LA FAIENCERIE</t>
  </si>
  <si>
    <t>TEREO</t>
  </si>
  <si>
    <t>VILLA ARTE</t>
  </si>
  <si>
    <t>VILLA SERENIS</t>
  </si>
  <si>
    <t>SOFIA</t>
  </si>
  <si>
    <t>BRUTE</t>
  </si>
  <si>
    <t>NETTE</t>
  </si>
  <si>
    <t>LE METROPOLITAIN</t>
  </si>
  <si>
    <t>LE DOMAINE DES TESTERINS</t>
  </si>
  <si>
    <t>OPUS VERDE</t>
  </si>
  <si>
    <t>Désistement 2015</t>
  </si>
  <si>
    <t>LES VILLAS D'OE</t>
  </si>
  <si>
    <t>CŒUR DE CHARTRONS</t>
  </si>
  <si>
    <t>T4</t>
  </si>
  <si>
    <t>T2</t>
  </si>
  <si>
    <t>M067</t>
  </si>
  <si>
    <t>KONNERT</t>
  </si>
  <si>
    <t>M026</t>
  </si>
  <si>
    <t>T5</t>
  </si>
  <si>
    <t>LECREUX</t>
  </si>
  <si>
    <t>M013</t>
  </si>
  <si>
    <t>MIOT</t>
  </si>
  <si>
    <t>M033</t>
  </si>
  <si>
    <t>Mars</t>
  </si>
  <si>
    <t>DARROUSSAT</t>
  </si>
  <si>
    <t>En cours</t>
  </si>
  <si>
    <t>ROQUE</t>
  </si>
  <si>
    <t>M016</t>
  </si>
  <si>
    <t>OUHOCINE</t>
  </si>
  <si>
    <t>M002</t>
  </si>
  <si>
    <t>H302</t>
  </si>
  <si>
    <t>DUCHEMIN</t>
  </si>
  <si>
    <t>M301</t>
  </si>
  <si>
    <t>KERROUMI</t>
  </si>
  <si>
    <t>M063</t>
  </si>
  <si>
    <t>M001</t>
  </si>
  <si>
    <t>GUERGOURI</t>
  </si>
  <si>
    <t>M004</t>
  </si>
  <si>
    <t>RUIZ</t>
  </si>
  <si>
    <t>Avril</t>
  </si>
  <si>
    <t>GRAVILLON</t>
  </si>
  <si>
    <t>K301</t>
  </si>
  <si>
    <t>Mai</t>
  </si>
  <si>
    <t>POLLICINO</t>
  </si>
  <si>
    <t>H301</t>
  </si>
  <si>
    <t>LES MUSES</t>
  </si>
  <si>
    <t>Juin</t>
  </si>
  <si>
    <t>ESQUISS</t>
  </si>
  <si>
    <t xml:space="preserve">T3 </t>
  </si>
  <si>
    <t>STELLA VERDE</t>
  </si>
  <si>
    <t>NAJID</t>
  </si>
  <si>
    <t>RIVEO</t>
  </si>
  <si>
    <t>LES JARDINS D'ARTICA</t>
  </si>
  <si>
    <t>HUGUET</t>
  </si>
  <si>
    <t>Juillet</t>
  </si>
  <si>
    <t>BARRIERE</t>
  </si>
  <si>
    <t>SANCHEZ OLIVAR</t>
  </si>
  <si>
    <t>FALGA</t>
  </si>
  <si>
    <t>M034</t>
  </si>
  <si>
    <t>LC</t>
  </si>
  <si>
    <t>PROENCA</t>
  </si>
  <si>
    <t>M003</t>
  </si>
  <si>
    <t>M066</t>
  </si>
  <si>
    <t>Aout</t>
  </si>
  <si>
    <t>LE TRIPTYC</t>
  </si>
  <si>
    <t>PICOT</t>
  </si>
  <si>
    <t>Septembre</t>
  </si>
  <si>
    <t>VIARD</t>
  </si>
  <si>
    <t>LEYRAT</t>
  </si>
  <si>
    <t>M14</t>
  </si>
  <si>
    <t>B2 BIS 106</t>
  </si>
  <si>
    <t>LE CLOS DE LA CHARTREUSE</t>
  </si>
  <si>
    <t>CAGNIN</t>
  </si>
  <si>
    <t>CALBRIX</t>
  </si>
  <si>
    <t>Octobre</t>
  </si>
  <si>
    <t>BONNAC</t>
  </si>
  <si>
    <t>B3-302</t>
  </si>
  <si>
    <t>MEYNARD</t>
  </si>
  <si>
    <t>BOUCHEZ</t>
  </si>
  <si>
    <t>B3-202</t>
  </si>
  <si>
    <t>DEBEC / CHASTELIER</t>
  </si>
  <si>
    <t>M12</t>
  </si>
  <si>
    <t>L02</t>
  </si>
  <si>
    <t>LESAGE</t>
  </si>
  <si>
    <t xml:space="preserve"> </t>
  </si>
  <si>
    <t>Novembre</t>
  </si>
  <si>
    <t>GERMAIN</t>
  </si>
  <si>
    <t>MECHI</t>
  </si>
  <si>
    <t>PROGRAMME</t>
  </si>
  <si>
    <t>N° LOT</t>
  </si>
  <si>
    <t>TYPO</t>
  </si>
  <si>
    <t>PRIX CONTRAT</t>
  </si>
  <si>
    <t>MOIS</t>
  </si>
  <si>
    <t>NB DESIS</t>
  </si>
  <si>
    <t>MONTANT DESIS</t>
  </si>
  <si>
    <t>Pool</t>
  </si>
  <si>
    <t>MG</t>
  </si>
  <si>
    <t>ASH</t>
  </si>
  <si>
    <t>En attente de confirmation avec Philipe Vu Sofia le 18/10/16</t>
  </si>
  <si>
    <t>ROULAND / GEOFFRE</t>
  </si>
  <si>
    <t>M29</t>
  </si>
  <si>
    <t>QUARTER 1</t>
  </si>
  <si>
    <t>SOUS-TOTAL QUARTER 1</t>
  </si>
  <si>
    <t>QUARTER 2</t>
  </si>
  <si>
    <t>SOUS-TOTAL QUARTER 2</t>
  </si>
  <si>
    <t>QUARTER 3</t>
  </si>
  <si>
    <t>SOUS-TOTAL QUARTER 3</t>
  </si>
  <si>
    <t>QUARTER 4</t>
  </si>
  <si>
    <t>SOUS-TOTAL QUARTER 4</t>
  </si>
  <si>
    <t>TOTAL ANNUEL</t>
  </si>
  <si>
    <t>MONTANT CA FINAL</t>
  </si>
  <si>
    <t>NB RESA NETTES</t>
  </si>
  <si>
    <t>NB RESA BRUTES</t>
  </si>
  <si>
    <t>SOUS-TOTAL MARS</t>
  </si>
  <si>
    <t>SOUS-TOTAL FEVRIER</t>
  </si>
  <si>
    <t>SOUS-TOTAL AVRIL</t>
  </si>
  <si>
    <t>SOUS-TOTAL MAI</t>
  </si>
  <si>
    <t>SOUS-TOTAL JUILLET</t>
  </si>
  <si>
    <t>SOUS-TOTAL AOUT</t>
  </si>
  <si>
    <t>SOUS-TOTAL JUIN</t>
  </si>
  <si>
    <t>SOUS-TOTAL SEPTEMBRE</t>
  </si>
  <si>
    <t>SOUS-TOTAL OCTOBRE</t>
  </si>
  <si>
    <t>SOUS-TOTAL NOVEMBRE</t>
  </si>
  <si>
    <t>Désisté le 23/03/16</t>
  </si>
  <si>
    <t>Désisté le 31/05/16</t>
  </si>
  <si>
    <t>SOUS-TOTAL DECEMBRE</t>
  </si>
  <si>
    <t>SOUS-TOTAL JANVIER</t>
  </si>
  <si>
    <t>NB CONTACTS BRUTS</t>
  </si>
  <si>
    <t>NB CONTACTS NETS</t>
  </si>
  <si>
    <t>Du 01-12-15 au 03-01-16</t>
  </si>
  <si>
    <t>Du 04 au 30-04-16</t>
  </si>
  <si>
    <t>Du 29-02 au 03-04-16</t>
  </si>
  <si>
    <t>Du 04 au 31-01-16</t>
  </si>
  <si>
    <t>Du 01 au 28-02-16</t>
  </si>
  <si>
    <t>Du 1er au 29-05-16</t>
  </si>
  <si>
    <t>Du 30-05 au 03-07-16</t>
  </si>
  <si>
    <t>Du 04 au 31-07-16</t>
  </si>
  <si>
    <t>Du 1-08 au 04-09-16</t>
  </si>
  <si>
    <t>Du 05-09 au 02-10-16</t>
  </si>
  <si>
    <t>Du 03 au 30-10-16</t>
  </si>
  <si>
    <t>Du 31-10 au 04-12-16</t>
  </si>
  <si>
    <t>PENSEZ A RAJOUTER CONTACTS DERNIERE SEMAINE</t>
  </si>
  <si>
    <t>FAYON / CAMILLERI</t>
  </si>
  <si>
    <t>TANASOIU (SCI PRO EN CANES)</t>
  </si>
  <si>
    <t>CUMUL CONTACTS NETS</t>
  </si>
  <si>
    <t>RIVEO (LC =&gt; Vaut pour 4 ventes)</t>
  </si>
  <si>
    <t>COTE BASSIN (vaut pour 2 ventes)</t>
  </si>
  <si>
    <t>CLIENT</t>
  </si>
  <si>
    <t>LACOURREGE</t>
  </si>
  <si>
    <t>A1-LC1</t>
  </si>
  <si>
    <t>A5-A24</t>
  </si>
  <si>
    <t>A1-C62</t>
  </si>
  <si>
    <t>Janvier</t>
  </si>
  <si>
    <t>Février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</si>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</sst>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;\-#,##0\ &quot;€&quot;"/>
    <numFmt numFmtId="169" formatCode="#,##0\ &quot;€&quot;"/>
    <numFmt numFmtId="170" formatCode="dd/mm/yy;@"/>
  </numFmts>
  <fonts count="17" x14ac:knownFonts="1">
    <font>
      <sz val="11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2"/>
      <color rgb="FFFF0000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lightUp">
        <bgColor rgb="FFCCC0DA"/>
      </patternFill>
    </fill>
    <fill>
      <patternFill patternType="lightUp">
        <bgColor rgb="FFFFFF00"/>
      </patternFill>
    </fill>
    <fill>
      <patternFill patternType="solid">
        <fgColor rgb="FF66FFCC"/>
        <bgColor indexed="64"/>
      </patternFill>
    </fill>
    <fill>
      <patternFill patternType="lightUp">
        <bgColor rgb="FF66FFCC"/>
      </patternFill>
    </fill>
    <fill>
      <patternFill patternType="solid">
        <fgColor rgb="FFFFCCFF"/>
        <bgColor indexed="64"/>
      </patternFill>
    </fill>
    <fill>
      <patternFill patternType="lightUp">
        <bgColor rgb="FFFFCC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lightUp">
        <bgColor theme="9" tint="0.39994506668294322"/>
      </patternFill>
    </fill>
    <fill>
      <patternFill patternType="solid">
        <fgColor rgb="FFCCFFCC"/>
        <bgColor indexed="64"/>
      </patternFill>
    </fill>
    <fill>
      <patternFill patternType="lightUp">
        <bgColor rgb="FFCCFFCC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47">
    <xf numFmtId="0" fontId="0" fillId="0" borderId="0" xfId="0"/>
    <xf numFmtId="0" fontId="3" fillId="0" borderId="0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5" xfId="0" applyNumberFormat="1" applyFont="1" applyBorder="1" applyAlignment="1">
      <alignment vertical="center" wrapText="1"/>
    </xf>
    <xf numFmtId="0" fontId="2" fillId="0" borderId="32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Border="1" applyAlignment="1">
      <alignment vertical="center" wrapText="1"/>
    </xf>
    <xf numFmtId="0" fontId="7" fillId="0" borderId="13" xfId="0" applyNumberFormat="1" applyFont="1" applyBorder="1" applyAlignment="1">
      <alignment vertical="center" wrapText="1"/>
    </xf>
    <xf numFmtId="170" fontId="12" fillId="8" borderId="46" xfId="0" applyNumberFormat="1" applyFont="1" applyFill="1" applyBorder="1" applyAlignment="1">
      <alignment vertical="center" wrapText="1"/>
    </xf>
    <xf numFmtId="0" fontId="6" fillId="0" borderId="0" xfId="0" applyNumberFormat="1" applyFont="1" applyBorder="1" applyAlignment="1">
      <alignment vertical="center" wrapText="1"/>
    </xf>
    <xf numFmtId="164" fontId="12" fillId="4" borderId="12" xfId="0" applyNumberFormat="1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>
      <alignment horizontal="center" vertical="center" wrapText="1"/>
    </xf>
    <xf numFmtId="164" fontId="12" fillId="4" borderId="26" xfId="0" applyNumberFormat="1" applyFont="1" applyFill="1" applyBorder="1" applyAlignment="1">
      <alignment horizontal="center" vertical="center" wrapText="1"/>
    </xf>
    <xf numFmtId="0" fontId="6" fillId="6" borderId="9" xfId="0" applyNumberFormat="1" applyFont="1" applyFill="1" applyBorder="1" applyAlignment="1">
      <alignment horizontal="center" vertical="center" wrapText="1"/>
    </xf>
    <xf numFmtId="170" fontId="12" fillId="8" borderId="25" xfId="0" applyNumberFormat="1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4" fillId="6" borderId="3" xfId="0" applyNumberFormat="1" applyFont="1" applyFill="1" applyBorder="1" applyAlignment="1">
      <alignment horizontal="center" vertical="center" wrapText="1"/>
    </xf>
    <xf numFmtId="164" fontId="5" fillId="6" borderId="3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 wrapText="1"/>
    </xf>
    <xf numFmtId="164" fontId="6" fillId="6" borderId="2" xfId="0" applyNumberFormat="1" applyFont="1" applyFill="1" applyBorder="1" applyAlignment="1">
      <alignment horizontal="center" vertical="center" wrapText="1"/>
    </xf>
    <xf numFmtId="0" fontId="4" fillId="6" borderId="8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5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 wrapText="1"/>
    </xf>
    <xf numFmtId="0" fontId="4" fillId="5" borderId="21" xfId="0" applyNumberFormat="1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4" fillId="5" borderId="22" xfId="0" applyNumberFormat="1" applyFont="1" applyFill="1" applyBorder="1" applyAlignment="1">
      <alignment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5" borderId="23" xfId="0" applyNumberFormat="1" applyFont="1" applyFill="1" applyBorder="1" applyAlignment="1">
      <alignment vertical="center" wrapText="1"/>
    </xf>
    <xf numFmtId="0" fontId="4" fillId="0" borderId="0" xfId="0" applyNumberFormat="1" applyFont="1" applyFill="1" applyAlignment="1">
      <alignment vertical="center" wrapText="1"/>
    </xf>
    <xf numFmtId="0" fontId="6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Alignment="1">
      <alignment vertical="center" wrapText="1"/>
    </xf>
    <xf numFmtId="164" fontId="7" fillId="4" borderId="3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3" fillId="6" borderId="47" xfId="0" applyNumberFormat="1" applyFont="1" applyFill="1" applyBorder="1" applyAlignment="1">
      <alignment horizontal="center" vertical="center" wrapText="1"/>
    </xf>
    <xf numFmtId="164" fontId="3" fillId="12" borderId="36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4" fillId="6" borderId="9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0" fontId="5" fillId="6" borderId="5" xfId="0" applyNumberFormat="1" applyFont="1" applyFill="1" applyBorder="1" applyAlignment="1">
      <alignment horizontal="center" vertical="center" wrapText="1"/>
    </xf>
    <xf numFmtId="0" fontId="5" fillId="6" borderId="9" xfId="0" applyNumberFormat="1" applyFont="1" applyFill="1" applyBorder="1" applyAlignment="1">
      <alignment horizontal="center" vertical="center" wrapText="1"/>
    </xf>
    <xf numFmtId="0" fontId="4" fillId="9" borderId="48" xfId="0" applyNumberFormat="1" applyFont="1" applyFill="1" applyBorder="1" applyAlignment="1">
      <alignment vertical="center" wrapText="1"/>
    </xf>
    <xf numFmtId="0" fontId="4" fillId="11" borderId="48" xfId="0" applyNumberFormat="1" applyFont="1" applyFill="1" applyBorder="1" applyAlignment="1">
      <alignment vertical="center" wrapText="1"/>
    </xf>
    <xf numFmtId="0" fontId="6" fillId="12" borderId="6" xfId="0" applyFont="1" applyFill="1" applyBorder="1" applyAlignment="1">
      <alignment horizontal="left" vertical="center" wrapText="1"/>
    </xf>
    <xf numFmtId="0" fontId="6" fillId="12" borderId="5" xfId="0" applyFont="1" applyFill="1" applyBorder="1" applyAlignment="1">
      <alignment horizontal="center" vertical="center" wrapText="1"/>
    </xf>
    <xf numFmtId="164" fontId="6" fillId="12" borderId="5" xfId="0" applyNumberFormat="1" applyFont="1" applyFill="1" applyBorder="1" applyAlignment="1">
      <alignment horizontal="center" vertical="center" wrapText="1"/>
    </xf>
    <xf numFmtId="0" fontId="4" fillId="12" borderId="5" xfId="0" applyNumberFormat="1" applyFont="1" applyFill="1" applyBorder="1" applyAlignment="1">
      <alignment horizontal="center" vertical="center" wrapText="1"/>
    </xf>
    <xf numFmtId="0" fontId="4" fillId="12" borderId="9" xfId="0" applyNumberFormat="1" applyFont="1" applyFill="1" applyBorder="1" applyAlignment="1">
      <alignment horizontal="center" vertical="center" wrapText="1"/>
    </xf>
    <xf numFmtId="0" fontId="6" fillId="12" borderId="9" xfId="0" applyNumberFormat="1" applyFont="1" applyFill="1" applyBorder="1" applyAlignment="1">
      <alignment horizontal="center" vertical="center" wrapText="1"/>
    </xf>
    <xf numFmtId="164" fontId="5" fillId="12" borderId="37" xfId="0" applyNumberFormat="1" applyFont="1" applyFill="1" applyBorder="1" applyAlignment="1">
      <alignment horizontal="center" vertical="center" wrapText="1"/>
    </xf>
    <xf numFmtId="0" fontId="4" fillId="13" borderId="48" xfId="0" applyNumberFormat="1" applyFont="1" applyFill="1" applyBorder="1" applyAlignment="1">
      <alignment vertical="center" wrapText="1"/>
    </xf>
    <xf numFmtId="0" fontId="6" fillId="12" borderId="4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 wrapText="1"/>
    </xf>
    <xf numFmtId="164" fontId="6" fillId="12" borderId="1" xfId="0" applyNumberFormat="1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center" vertical="center" wrapText="1"/>
    </xf>
    <xf numFmtId="0" fontId="4" fillId="12" borderId="3" xfId="0" applyNumberFormat="1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164" fontId="6" fillId="12" borderId="10" xfId="0" applyNumberFormat="1" applyFont="1" applyFill="1" applyBorder="1" applyAlignment="1">
      <alignment horizontal="center" vertical="center" wrapText="1"/>
    </xf>
    <xf numFmtId="0" fontId="4" fillId="12" borderId="10" xfId="0" applyNumberFormat="1" applyFont="1" applyFill="1" applyBorder="1" applyAlignment="1">
      <alignment horizontal="center" vertical="center" wrapText="1"/>
    </xf>
    <xf numFmtId="0" fontId="4" fillId="12" borderId="17" xfId="0" applyNumberFormat="1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left" vertical="center" wrapText="1"/>
    </xf>
    <xf numFmtId="0" fontId="6" fillId="12" borderId="2" xfId="0" applyFont="1" applyFill="1" applyBorder="1" applyAlignment="1">
      <alignment horizontal="center" vertical="center" wrapText="1"/>
    </xf>
    <xf numFmtId="164" fontId="6" fillId="12" borderId="2" xfId="0" applyNumberFormat="1" applyFont="1" applyFill="1" applyBorder="1" applyAlignment="1">
      <alignment horizontal="center" vertical="center" wrapText="1"/>
    </xf>
    <xf numFmtId="0" fontId="4" fillId="12" borderId="2" xfId="0" applyNumberFormat="1" applyFont="1" applyFill="1" applyBorder="1" applyAlignment="1">
      <alignment horizontal="center" vertical="center" wrapText="1"/>
    </xf>
    <xf numFmtId="0" fontId="4" fillId="12" borderId="8" xfId="0" applyNumberFormat="1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left" vertical="center" wrapText="1"/>
    </xf>
    <xf numFmtId="164" fontId="6" fillId="12" borderId="11" xfId="0" applyNumberFormat="1" applyFont="1" applyFill="1" applyBorder="1" applyAlignment="1">
      <alignment horizontal="center" vertical="center" wrapText="1"/>
    </xf>
    <xf numFmtId="0" fontId="4" fillId="12" borderId="11" xfId="0" applyNumberFormat="1" applyFont="1" applyFill="1" applyBorder="1" applyAlignment="1">
      <alignment horizontal="center" vertical="center" wrapText="1"/>
    </xf>
    <xf numFmtId="0" fontId="4" fillId="12" borderId="19" xfId="0" applyNumberFormat="1" applyFont="1" applyFill="1" applyBorder="1" applyAlignment="1">
      <alignment horizontal="center" vertical="center" wrapText="1"/>
    </xf>
    <xf numFmtId="0" fontId="6" fillId="12" borderId="31" xfId="0" applyFont="1" applyFill="1" applyBorder="1" applyAlignment="1">
      <alignment horizontal="left" vertical="center" wrapText="1"/>
    </xf>
    <xf numFmtId="0" fontId="6" fillId="12" borderId="10" xfId="0" applyFont="1" applyFill="1" applyBorder="1" applyAlignment="1">
      <alignment horizontal="center" vertical="center" wrapText="1"/>
    </xf>
    <xf numFmtId="0" fontId="4" fillId="13" borderId="45" xfId="0" applyNumberFormat="1" applyFont="1" applyFill="1" applyBorder="1" applyAlignment="1">
      <alignment vertical="center" wrapText="1"/>
    </xf>
    <xf numFmtId="164" fontId="3" fillId="0" borderId="0" xfId="0" applyNumberFormat="1" applyFont="1" applyBorder="1" applyAlignment="1">
      <alignment vertical="center" wrapText="1"/>
    </xf>
    <xf numFmtId="0" fontId="6" fillId="12" borderId="3" xfId="0" applyNumberFormat="1" applyFont="1" applyFill="1" applyBorder="1" applyAlignment="1">
      <alignment horizontal="center" vertical="center" wrapText="1"/>
    </xf>
    <xf numFmtId="164" fontId="5" fillId="12" borderId="22" xfId="0" applyNumberFormat="1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left" vertical="center" wrapText="1"/>
    </xf>
    <xf numFmtId="0" fontId="6" fillId="12" borderId="2" xfId="0" applyFont="1" applyFill="1" applyBorder="1" applyAlignment="1">
      <alignment horizontal="left" vertical="center" wrapText="1"/>
    </xf>
    <xf numFmtId="164" fontId="5" fillId="12" borderId="23" xfId="0" applyNumberFormat="1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 wrapText="1"/>
    </xf>
    <xf numFmtId="164" fontId="3" fillId="14" borderId="12" xfId="0" applyNumberFormat="1" applyFont="1" applyFill="1" applyBorder="1" applyAlignment="1">
      <alignment horizontal="center" vertical="center" wrapText="1"/>
    </xf>
    <xf numFmtId="170" fontId="3" fillId="14" borderId="25" xfId="0" applyNumberFormat="1" applyFont="1" applyFill="1" applyBorder="1" applyAlignment="1">
      <alignment vertical="center" wrapText="1"/>
    </xf>
    <xf numFmtId="0" fontId="3" fillId="14" borderId="12" xfId="0" applyNumberFormat="1" applyFont="1" applyFill="1" applyBorder="1" applyAlignment="1">
      <alignment horizontal="center" vertical="center" wrapText="1"/>
    </xf>
    <xf numFmtId="169" fontId="3" fillId="14" borderId="26" xfId="0" applyNumberFormat="1" applyFont="1" applyFill="1" applyBorder="1" applyAlignment="1">
      <alignment horizontal="center" vertical="center" wrapText="1"/>
    </xf>
    <xf numFmtId="164" fontId="3" fillId="14" borderId="45" xfId="0" applyNumberFormat="1" applyFont="1" applyFill="1" applyBorder="1" applyAlignment="1">
      <alignment horizontal="center" vertical="center" wrapText="1"/>
    </xf>
    <xf numFmtId="164" fontId="3" fillId="12" borderId="12" xfId="0" applyNumberFormat="1" applyFont="1" applyFill="1" applyBorder="1" applyAlignment="1">
      <alignment horizontal="center" vertical="center" wrapText="1"/>
    </xf>
    <xf numFmtId="0" fontId="3" fillId="12" borderId="18" xfId="0" applyNumberFormat="1" applyFont="1" applyFill="1" applyBorder="1" applyAlignment="1">
      <alignment horizontal="center" vertical="center" wrapText="1"/>
    </xf>
    <xf numFmtId="0" fontId="14" fillId="6" borderId="24" xfId="0" applyNumberFormat="1" applyFont="1" applyFill="1" applyBorder="1" applyAlignment="1">
      <alignment horizontal="center" vertical="center" wrapText="1"/>
    </xf>
    <xf numFmtId="0" fontId="14" fillId="6" borderId="34" xfId="0" applyNumberFormat="1" applyFont="1" applyFill="1" applyBorder="1" applyAlignment="1">
      <alignment horizontal="center" vertical="center" wrapText="1"/>
    </xf>
    <xf numFmtId="164" fontId="3" fillId="6" borderId="32" xfId="0" applyNumberFormat="1" applyFont="1" applyFill="1" applyBorder="1" applyAlignment="1">
      <alignment horizontal="center" vertical="center" wrapText="1"/>
    </xf>
    <xf numFmtId="170" fontId="3" fillId="8" borderId="46" xfId="0" applyNumberFormat="1" applyFont="1" applyFill="1" applyBorder="1" applyAlignment="1">
      <alignment vertical="center" wrapText="1"/>
    </xf>
    <xf numFmtId="0" fontId="3" fillId="6" borderId="15" xfId="0" applyNumberFormat="1" applyFont="1" applyFill="1" applyBorder="1" applyAlignment="1">
      <alignment horizontal="center" vertical="center" wrapText="1"/>
    </xf>
    <xf numFmtId="164" fontId="3" fillId="6" borderId="27" xfId="0" applyNumberFormat="1" applyFont="1" applyFill="1" applyBorder="1" applyAlignment="1">
      <alignment horizontal="center" vertical="center" wrapText="1"/>
    </xf>
    <xf numFmtId="164" fontId="3" fillId="12" borderId="27" xfId="0" applyNumberFormat="1" applyFont="1" applyFill="1" applyBorder="1" applyAlignment="1">
      <alignment horizontal="center" vertical="center" wrapText="1"/>
    </xf>
    <xf numFmtId="0" fontId="12" fillId="4" borderId="18" xfId="0" applyNumberFormat="1" applyFont="1" applyFill="1" applyBorder="1" applyAlignment="1">
      <alignment horizontal="center" vertical="center" wrapText="1"/>
    </xf>
    <xf numFmtId="164" fontId="12" fillId="4" borderId="36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15" fillId="12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>
      <alignment vertical="center" wrapText="1"/>
    </xf>
    <xf numFmtId="0" fontId="15" fillId="12" borderId="13" xfId="0" applyNumberFormat="1" applyFont="1" applyFill="1" applyBorder="1" applyAlignment="1">
      <alignment horizontal="center" vertical="center" wrapText="1"/>
    </xf>
    <xf numFmtId="0" fontId="15" fillId="12" borderId="49" xfId="0" applyNumberFormat="1" applyFont="1" applyFill="1" applyBorder="1" applyAlignment="1">
      <alignment horizontal="center" vertical="center" wrapText="1"/>
    </xf>
    <xf numFmtId="0" fontId="7" fillId="14" borderId="33" xfId="0" applyNumberFormat="1" applyFont="1" applyFill="1" applyBorder="1" applyAlignment="1">
      <alignment horizontal="center" vertical="center" wrapText="1"/>
    </xf>
    <xf numFmtId="0" fontId="7" fillId="14" borderId="46" xfId="0" applyNumberFormat="1" applyFont="1" applyFill="1" applyBorder="1" applyAlignment="1">
      <alignment horizontal="center" vertical="center" wrapText="1"/>
    </xf>
    <xf numFmtId="0" fontId="7" fillId="14" borderId="32" xfId="0" applyNumberFormat="1" applyFont="1" applyFill="1" applyBorder="1" applyAlignment="1">
      <alignment horizontal="center" vertical="center" wrapText="1"/>
    </xf>
    <xf numFmtId="0" fontId="7" fillId="14" borderId="15" xfId="0" applyNumberFormat="1" applyFont="1" applyFill="1" applyBorder="1" applyAlignment="1">
      <alignment horizontal="center" vertical="center" wrapText="1"/>
    </xf>
    <xf numFmtId="0" fontId="7" fillId="14" borderId="27" xfId="0" applyNumberFormat="1" applyFont="1" applyFill="1" applyBorder="1" applyAlignment="1">
      <alignment horizontal="center" vertical="center" wrapText="1"/>
    </xf>
    <xf numFmtId="0" fontId="3" fillId="14" borderId="47" xfId="0" applyNumberFormat="1" applyFont="1" applyFill="1" applyBorder="1" applyAlignment="1">
      <alignment horizontal="center" vertical="center" wrapText="1"/>
    </xf>
    <xf numFmtId="164" fontId="12" fillId="4" borderId="48" xfId="0" applyNumberFormat="1" applyFont="1" applyFill="1" applyBorder="1" applyAlignment="1">
      <alignment horizontal="center" vertical="center" wrapText="1"/>
    </xf>
    <xf numFmtId="0" fontId="6" fillId="12" borderId="19" xfId="0" applyNumberFormat="1" applyFont="1" applyFill="1" applyBorder="1" applyAlignment="1">
      <alignment horizontal="center" vertical="center" wrapText="1"/>
    </xf>
    <xf numFmtId="0" fontId="14" fillId="17" borderId="34" xfId="0" applyNumberFormat="1" applyFont="1" applyFill="1" applyBorder="1" applyAlignment="1">
      <alignment horizontal="center" vertical="center" wrapText="1"/>
    </xf>
    <xf numFmtId="0" fontId="6" fillId="17" borderId="6" xfId="0" applyFont="1" applyFill="1" applyBorder="1" applyAlignment="1">
      <alignment horizontal="left" vertical="center" wrapText="1"/>
    </xf>
    <xf numFmtId="0" fontId="6" fillId="17" borderId="5" xfId="0" applyFont="1" applyFill="1" applyBorder="1" applyAlignment="1">
      <alignment horizontal="center" vertical="center" wrapText="1"/>
    </xf>
    <xf numFmtId="164" fontId="6" fillId="17" borderId="5" xfId="0" applyNumberFormat="1" applyFont="1" applyFill="1" applyBorder="1" applyAlignment="1">
      <alignment horizontal="center" vertical="center" wrapText="1"/>
    </xf>
    <xf numFmtId="0" fontId="4" fillId="17" borderId="5" xfId="0" applyNumberFormat="1" applyFont="1" applyFill="1" applyBorder="1" applyAlignment="1">
      <alignment horizontal="center" vertical="center" wrapText="1"/>
    </xf>
    <xf numFmtId="0" fontId="4" fillId="17" borderId="9" xfId="0" applyNumberFormat="1" applyFont="1" applyFill="1" applyBorder="1" applyAlignment="1">
      <alignment horizontal="center" vertical="center" wrapText="1"/>
    </xf>
    <xf numFmtId="0" fontId="6" fillId="17" borderId="9" xfId="0" applyNumberFormat="1" applyFont="1" applyFill="1" applyBorder="1" applyAlignment="1">
      <alignment horizontal="center" vertical="center" wrapText="1"/>
    </xf>
    <xf numFmtId="164" fontId="5" fillId="17" borderId="37" xfId="0" applyNumberFormat="1" applyFont="1" applyFill="1" applyBorder="1" applyAlignment="1">
      <alignment horizontal="center" vertical="center" wrapText="1"/>
    </xf>
    <xf numFmtId="0" fontId="4" fillId="18" borderId="44" xfId="0" applyNumberFormat="1" applyFont="1" applyFill="1" applyBorder="1" applyAlignment="1">
      <alignment vertical="center" wrapText="1"/>
    </xf>
    <xf numFmtId="0" fontId="6" fillId="17" borderId="7" xfId="0" applyFont="1" applyFill="1" applyBorder="1" applyAlignment="1">
      <alignment horizontal="left" vertical="center" wrapText="1"/>
    </xf>
    <xf numFmtId="0" fontId="6" fillId="17" borderId="2" xfId="0" applyFont="1" applyFill="1" applyBorder="1" applyAlignment="1">
      <alignment horizontal="center" vertical="center" wrapText="1"/>
    </xf>
    <xf numFmtId="164" fontId="6" fillId="17" borderId="2" xfId="0" applyNumberFormat="1" applyFont="1" applyFill="1" applyBorder="1" applyAlignment="1">
      <alignment horizontal="center" vertical="center" wrapText="1"/>
    </xf>
    <xf numFmtId="0" fontId="4" fillId="17" borderId="2" xfId="0" applyNumberFormat="1" applyFont="1" applyFill="1" applyBorder="1" applyAlignment="1">
      <alignment horizontal="center" vertical="center" wrapText="1"/>
    </xf>
    <xf numFmtId="0" fontId="4" fillId="17" borderId="8" xfId="0" applyNumberFormat="1" applyFont="1" applyFill="1" applyBorder="1" applyAlignment="1">
      <alignment horizontal="center" vertical="center" wrapText="1"/>
    </xf>
    <xf numFmtId="0" fontId="4" fillId="18" borderId="48" xfId="0" applyNumberFormat="1" applyFont="1" applyFill="1" applyBorder="1" applyAlignment="1">
      <alignment vertical="center" wrapText="1"/>
    </xf>
    <xf numFmtId="0" fontId="6" fillId="17" borderId="4" xfId="0" applyFont="1" applyFill="1" applyBorder="1" applyAlignment="1">
      <alignment horizontal="left" vertical="center" wrapText="1"/>
    </xf>
    <xf numFmtId="0" fontId="6" fillId="17" borderId="1" xfId="0" applyFont="1" applyFill="1" applyBorder="1" applyAlignment="1">
      <alignment horizontal="center" vertical="center" wrapText="1"/>
    </xf>
    <xf numFmtId="164" fontId="6" fillId="17" borderId="1" xfId="0" applyNumberFormat="1" applyFont="1" applyFill="1" applyBorder="1" applyAlignment="1">
      <alignment horizontal="center" vertical="center" wrapText="1"/>
    </xf>
    <xf numFmtId="0" fontId="6" fillId="17" borderId="1" xfId="0" applyNumberFormat="1" applyFont="1" applyFill="1" applyBorder="1" applyAlignment="1">
      <alignment horizontal="center" vertical="center" wrapText="1"/>
    </xf>
    <xf numFmtId="0" fontId="6" fillId="17" borderId="3" xfId="0" applyNumberFormat="1" applyFont="1" applyFill="1" applyBorder="1" applyAlignment="1">
      <alignment horizontal="center" vertical="center" wrapText="1"/>
    </xf>
    <xf numFmtId="0" fontId="4" fillId="17" borderId="1" xfId="0" applyNumberFormat="1" applyFont="1" applyFill="1" applyBorder="1" applyAlignment="1">
      <alignment horizontal="center" vertical="center" wrapText="1"/>
    </xf>
    <xf numFmtId="0" fontId="4" fillId="17" borderId="3" xfId="0" applyNumberFormat="1" applyFont="1" applyFill="1" applyBorder="1" applyAlignment="1">
      <alignment horizontal="center" vertical="center" wrapText="1"/>
    </xf>
    <xf numFmtId="0" fontId="5" fillId="17" borderId="4" xfId="0" applyFont="1" applyFill="1" applyBorder="1" applyAlignment="1">
      <alignment horizontal="left" vertical="center" wrapText="1"/>
    </xf>
    <xf numFmtId="0" fontId="5" fillId="17" borderId="1" xfId="0" applyFont="1" applyFill="1" applyBorder="1" applyAlignment="1">
      <alignment horizontal="center" vertical="center" wrapText="1"/>
    </xf>
    <xf numFmtId="164" fontId="5" fillId="17" borderId="1" xfId="0" applyNumberFormat="1" applyFont="1" applyFill="1" applyBorder="1" applyAlignment="1">
      <alignment horizontal="center" vertical="center" wrapText="1"/>
    </xf>
    <xf numFmtId="0" fontId="5" fillId="17" borderId="1" xfId="0" applyNumberFormat="1" applyFont="1" applyFill="1" applyBorder="1" applyAlignment="1">
      <alignment horizontal="center" vertical="center" wrapText="1"/>
    </xf>
    <xf numFmtId="0" fontId="5" fillId="17" borderId="3" xfId="0" applyNumberFormat="1" applyFont="1" applyFill="1" applyBorder="1" applyAlignment="1">
      <alignment horizontal="center" vertical="center" wrapText="1"/>
    </xf>
    <xf numFmtId="0" fontId="6" fillId="17" borderId="2" xfId="0" applyNumberFormat="1" applyFont="1" applyFill="1" applyBorder="1" applyAlignment="1">
      <alignment horizontal="center" vertical="center" wrapText="1"/>
    </xf>
    <xf numFmtId="0" fontId="6" fillId="17" borderId="8" xfId="0" applyNumberFormat="1" applyFont="1" applyFill="1" applyBorder="1" applyAlignment="1">
      <alignment horizontal="center" vertical="center" wrapText="1"/>
    </xf>
    <xf numFmtId="164" fontId="3" fillId="17" borderId="32" xfId="0" applyNumberFormat="1" applyFont="1" applyFill="1" applyBorder="1" applyAlignment="1">
      <alignment horizontal="center" vertical="center" wrapText="1"/>
    </xf>
    <xf numFmtId="170" fontId="3" fillId="18" borderId="46" xfId="0" applyNumberFormat="1" applyFont="1" applyFill="1" applyBorder="1" applyAlignment="1">
      <alignment vertical="center" wrapText="1"/>
    </xf>
    <xf numFmtId="0" fontId="3" fillId="17" borderId="15" xfId="0" applyNumberFormat="1" applyFont="1" applyFill="1" applyBorder="1" applyAlignment="1">
      <alignment horizontal="center" vertical="center" wrapText="1"/>
    </xf>
    <xf numFmtId="164" fontId="3" fillId="17" borderId="27" xfId="0" applyNumberFormat="1" applyFont="1" applyFill="1" applyBorder="1" applyAlignment="1">
      <alignment horizontal="center" vertical="center" wrapText="1"/>
    </xf>
    <xf numFmtId="164" fontId="3" fillId="17" borderId="47" xfId="0" applyNumberFormat="1" applyFont="1" applyFill="1" applyBorder="1" applyAlignment="1">
      <alignment horizontal="center" vertical="center" wrapText="1"/>
    </xf>
    <xf numFmtId="0" fontId="6" fillId="15" borderId="6" xfId="0" applyFont="1" applyFill="1" applyBorder="1" applyAlignment="1">
      <alignment horizontal="left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4" fillId="15" borderId="5" xfId="0" applyNumberFormat="1" applyFont="1" applyFill="1" applyBorder="1" applyAlignment="1">
      <alignment horizontal="center" vertical="center" wrapText="1"/>
    </xf>
    <xf numFmtId="0" fontId="4" fillId="15" borderId="9" xfId="0" applyNumberFormat="1" applyFont="1" applyFill="1" applyBorder="1" applyAlignment="1">
      <alignment horizontal="center" vertical="center" wrapText="1"/>
    </xf>
    <xf numFmtId="0" fontId="6" fillId="15" borderId="9" xfId="0" applyNumberFormat="1" applyFont="1" applyFill="1" applyBorder="1" applyAlignment="1">
      <alignment horizontal="center" vertical="center" wrapText="1"/>
    </xf>
    <xf numFmtId="164" fontId="5" fillId="15" borderId="37" xfId="0" applyNumberFormat="1" applyFont="1" applyFill="1" applyBorder="1" applyAlignment="1">
      <alignment horizontal="center" vertical="center" wrapText="1"/>
    </xf>
    <xf numFmtId="0" fontId="4" fillId="15" borderId="48" xfId="0" applyNumberFormat="1" applyFont="1" applyFill="1" applyBorder="1" applyAlignment="1">
      <alignment vertical="center" wrapText="1"/>
    </xf>
    <xf numFmtId="0" fontId="6" fillId="15" borderId="7" xfId="0" applyFont="1" applyFill="1" applyBorder="1" applyAlignment="1">
      <alignment horizontal="left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4" fillId="15" borderId="2" xfId="0" applyNumberFormat="1" applyFont="1" applyFill="1" applyBorder="1" applyAlignment="1">
      <alignment horizontal="center" vertical="center" wrapText="1"/>
    </xf>
    <xf numFmtId="0" fontId="4" fillId="15" borderId="8" xfId="0" applyNumberFormat="1" applyFont="1" applyFill="1" applyBorder="1" applyAlignment="1">
      <alignment horizontal="center" vertical="center" wrapText="1"/>
    </xf>
    <xf numFmtId="0" fontId="4" fillId="15" borderId="3" xfId="0" applyNumberFormat="1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left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4" fillId="15" borderId="1" xfId="0" applyNumberFormat="1" applyFont="1" applyFill="1" applyBorder="1" applyAlignment="1">
      <alignment horizontal="center" vertical="center" wrapText="1"/>
    </xf>
    <xf numFmtId="0" fontId="6" fillId="15" borderId="31" xfId="0" applyFont="1" applyFill="1" applyBorder="1" applyAlignment="1">
      <alignment horizontal="left" vertical="center" wrapText="1"/>
    </xf>
    <xf numFmtId="0" fontId="6" fillId="15" borderId="10" xfId="0" applyFont="1" applyFill="1" applyBorder="1" applyAlignment="1">
      <alignment horizontal="center" vertical="center" wrapText="1"/>
    </xf>
    <xf numFmtId="0" fontId="4" fillId="15" borderId="10" xfId="0" applyNumberFormat="1" applyFont="1" applyFill="1" applyBorder="1" applyAlignment="1">
      <alignment horizontal="center" vertical="center" wrapText="1"/>
    </xf>
    <xf numFmtId="0" fontId="4" fillId="15" borderId="17" xfId="0" applyNumberFormat="1" applyFont="1" applyFill="1" applyBorder="1" applyAlignment="1">
      <alignment horizontal="center" vertical="center" wrapText="1"/>
    </xf>
    <xf numFmtId="164" fontId="3" fillId="15" borderId="32" xfId="0" applyNumberFormat="1" applyFont="1" applyFill="1" applyBorder="1" applyAlignment="1">
      <alignment horizontal="center" vertical="center" wrapText="1"/>
    </xf>
    <xf numFmtId="170" fontId="3" fillId="15" borderId="46" xfId="0" applyNumberFormat="1" applyFont="1" applyFill="1" applyBorder="1" applyAlignment="1">
      <alignment vertical="center" wrapText="1"/>
    </xf>
    <xf numFmtId="0" fontId="3" fillId="15" borderId="15" xfId="0" applyNumberFormat="1" applyFont="1" applyFill="1" applyBorder="1" applyAlignment="1">
      <alignment horizontal="center" vertical="center" wrapText="1"/>
    </xf>
    <xf numFmtId="164" fontId="6" fillId="15" borderId="5" xfId="0" applyNumberFormat="1" applyFont="1" applyFill="1" applyBorder="1" applyAlignment="1">
      <alignment horizontal="center" vertical="center" wrapText="1"/>
    </xf>
    <xf numFmtId="164" fontId="6" fillId="15" borderId="1" xfId="0" applyNumberFormat="1" applyFont="1" applyFill="1" applyBorder="1" applyAlignment="1">
      <alignment horizontal="center" vertical="center" wrapText="1"/>
    </xf>
    <xf numFmtId="164" fontId="6" fillId="15" borderId="2" xfId="0" applyNumberFormat="1" applyFont="1" applyFill="1" applyBorder="1" applyAlignment="1">
      <alignment horizontal="center" vertical="center" wrapText="1"/>
    </xf>
    <xf numFmtId="164" fontId="6" fillId="15" borderId="10" xfId="0" applyNumberFormat="1" applyFont="1" applyFill="1" applyBorder="1" applyAlignment="1">
      <alignment horizontal="center" vertical="center" wrapText="1"/>
    </xf>
    <xf numFmtId="0" fontId="5" fillId="15" borderId="31" xfId="0" applyFont="1" applyFill="1" applyBorder="1" applyAlignment="1">
      <alignment horizontal="left" vertical="center" wrapText="1"/>
    </xf>
    <xf numFmtId="0" fontId="5" fillId="15" borderId="10" xfId="0" applyFont="1" applyFill="1" applyBorder="1" applyAlignment="1">
      <alignment horizontal="center" vertical="center" wrapText="1"/>
    </xf>
    <xf numFmtId="164" fontId="5" fillId="15" borderId="10" xfId="0" applyNumberFormat="1" applyFont="1" applyFill="1" applyBorder="1" applyAlignment="1">
      <alignment horizontal="center" vertical="center" wrapText="1"/>
    </xf>
    <xf numFmtId="0" fontId="5" fillId="15" borderId="10" xfId="0" applyNumberFormat="1" applyFont="1" applyFill="1" applyBorder="1" applyAlignment="1">
      <alignment horizontal="center" vertical="center" wrapText="1"/>
    </xf>
    <xf numFmtId="0" fontId="5" fillId="15" borderId="17" xfId="0" applyNumberFormat="1" applyFont="1" applyFill="1" applyBorder="1" applyAlignment="1">
      <alignment horizontal="center" vertical="center" wrapText="1"/>
    </xf>
    <xf numFmtId="164" fontId="3" fillId="15" borderId="27" xfId="0" applyNumberFormat="1" applyFont="1" applyFill="1" applyBorder="1" applyAlignment="1">
      <alignment horizontal="center" vertical="center" wrapText="1"/>
    </xf>
    <xf numFmtId="164" fontId="3" fillId="15" borderId="48" xfId="0" applyNumberFormat="1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1" fillId="7" borderId="50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2" fillId="6" borderId="13" xfId="0" applyNumberFormat="1" applyFont="1" applyFill="1" applyBorder="1" applyAlignment="1">
      <alignment horizontal="left" vertical="center" wrapText="1"/>
    </xf>
    <xf numFmtId="0" fontId="12" fillId="6" borderId="0" xfId="0" applyNumberFormat="1" applyFont="1" applyFill="1" applyBorder="1" applyAlignment="1">
      <alignment horizontal="left" vertical="center" wrapText="1"/>
    </xf>
    <xf numFmtId="0" fontId="3" fillId="6" borderId="13" xfId="0" applyNumberFormat="1" applyFont="1" applyFill="1" applyBorder="1" applyAlignment="1">
      <alignment horizontal="left" vertical="center" wrapText="1"/>
    </xf>
    <xf numFmtId="0" fontId="3" fillId="6" borderId="0" xfId="0" applyNumberFormat="1" applyFont="1" applyFill="1" applyBorder="1" applyAlignment="1">
      <alignment horizontal="left" vertical="center" wrapText="1"/>
    </xf>
    <xf numFmtId="170" fontId="15" fillId="12" borderId="39" xfId="0" applyNumberFormat="1" applyFont="1" applyFill="1" applyBorder="1" applyAlignment="1">
      <alignment horizontal="center" vertical="center" wrapText="1"/>
    </xf>
    <xf numFmtId="170" fontId="15" fillId="12" borderId="13" xfId="0" applyNumberFormat="1" applyFont="1" applyFill="1" applyBorder="1" applyAlignment="1">
      <alignment horizontal="center" vertical="center" wrapText="1"/>
    </xf>
    <xf numFmtId="0" fontId="14" fillId="12" borderId="13" xfId="0" applyNumberFormat="1" applyFont="1" applyFill="1" applyBorder="1" applyAlignment="1">
      <alignment horizontal="center" vertical="center" wrapText="1"/>
    </xf>
    <xf numFmtId="0" fontId="14" fillId="12" borderId="0" xfId="0" applyNumberFormat="1" applyFont="1" applyFill="1" applyBorder="1" applyAlignment="1">
      <alignment horizontal="center" vertical="center" wrapText="1"/>
    </xf>
    <xf numFmtId="0" fontId="14" fillId="12" borderId="49" xfId="0" applyNumberFormat="1" applyFont="1" applyFill="1" applyBorder="1" applyAlignment="1">
      <alignment horizontal="center" vertical="center" wrapText="1"/>
    </xf>
    <xf numFmtId="170" fontId="15" fillId="15" borderId="33" xfId="0" applyNumberFormat="1" applyFont="1" applyFill="1" applyBorder="1" applyAlignment="1">
      <alignment horizontal="center" vertical="center" wrapText="1"/>
    </xf>
    <xf numFmtId="170" fontId="15" fillId="15" borderId="28" xfId="0" applyNumberFormat="1" applyFont="1" applyFill="1" applyBorder="1" applyAlignment="1">
      <alignment horizontal="center" vertical="center" wrapText="1"/>
    </xf>
    <xf numFmtId="170" fontId="15" fillId="12" borderId="41" xfId="0" applyNumberFormat="1" applyFont="1" applyFill="1" applyBorder="1" applyAlignment="1">
      <alignment horizontal="center" vertical="center" wrapText="1"/>
    </xf>
    <xf numFmtId="170" fontId="15" fillId="17" borderId="28" xfId="0" applyNumberFormat="1" applyFont="1" applyFill="1" applyBorder="1" applyAlignment="1">
      <alignment horizontal="center" vertical="center" wrapText="1"/>
    </xf>
    <xf numFmtId="170" fontId="15" fillId="17" borderId="34" xfId="0" applyNumberFormat="1" applyFont="1" applyFill="1" applyBorder="1" applyAlignment="1">
      <alignment horizontal="center" vertical="center" wrapText="1"/>
    </xf>
    <xf numFmtId="0" fontId="12" fillId="4" borderId="12" xfId="0" applyNumberFormat="1" applyFont="1" applyFill="1" applyBorder="1" applyAlignment="1">
      <alignment horizontal="center" vertical="center" wrapText="1"/>
    </xf>
    <xf numFmtId="0" fontId="12" fillId="4" borderId="26" xfId="0" applyNumberFormat="1" applyFont="1" applyFill="1" applyBorder="1" applyAlignment="1">
      <alignment horizontal="center" vertical="center" wrapText="1"/>
    </xf>
    <xf numFmtId="0" fontId="3" fillId="17" borderId="12" xfId="0" applyNumberFormat="1" applyFont="1" applyFill="1" applyBorder="1" applyAlignment="1">
      <alignment horizontal="center" vertical="center" wrapText="1"/>
    </xf>
    <xf numFmtId="0" fontId="3" fillId="17" borderId="26" xfId="0" applyNumberFormat="1" applyFont="1" applyFill="1" applyBorder="1" applyAlignment="1">
      <alignment horizontal="center" vertical="center" wrapText="1"/>
    </xf>
    <xf numFmtId="0" fontId="7" fillId="5" borderId="29" xfId="0" applyNumberFormat="1" applyFont="1" applyFill="1" applyBorder="1" applyAlignment="1">
      <alignment horizontal="center" vertical="center" wrapText="1"/>
    </xf>
    <xf numFmtId="0" fontId="7" fillId="5" borderId="30" xfId="0" applyNumberFormat="1" applyFont="1" applyFill="1" applyBorder="1" applyAlignment="1">
      <alignment horizontal="center" vertical="center" wrapText="1"/>
    </xf>
    <xf numFmtId="0" fontId="7" fillId="5" borderId="14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3" fillId="12" borderId="26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4" xfId="0" applyNumberFormat="1" applyFont="1" applyFill="1" applyBorder="1" applyAlignment="1">
      <alignment horizontal="center" vertical="center" wrapText="1"/>
    </xf>
    <xf numFmtId="0" fontId="14" fillId="17" borderId="13" xfId="0" applyNumberFormat="1" applyFont="1" applyFill="1" applyBorder="1" applyAlignment="1">
      <alignment horizontal="center" vertical="center" wrapText="1"/>
    </xf>
    <xf numFmtId="0" fontId="14" fillId="17" borderId="0" xfId="0" applyNumberFormat="1" applyFont="1" applyFill="1" applyBorder="1" applyAlignment="1">
      <alignment horizontal="center" vertical="center" wrapText="1"/>
    </xf>
    <xf numFmtId="0" fontId="14" fillId="17" borderId="49" xfId="0" applyNumberFormat="1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4" fillId="15" borderId="13" xfId="0" applyNumberFormat="1" applyFont="1" applyFill="1" applyBorder="1" applyAlignment="1">
      <alignment horizontal="center" vertical="center" wrapText="1"/>
    </xf>
    <xf numFmtId="0" fontId="14" fillId="15" borderId="0" xfId="0" applyNumberFormat="1" applyFont="1" applyFill="1" applyBorder="1" applyAlignment="1">
      <alignment horizontal="center" vertical="center" wrapText="1"/>
    </xf>
    <xf numFmtId="0" fontId="14" fillId="15" borderId="49" xfId="0" applyNumberFormat="1" applyFont="1" applyFill="1" applyBorder="1" applyAlignment="1">
      <alignment horizontal="center" vertical="center" wrapText="1"/>
    </xf>
    <xf numFmtId="0" fontId="14" fillId="6" borderId="13" xfId="0" applyNumberFormat="1" applyFont="1" applyFill="1" applyBorder="1" applyAlignment="1">
      <alignment horizontal="center" vertical="center" wrapText="1"/>
    </xf>
    <xf numFmtId="0" fontId="14" fillId="6" borderId="0" xfId="0" applyNumberFormat="1" applyFont="1" applyFill="1" applyBorder="1" applyAlignment="1">
      <alignment horizontal="center" vertical="center" wrapText="1"/>
    </xf>
    <xf numFmtId="0" fontId="14" fillId="6" borderId="49" xfId="0" applyNumberFormat="1" applyFont="1" applyFill="1" applyBorder="1" applyAlignment="1">
      <alignment horizontal="center" vertical="center" wrapText="1"/>
    </xf>
    <xf numFmtId="0" fontId="3" fillId="6" borderId="12" xfId="0" applyNumberFormat="1" applyFont="1" applyFill="1" applyBorder="1" applyAlignment="1">
      <alignment horizontal="center" vertical="center" wrapText="1"/>
    </xf>
    <xf numFmtId="0" fontId="3" fillId="6" borderId="26" xfId="0" applyNumberFormat="1" applyFont="1" applyFill="1" applyBorder="1" applyAlignment="1">
      <alignment horizontal="center" vertical="center" wrapText="1"/>
    </xf>
    <xf numFmtId="0" fontId="14" fillId="17" borderId="39" xfId="0" applyNumberFormat="1" applyFont="1" applyFill="1" applyBorder="1" applyAlignment="1">
      <alignment horizontal="center" vertical="center" wrapText="1"/>
    </xf>
    <xf numFmtId="0" fontId="14" fillId="17" borderId="38" xfId="0" applyNumberFormat="1" applyFont="1" applyFill="1" applyBorder="1" applyAlignment="1">
      <alignment horizontal="center" vertical="center" wrapText="1"/>
    </xf>
    <xf numFmtId="0" fontId="14" fillId="17" borderId="40" xfId="0" applyNumberFormat="1" applyFont="1" applyFill="1" applyBorder="1" applyAlignment="1">
      <alignment horizontal="center" vertical="center" wrapText="1"/>
    </xf>
    <xf numFmtId="0" fontId="3" fillId="15" borderId="12" xfId="0" applyNumberFormat="1" applyFont="1" applyFill="1" applyBorder="1" applyAlignment="1">
      <alignment horizontal="center" vertical="center" wrapText="1"/>
    </xf>
    <xf numFmtId="0" fontId="3" fillId="15" borderId="26" xfId="0" applyNumberFormat="1" applyFont="1" applyFill="1" applyBorder="1" applyAlignment="1">
      <alignment horizontal="center" vertical="center" wrapText="1"/>
    </xf>
    <xf numFmtId="0" fontId="4" fillId="4" borderId="12" xfId="0" applyNumberFormat="1" applyFont="1" applyFill="1" applyBorder="1" applyAlignment="1">
      <alignment horizontal="center" vertical="center" wrapText="1"/>
    </xf>
    <xf numFmtId="0" fontId="4" fillId="4" borderId="26" xfId="0" applyNumberFormat="1" applyFont="1" applyFill="1" applyBorder="1" applyAlignment="1">
      <alignment horizontal="center" vertical="center" wrapText="1"/>
    </xf>
    <xf numFmtId="0" fontId="15" fillId="12" borderId="13" xfId="0" applyNumberFormat="1" applyFont="1" applyFill="1" applyBorder="1" applyAlignment="1">
      <alignment horizontal="center" vertical="center" wrapText="1"/>
    </xf>
    <xf numFmtId="0" fontId="15" fillId="12" borderId="0" xfId="0" applyNumberFormat="1" applyFont="1" applyFill="1" applyBorder="1" applyAlignment="1">
      <alignment horizontal="center" vertical="center" wrapText="1"/>
    </xf>
    <xf numFmtId="0" fontId="15" fillId="12" borderId="49" xfId="0" applyNumberFormat="1" applyFont="1" applyFill="1" applyBorder="1" applyAlignment="1">
      <alignment horizontal="center" vertical="center" wrapText="1"/>
    </xf>
    <xf numFmtId="0" fontId="3" fillId="17" borderId="39" xfId="0" applyFont="1" applyFill="1" applyBorder="1" applyAlignment="1">
      <alignment horizontal="center" vertical="center" wrapText="1"/>
    </xf>
    <xf numFmtId="0" fontId="3" fillId="17" borderId="38" xfId="0" applyFont="1" applyFill="1" applyBorder="1" applyAlignment="1">
      <alignment horizontal="center" vertical="center" wrapText="1"/>
    </xf>
    <xf numFmtId="0" fontId="3" fillId="17" borderId="46" xfId="0" applyFont="1" applyFill="1" applyBorder="1" applyAlignment="1">
      <alignment horizontal="center" vertical="center" wrapText="1"/>
    </xf>
    <xf numFmtId="0" fontId="3" fillId="17" borderId="24" xfId="0" applyNumberFormat="1" applyFont="1" applyFill="1" applyBorder="1" applyAlignment="1">
      <alignment horizontal="center" vertical="center" wrapText="1"/>
    </xf>
    <xf numFmtId="0" fontId="3" fillId="16" borderId="16" xfId="0" applyNumberFormat="1" applyFont="1" applyFill="1" applyBorder="1" applyAlignment="1">
      <alignment horizontal="center" vertical="center" wrapText="1"/>
    </xf>
    <xf numFmtId="0" fontId="3" fillId="16" borderId="51" xfId="0" applyNumberFormat="1" applyFont="1" applyFill="1" applyBorder="1" applyAlignment="1">
      <alignment horizontal="center" vertical="center" wrapText="1"/>
    </xf>
    <xf numFmtId="0" fontId="13" fillId="14" borderId="39" xfId="0" applyNumberFormat="1" applyFont="1" applyFill="1" applyBorder="1" applyAlignment="1">
      <alignment horizontal="center" vertical="center" wrapText="1"/>
    </xf>
    <xf numFmtId="0" fontId="13" fillId="14" borderId="38" xfId="0" applyNumberFormat="1" applyFont="1" applyFill="1" applyBorder="1" applyAlignment="1">
      <alignment horizontal="center" vertical="center" wrapText="1"/>
    </xf>
    <xf numFmtId="0" fontId="13" fillId="14" borderId="40" xfId="0" applyNumberFormat="1" applyFont="1" applyFill="1" applyBorder="1" applyAlignment="1">
      <alignment horizontal="center" vertical="center" wrapText="1"/>
    </xf>
    <xf numFmtId="0" fontId="14" fillId="17" borderId="41" xfId="0" applyNumberFormat="1" applyFont="1" applyFill="1" applyBorder="1" applyAlignment="1">
      <alignment horizontal="center" vertical="center" wrapText="1"/>
    </xf>
    <xf numFmtId="0" fontId="14" fillId="17" borderId="35" xfId="0" applyNumberFormat="1" applyFont="1" applyFill="1" applyBorder="1" applyAlignment="1">
      <alignment horizontal="center" vertical="center" wrapText="1"/>
    </xf>
    <xf numFmtId="0" fontId="14" fillId="17" borderId="42" xfId="0" applyNumberFormat="1" applyFont="1" applyFill="1" applyBorder="1" applyAlignment="1">
      <alignment horizontal="center" vertical="center" wrapText="1"/>
    </xf>
    <xf numFmtId="0" fontId="14" fillId="6" borderId="34" xfId="0" applyNumberFormat="1" applyFont="1" applyFill="1" applyBorder="1" applyAlignment="1">
      <alignment horizontal="center" vertical="center" wrapText="1"/>
    </xf>
    <xf numFmtId="0" fontId="14" fillId="6" borderId="16" xfId="0" applyNumberFormat="1" applyFont="1" applyFill="1" applyBorder="1" applyAlignment="1">
      <alignment horizontal="center" vertical="center" wrapText="1"/>
    </xf>
    <xf numFmtId="0" fontId="14" fillId="6" borderId="51" xfId="0" applyNumberFormat="1" applyFont="1" applyFill="1" applyBorder="1" applyAlignment="1">
      <alignment horizontal="center" vertical="center" wrapText="1"/>
    </xf>
    <xf numFmtId="0" fontId="14" fillId="15" borderId="39" xfId="0" applyNumberFormat="1" applyFont="1" applyFill="1" applyBorder="1" applyAlignment="1">
      <alignment horizontal="center" vertical="center" wrapText="1"/>
    </xf>
    <xf numFmtId="0" fontId="14" fillId="15" borderId="38" xfId="0" applyNumberFormat="1" applyFont="1" applyFill="1" applyBorder="1" applyAlignment="1">
      <alignment horizontal="center" vertical="center" wrapText="1"/>
    </xf>
    <xf numFmtId="0" fontId="14" fillId="15" borderId="40" xfId="0" applyNumberFormat="1" applyFont="1" applyFill="1" applyBorder="1" applyAlignment="1">
      <alignment horizontal="center" vertical="center" wrapText="1"/>
    </xf>
    <xf numFmtId="0" fontId="14" fillId="15" borderId="41" xfId="0" applyNumberFormat="1" applyFont="1" applyFill="1" applyBorder="1" applyAlignment="1">
      <alignment horizontal="center" vertical="center" wrapText="1"/>
    </xf>
    <xf numFmtId="0" fontId="14" fillId="15" borderId="35" xfId="0" applyNumberFormat="1" applyFont="1" applyFill="1" applyBorder="1" applyAlignment="1">
      <alignment horizontal="center" vertical="center" wrapText="1"/>
    </xf>
    <xf numFmtId="0" fontId="14" fillId="15" borderId="42" xfId="0" applyNumberFormat="1" applyFont="1" applyFill="1" applyBorder="1" applyAlignment="1">
      <alignment horizontal="center" vertical="center" wrapText="1"/>
    </xf>
    <xf numFmtId="0" fontId="7" fillId="14" borderId="12" xfId="0" applyNumberFormat="1" applyFont="1" applyFill="1" applyBorder="1" applyAlignment="1">
      <alignment horizontal="center" vertical="center" wrapText="1"/>
    </xf>
    <xf numFmtId="0" fontId="7" fillId="14" borderId="26" xfId="0" applyNumberFormat="1" applyFont="1" applyFill="1" applyBorder="1" applyAlignment="1">
      <alignment horizontal="center" vertical="center" wrapText="1"/>
    </xf>
    <xf numFmtId="0" fontId="3" fillId="15" borderId="39" xfId="0" applyFont="1" applyFill="1" applyBorder="1" applyAlignment="1">
      <alignment horizontal="center" vertical="center" wrapText="1"/>
    </xf>
    <xf numFmtId="0" fontId="3" fillId="15" borderId="38" xfId="0" applyFont="1" applyFill="1" applyBorder="1" applyAlignment="1">
      <alignment horizontal="center" vertical="center" wrapText="1"/>
    </xf>
    <xf numFmtId="0" fontId="3" fillId="15" borderId="46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46" xfId="0" applyFont="1" applyFill="1" applyBorder="1" applyAlignment="1">
      <alignment horizontal="center" vertical="center" wrapText="1"/>
    </xf>
    <xf numFmtId="0" fontId="3" fillId="12" borderId="24" xfId="0" applyNumberFormat="1" applyFont="1" applyFill="1" applyBorder="1" applyAlignment="1">
      <alignment horizontal="center" vertical="center" wrapText="1"/>
    </xf>
    <xf numFmtId="170" fontId="15" fillId="12" borderId="33" xfId="0" applyNumberFormat="1" applyFont="1" applyFill="1" applyBorder="1" applyAlignment="1">
      <alignment horizontal="center" vertical="center" wrapText="1"/>
    </xf>
    <xf numFmtId="170" fontId="15" fillId="12" borderId="28" xfId="0" applyNumberFormat="1" applyFont="1" applyFill="1" applyBorder="1" applyAlignment="1">
      <alignment horizontal="center" vertical="center" wrapText="1"/>
    </xf>
    <xf numFmtId="170" fontId="15" fillId="12" borderId="34" xfId="0" applyNumberFormat="1" applyFont="1" applyFill="1" applyBorder="1" applyAlignment="1">
      <alignment horizontal="center" vertical="center" wrapText="1"/>
    </xf>
    <xf numFmtId="0" fontId="3" fillId="6" borderId="32" xfId="0" applyNumberFormat="1" applyFont="1" applyFill="1" applyBorder="1" applyAlignment="1">
      <alignment horizontal="center" vertical="center" wrapText="1"/>
    </xf>
    <xf numFmtId="0" fontId="4" fillId="4" borderId="24" xfId="0" applyNumberFormat="1" applyFont="1" applyFill="1" applyBorder="1" applyAlignment="1">
      <alignment horizontal="center" vertical="center" wrapText="1"/>
    </xf>
    <xf numFmtId="0" fontId="3" fillId="6" borderId="33" xfId="0" applyNumberFormat="1" applyFont="1" applyFill="1" applyBorder="1" applyAlignment="1">
      <alignment horizontal="center" vertical="center" wrapText="1"/>
    </xf>
    <xf numFmtId="0" fontId="3" fillId="15" borderId="33" xfId="0" applyNumberFormat="1" applyFont="1" applyFill="1" applyBorder="1" applyAlignment="1">
      <alignment horizontal="center" vertical="center" wrapText="1"/>
    </xf>
    <xf numFmtId="0" fontId="3" fillId="15" borderId="32" xfId="0" applyNumberFormat="1" applyFont="1" applyFill="1" applyBorder="1" applyAlignment="1">
      <alignment horizontal="center" vertical="center" wrapText="1"/>
    </xf>
    <xf numFmtId="0" fontId="3" fillId="14" borderId="24" xfId="0" applyNumberFormat="1" applyFont="1" applyFill="1" applyBorder="1" applyAlignment="1">
      <alignment horizontal="center" vertical="center" wrapText="1"/>
    </xf>
    <xf numFmtId="0" fontId="3" fillId="14" borderId="12" xfId="0" applyNumberFormat="1" applyFont="1" applyFill="1" applyBorder="1" applyAlignment="1">
      <alignment horizontal="center" vertical="center" wrapText="1"/>
    </xf>
    <xf numFmtId="0" fontId="14" fillId="10" borderId="13" xfId="0" applyNumberFormat="1" applyFont="1" applyFill="1" applyBorder="1" applyAlignment="1">
      <alignment horizontal="center" vertical="center" wrapText="1"/>
    </xf>
    <xf numFmtId="0" fontId="14" fillId="10" borderId="0" xfId="0" applyNumberFormat="1" applyFont="1" applyFill="1" applyBorder="1" applyAlignment="1">
      <alignment horizontal="center" vertical="center" wrapText="1"/>
    </xf>
    <xf numFmtId="0" fontId="14" fillId="10" borderId="49" xfId="0" applyNumberFormat="1" applyFont="1" applyFill="1" applyBorder="1" applyAlignment="1">
      <alignment horizontal="center" vertical="center" wrapText="1"/>
    </xf>
    <xf numFmtId="0" fontId="4" fillId="4" borderId="34" xfId="0" applyNumberFormat="1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>
      <alignment horizontal="center" vertical="center" wrapText="1"/>
    </xf>
    <xf numFmtId="0" fontId="4" fillId="5" borderId="20" xfId="0" applyNumberFormat="1" applyFont="1" applyFill="1" applyBorder="1" applyAlignment="1">
      <alignment horizontal="center" vertical="center" wrapText="1"/>
    </xf>
    <xf numFmtId="0" fontId="4" fillId="5" borderId="43" xfId="0" applyNumberFormat="1" applyFont="1" applyFill="1" applyBorder="1" applyAlignment="1">
      <alignment horizontal="center" vertical="center" wrapText="1"/>
    </xf>
    <xf numFmtId="0" fontId="4" fillId="5" borderId="50" xfId="0" applyNumberFormat="1" applyFont="1" applyFill="1" applyBorder="1" applyAlignment="1">
      <alignment horizontal="center" vertical="center" wrapText="1"/>
    </xf>
    <xf numFmtId="0" fontId="7" fillId="14" borderId="33" xfId="0" applyNumberFormat="1" applyFont="1" applyFill="1" applyBorder="1" applyAlignment="1">
      <alignment horizontal="center" vertical="center" wrapText="1"/>
    </xf>
    <xf numFmtId="0" fontId="7" fillId="14" borderId="32" xfId="0" applyNumberFormat="1" applyFont="1" applyFill="1" applyBorder="1" applyAlignment="1">
      <alignment horizontal="center" vertical="center" wrapText="1"/>
    </xf>
    <xf numFmtId="170" fontId="15" fillId="6" borderId="28" xfId="0" applyNumberFormat="1" applyFont="1" applyFill="1" applyBorder="1" applyAlignment="1">
      <alignment horizontal="center" vertical="center" wrapText="1"/>
    </xf>
    <xf numFmtId="169" fontId="15" fillId="15" borderId="33" xfId="0" applyNumberFormat="1" applyFont="1" applyFill="1" applyBorder="1" applyAlignment="1">
      <alignment horizontal="center" vertical="center" wrapText="1"/>
    </xf>
    <xf numFmtId="169" fontId="15" fillId="15" borderId="28" xfId="0" applyNumberFormat="1" applyFont="1" applyFill="1" applyBorder="1" applyAlignment="1">
      <alignment horizontal="center" vertical="center" wrapText="1"/>
    </xf>
    <xf numFmtId="169" fontId="15" fillId="15" borderId="34" xfId="0" applyNumberFormat="1" applyFont="1" applyFill="1" applyBorder="1" applyAlignment="1">
      <alignment horizontal="center" vertical="center" wrapText="1"/>
    </xf>
    <xf numFmtId="0" fontId="3" fillId="14" borderId="29" xfId="0" applyFont="1" applyFill="1" applyBorder="1" applyAlignment="1">
      <alignment horizontal="center" vertical="center" wrapText="1"/>
    </xf>
    <xf numFmtId="0" fontId="3" fillId="14" borderId="30" xfId="0" applyFont="1" applyFill="1" applyBorder="1" applyAlignment="1">
      <alignment horizontal="center" vertical="center" wrapText="1"/>
    </xf>
    <xf numFmtId="0" fontId="3" fillId="14" borderId="25" xfId="0" applyFont="1" applyFill="1" applyBorder="1" applyAlignment="1">
      <alignment horizontal="center" vertical="center" wrapText="1"/>
    </xf>
    <xf numFmtId="0" fontId="3" fillId="12" borderId="29" xfId="0" applyFont="1" applyFill="1" applyBorder="1" applyAlignment="1">
      <alignment horizontal="center" vertical="center" wrapText="1"/>
    </xf>
    <xf numFmtId="0" fontId="3" fillId="12" borderId="30" xfId="0" applyFont="1" applyFill="1" applyBorder="1" applyAlignment="1">
      <alignment horizontal="center" vertical="center" wrapText="1"/>
    </xf>
    <xf numFmtId="0" fontId="3" fillId="12" borderId="25" xfId="0" applyFont="1" applyFill="1" applyBorder="1" applyAlignment="1">
      <alignment horizontal="center" vertical="center" wrapText="1"/>
    </xf>
    <xf numFmtId="0" fontId="4" fillId="9" borderId="47" xfId="0" applyNumberFormat="1" applyFont="1" applyFill="1" applyBorder="1" applyAlignment="1">
      <alignment horizontal="center" vertical="center" wrapText="1"/>
    </xf>
    <xf numFmtId="0" fontId="4" fillId="9" borderId="48" xfId="0" applyNumberFormat="1" applyFont="1" applyFill="1" applyBorder="1" applyAlignment="1">
      <alignment horizontal="center" vertical="center" wrapText="1"/>
    </xf>
    <xf numFmtId="0" fontId="4" fillId="9" borderId="45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Border="1" applyAlignment="1">
      <alignment horizontal="center" vertical="center" wrapText="1"/>
    </xf>
    <xf numFmtId="0" fontId="2" fillId="0" borderId="3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FFCC"/>
      <color rgb="FFCCFFFF"/>
      <color rgb="FFCCC0DA"/>
      <color rgb="FFFFFFCC"/>
      <color rgb="FF009EE0"/>
      <color rgb="FF66FFCC"/>
      <color rgb="FFFF66FF"/>
      <color rgb="FF66FF99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Bordeaux/Service%20commercial/-%20COMMERCIAL/CONTACTS/Affectation%20contacts%20semaine%2043%20-%2020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Bordeaux/Service%20commercial/-%20RESA/ETAT%20DES%20RESA%202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 au 04-12"/>
      <sheetName val="07 au 13-12"/>
      <sheetName val="14 au 20-12"/>
      <sheetName val="21 au 27-12"/>
      <sheetName val="28 au 03-01"/>
      <sheetName val="04 au 10-01"/>
      <sheetName val="11 au 17-01"/>
      <sheetName val="18 au 24-01"/>
      <sheetName val="25 au 31-01"/>
      <sheetName val="01 au 07-02"/>
      <sheetName val="08 au 14-02"/>
      <sheetName val="15 au 21-02"/>
      <sheetName val="22 au 28-02"/>
      <sheetName val="29 au 06-03"/>
      <sheetName val="07 au 13-03"/>
      <sheetName val="14 au 20-03"/>
      <sheetName val="21 au 27-03"/>
      <sheetName val="28 au 03-04"/>
      <sheetName val="04 au 10-04"/>
      <sheetName val="11 au 17-04"/>
      <sheetName val="18 au 24-04"/>
      <sheetName val="25 au 30-04"/>
      <sheetName val="01 au 08-05"/>
      <sheetName val="09 au 15-05"/>
      <sheetName val="16 au 22-05"/>
      <sheetName val="23 au 29-05"/>
      <sheetName val="30-05 au 05-06"/>
      <sheetName val="06 au 12-06"/>
      <sheetName val="13 au 19-06"/>
      <sheetName val="20 au 26-06"/>
      <sheetName val="27-06 au 03-07"/>
      <sheetName val="04 au 10-07"/>
      <sheetName val="11 au 17-07"/>
      <sheetName val="18 au 24-07"/>
      <sheetName val="25 au 31-07"/>
      <sheetName val="01 au 07-08"/>
      <sheetName val="08 au 14-08"/>
      <sheetName val="15 au 21-08"/>
      <sheetName val="22 au 28-08"/>
      <sheetName val="29-08 au 04-09"/>
      <sheetName val="05 au 11-09"/>
      <sheetName val="12 au 18-09"/>
      <sheetName val="19 au 25-09"/>
      <sheetName val="26-09 au 02-10"/>
      <sheetName val="03 au 09-10"/>
      <sheetName val="10 au 16-10"/>
      <sheetName val="17 au 23-10"/>
      <sheetName val="24 au 30-10"/>
      <sheetName val="31-10 au 06-11"/>
    </sheetNames>
    <sheetDataSet>
      <sheetData sheetId="0">
        <row r="18">
          <cell r="C18">
            <v>6</v>
          </cell>
          <cell r="D18">
            <v>0</v>
          </cell>
          <cell r="E18">
            <v>0</v>
          </cell>
          <cell r="F18">
            <v>1</v>
          </cell>
          <cell r="G18">
            <v>0</v>
          </cell>
          <cell r="H18">
            <v>6</v>
          </cell>
        </row>
      </sheetData>
      <sheetData sheetId="1">
        <row r="18">
          <cell r="C18">
            <v>6</v>
          </cell>
          <cell r="D18">
            <v>1</v>
          </cell>
          <cell r="E18">
            <v>0</v>
          </cell>
          <cell r="F18">
            <v>4</v>
          </cell>
          <cell r="G18">
            <v>0</v>
          </cell>
          <cell r="H18">
            <v>7</v>
          </cell>
        </row>
      </sheetData>
      <sheetData sheetId="2">
        <row r="18">
          <cell r="C18">
            <v>3</v>
          </cell>
          <cell r="D18">
            <v>1</v>
          </cell>
          <cell r="E18">
            <v>0</v>
          </cell>
          <cell r="F18">
            <v>4</v>
          </cell>
          <cell r="G18">
            <v>0</v>
          </cell>
          <cell r="H18">
            <v>4</v>
          </cell>
        </row>
      </sheetData>
      <sheetData sheetId="3">
        <row r="18">
          <cell r="C18">
            <v>9</v>
          </cell>
          <cell r="D18">
            <v>0</v>
          </cell>
          <cell r="E18">
            <v>0</v>
          </cell>
          <cell r="F18">
            <v>0</v>
          </cell>
          <cell r="G18">
            <v>3</v>
          </cell>
          <cell r="H18">
            <v>0</v>
          </cell>
          <cell r="I18">
            <v>9</v>
          </cell>
        </row>
      </sheetData>
      <sheetData sheetId="4"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5">
        <row r="19">
          <cell r="C19">
            <v>14</v>
          </cell>
          <cell r="D19">
            <v>1</v>
          </cell>
          <cell r="E19">
            <v>0</v>
          </cell>
          <cell r="F19">
            <v>3</v>
          </cell>
          <cell r="G19">
            <v>1</v>
          </cell>
          <cell r="H19">
            <v>15</v>
          </cell>
        </row>
      </sheetData>
      <sheetData sheetId="6">
        <row r="19">
          <cell r="C19">
            <v>11</v>
          </cell>
          <cell r="D19">
            <v>1</v>
          </cell>
          <cell r="E19">
            <v>1</v>
          </cell>
          <cell r="F19">
            <v>0</v>
          </cell>
          <cell r="G19">
            <v>4</v>
          </cell>
          <cell r="H19">
            <v>0</v>
          </cell>
          <cell r="I19">
            <v>13</v>
          </cell>
        </row>
      </sheetData>
      <sheetData sheetId="7">
        <row r="19">
          <cell r="C19">
            <v>7</v>
          </cell>
          <cell r="D19">
            <v>1</v>
          </cell>
          <cell r="E19">
            <v>0</v>
          </cell>
          <cell r="F19">
            <v>5</v>
          </cell>
          <cell r="G19">
            <v>0</v>
          </cell>
          <cell r="H19">
            <v>8</v>
          </cell>
        </row>
      </sheetData>
      <sheetData sheetId="8">
        <row r="19">
          <cell r="C19">
            <v>9</v>
          </cell>
          <cell r="D19">
            <v>2</v>
          </cell>
          <cell r="E19">
            <v>0</v>
          </cell>
          <cell r="F19">
            <v>1</v>
          </cell>
          <cell r="G19">
            <v>0</v>
          </cell>
          <cell r="H19">
            <v>11</v>
          </cell>
        </row>
      </sheetData>
      <sheetData sheetId="9">
        <row r="19">
          <cell r="C19">
            <v>7</v>
          </cell>
          <cell r="D19">
            <v>3</v>
          </cell>
          <cell r="E19">
            <v>0</v>
          </cell>
          <cell r="F19">
            <v>3</v>
          </cell>
          <cell r="G19">
            <v>1</v>
          </cell>
          <cell r="H19">
            <v>10</v>
          </cell>
        </row>
      </sheetData>
      <sheetData sheetId="10">
        <row r="19">
          <cell r="C19">
            <v>13</v>
          </cell>
          <cell r="D19">
            <v>1</v>
          </cell>
          <cell r="E19">
            <v>0</v>
          </cell>
          <cell r="F19">
            <v>3</v>
          </cell>
          <cell r="G19">
            <v>0</v>
          </cell>
          <cell r="H19">
            <v>14</v>
          </cell>
        </row>
      </sheetData>
      <sheetData sheetId="11">
        <row r="19">
          <cell r="C19">
            <v>12</v>
          </cell>
          <cell r="D19">
            <v>0</v>
          </cell>
          <cell r="E19">
            <v>0</v>
          </cell>
          <cell r="F19">
            <v>5</v>
          </cell>
          <cell r="G19">
            <v>0</v>
          </cell>
          <cell r="H19">
            <v>12</v>
          </cell>
        </row>
      </sheetData>
      <sheetData sheetId="12">
        <row r="19">
          <cell r="C19">
            <v>19</v>
          </cell>
          <cell r="D19">
            <v>0</v>
          </cell>
          <cell r="E19">
            <v>3</v>
          </cell>
          <cell r="F19">
            <v>6</v>
          </cell>
          <cell r="G19">
            <v>1</v>
          </cell>
          <cell r="H19">
            <v>22</v>
          </cell>
        </row>
      </sheetData>
      <sheetData sheetId="13">
        <row r="19">
          <cell r="C19">
            <v>7</v>
          </cell>
          <cell r="D19">
            <v>2</v>
          </cell>
          <cell r="E19">
            <v>2</v>
          </cell>
          <cell r="F19">
            <v>3</v>
          </cell>
          <cell r="G19">
            <v>0</v>
          </cell>
          <cell r="H19">
            <v>11</v>
          </cell>
        </row>
      </sheetData>
      <sheetData sheetId="14">
        <row r="19">
          <cell r="C19">
            <v>9</v>
          </cell>
          <cell r="D19">
            <v>1</v>
          </cell>
          <cell r="E19">
            <v>0</v>
          </cell>
          <cell r="F19">
            <v>6</v>
          </cell>
          <cell r="G19">
            <v>0</v>
          </cell>
          <cell r="H19">
            <v>10</v>
          </cell>
        </row>
      </sheetData>
      <sheetData sheetId="15">
        <row r="19">
          <cell r="C19">
            <v>11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11</v>
          </cell>
        </row>
      </sheetData>
      <sheetData sheetId="16">
        <row r="19">
          <cell r="C19">
            <v>8</v>
          </cell>
          <cell r="D19">
            <v>3</v>
          </cell>
          <cell r="E19">
            <v>0</v>
          </cell>
          <cell r="F19">
            <v>3</v>
          </cell>
          <cell r="G19">
            <v>0</v>
          </cell>
          <cell r="H19">
            <v>11</v>
          </cell>
        </row>
      </sheetData>
      <sheetData sheetId="17">
        <row r="19">
          <cell r="C19">
            <v>15</v>
          </cell>
          <cell r="D19">
            <v>3</v>
          </cell>
          <cell r="E19">
            <v>0</v>
          </cell>
          <cell r="F19">
            <v>3</v>
          </cell>
          <cell r="G19">
            <v>0</v>
          </cell>
          <cell r="H19">
            <v>18</v>
          </cell>
        </row>
      </sheetData>
      <sheetData sheetId="18"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</sheetData>
      <sheetData sheetId="19">
        <row r="19">
          <cell r="C19">
            <v>28</v>
          </cell>
          <cell r="D19">
            <v>4</v>
          </cell>
          <cell r="E19">
            <v>0</v>
          </cell>
          <cell r="F19">
            <v>3</v>
          </cell>
          <cell r="G19">
            <v>0</v>
          </cell>
          <cell r="H19">
            <v>32</v>
          </cell>
        </row>
      </sheetData>
      <sheetData sheetId="20">
        <row r="19">
          <cell r="C19">
            <v>18</v>
          </cell>
          <cell r="D19">
            <v>4</v>
          </cell>
          <cell r="E19">
            <v>1</v>
          </cell>
          <cell r="F19">
            <v>7</v>
          </cell>
          <cell r="G19">
            <v>0</v>
          </cell>
          <cell r="H19">
            <v>23</v>
          </cell>
        </row>
      </sheetData>
      <sheetData sheetId="21">
        <row r="19">
          <cell r="C19">
            <v>7</v>
          </cell>
          <cell r="D19">
            <v>1</v>
          </cell>
          <cell r="E19">
            <v>0</v>
          </cell>
          <cell r="F19">
            <v>1</v>
          </cell>
          <cell r="G19">
            <v>0</v>
          </cell>
          <cell r="H19">
            <v>8</v>
          </cell>
        </row>
      </sheetData>
      <sheetData sheetId="22">
        <row r="20">
          <cell r="C20">
            <v>9</v>
          </cell>
          <cell r="D20">
            <v>1</v>
          </cell>
          <cell r="E20">
            <v>0</v>
          </cell>
          <cell r="F20">
            <v>3</v>
          </cell>
          <cell r="G20">
            <v>0</v>
          </cell>
          <cell r="H20">
            <v>10</v>
          </cell>
        </row>
      </sheetData>
      <sheetData sheetId="23">
        <row r="20">
          <cell r="C20">
            <v>9</v>
          </cell>
          <cell r="D20">
            <v>2</v>
          </cell>
          <cell r="E20">
            <v>1</v>
          </cell>
          <cell r="F20">
            <v>0</v>
          </cell>
          <cell r="G20">
            <v>3</v>
          </cell>
          <cell r="H20">
            <v>0</v>
          </cell>
          <cell r="I20">
            <v>12</v>
          </cell>
        </row>
      </sheetData>
      <sheetData sheetId="24"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2</v>
          </cell>
          <cell r="H20">
            <v>0</v>
          </cell>
          <cell r="I20">
            <v>0</v>
          </cell>
        </row>
      </sheetData>
      <sheetData sheetId="25">
        <row r="23">
          <cell r="C23">
            <v>4</v>
          </cell>
          <cell r="D23">
            <v>1</v>
          </cell>
          <cell r="E23">
            <v>0</v>
          </cell>
          <cell r="F23">
            <v>0</v>
          </cell>
          <cell r="G23">
            <v>3</v>
          </cell>
          <cell r="H23">
            <v>0</v>
          </cell>
          <cell r="I23">
            <v>5</v>
          </cell>
        </row>
      </sheetData>
      <sheetData sheetId="26">
        <row r="23">
          <cell r="C23">
            <v>9</v>
          </cell>
          <cell r="D23">
            <v>1</v>
          </cell>
          <cell r="E23">
            <v>0</v>
          </cell>
          <cell r="F23">
            <v>0</v>
          </cell>
          <cell r="G23">
            <v>9</v>
          </cell>
          <cell r="H23">
            <v>0</v>
          </cell>
          <cell r="I23">
            <v>10</v>
          </cell>
        </row>
      </sheetData>
      <sheetData sheetId="27">
        <row r="23">
          <cell r="C23">
            <v>12</v>
          </cell>
          <cell r="D23">
            <v>3</v>
          </cell>
          <cell r="E23">
            <v>1</v>
          </cell>
          <cell r="F23">
            <v>0</v>
          </cell>
          <cell r="G23">
            <v>12</v>
          </cell>
          <cell r="H23">
            <v>1</v>
          </cell>
          <cell r="I23">
            <v>16</v>
          </cell>
        </row>
      </sheetData>
      <sheetData sheetId="28">
        <row r="23">
          <cell r="C23">
            <v>9</v>
          </cell>
          <cell r="D23">
            <v>3</v>
          </cell>
          <cell r="E23">
            <v>1</v>
          </cell>
          <cell r="F23">
            <v>0</v>
          </cell>
          <cell r="G23">
            <v>4</v>
          </cell>
          <cell r="H23">
            <v>0</v>
          </cell>
          <cell r="I23">
            <v>13</v>
          </cell>
        </row>
      </sheetData>
      <sheetData sheetId="29">
        <row r="23">
          <cell r="C23">
            <v>13</v>
          </cell>
          <cell r="D23">
            <v>3</v>
          </cell>
          <cell r="E23">
            <v>4</v>
          </cell>
          <cell r="F23">
            <v>0</v>
          </cell>
          <cell r="G23">
            <v>6</v>
          </cell>
          <cell r="H23">
            <v>0</v>
          </cell>
          <cell r="I23">
            <v>20</v>
          </cell>
        </row>
      </sheetData>
      <sheetData sheetId="30">
        <row r="25">
          <cell r="C25">
            <v>15</v>
          </cell>
          <cell r="D25">
            <v>3</v>
          </cell>
          <cell r="E25">
            <v>4</v>
          </cell>
          <cell r="F25">
            <v>0</v>
          </cell>
          <cell r="G25">
            <v>2</v>
          </cell>
          <cell r="H25">
            <v>0</v>
          </cell>
          <cell r="I25">
            <v>22</v>
          </cell>
        </row>
      </sheetData>
      <sheetData sheetId="31">
        <row r="25">
          <cell r="C25">
            <v>13</v>
          </cell>
          <cell r="D25">
            <v>0</v>
          </cell>
          <cell r="E25">
            <v>2</v>
          </cell>
          <cell r="F25">
            <v>0</v>
          </cell>
          <cell r="G25">
            <v>4</v>
          </cell>
          <cell r="H25">
            <v>0</v>
          </cell>
          <cell r="I25">
            <v>15</v>
          </cell>
        </row>
      </sheetData>
      <sheetData sheetId="32">
        <row r="25"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1</v>
          </cell>
          <cell r="H25">
            <v>1</v>
          </cell>
          <cell r="I25">
            <v>3</v>
          </cell>
        </row>
      </sheetData>
      <sheetData sheetId="33">
        <row r="25">
          <cell r="C25">
            <v>10</v>
          </cell>
          <cell r="D25">
            <v>5</v>
          </cell>
          <cell r="E25">
            <v>3</v>
          </cell>
          <cell r="F25">
            <v>0</v>
          </cell>
          <cell r="G25">
            <v>0</v>
          </cell>
          <cell r="H25">
            <v>1</v>
          </cell>
          <cell r="I25">
            <v>18</v>
          </cell>
        </row>
      </sheetData>
      <sheetData sheetId="34">
        <row r="25">
          <cell r="C25">
            <v>13</v>
          </cell>
          <cell r="D25">
            <v>2</v>
          </cell>
          <cell r="E25">
            <v>1</v>
          </cell>
          <cell r="F25">
            <v>0</v>
          </cell>
          <cell r="G25">
            <v>6</v>
          </cell>
          <cell r="H25">
            <v>1</v>
          </cell>
          <cell r="I25">
            <v>16</v>
          </cell>
        </row>
      </sheetData>
      <sheetData sheetId="35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1</v>
          </cell>
          <cell r="H25">
            <v>0</v>
          </cell>
          <cell r="I25">
            <v>0</v>
          </cell>
        </row>
      </sheetData>
      <sheetData sheetId="36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2</v>
          </cell>
          <cell r="H25">
            <v>0</v>
          </cell>
          <cell r="I25">
            <v>0</v>
          </cell>
        </row>
      </sheetData>
      <sheetData sheetId="37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</sheetData>
      <sheetData sheetId="38">
        <row r="25">
          <cell r="C25">
            <v>25</v>
          </cell>
          <cell r="D25">
            <v>2</v>
          </cell>
          <cell r="E25">
            <v>0</v>
          </cell>
          <cell r="F25">
            <v>1</v>
          </cell>
          <cell r="G25">
            <v>0</v>
          </cell>
          <cell r="H25">
            <v>0</v>
          </cell>
          <cell r="I25">
            <v>28</v>
          </cell>
        </row>
      </sheetData>
      <sheetData sheetId="39">
        <row r="25">
          <cell r="C25">
            <v>19</v>
          </cell>
          <cell r="D25">
            <v>2</v>
          </cell>
          <cell r="E25">
            <v>2</v>
          </cell>
          <cell r="F25">
            <v>0</v>
          </cell>
          <cell r="G25">
            <v>4</v>
          </cell>
          <cell r="H25">
            <v>0</v>
          </cell>
          <cell r="I25">
            <v>23</v>
          </cell>
        </row>
      </sheetData>
      <sheetData sheetId="40">
        <row r="25">
          <cell r="C25">
            <v>16</v>
          </cell>
          <cell r="D25">
            <v>7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24</v>
          </cell>
        </row>
      </sheetData>
      <sheetData sheetId="41">
        <row r="25">
          <cell r="C25">
            <v>37</v>
          </cell>
          <cell r="D25">
            <v>6</v>
          </cell>
          <cell r="E25">
            <v>1</v>
          </cell>
          <cell r="F25">
            <v>0</v>
          </cell>
          <cell r="G25">
            <v>14</v>
          </cell>
          <cell r="H25">
            <v>1</v>
          </cell>
          <cell r="I25">
            <v>44</v>
          </cell>
        </row>
      </sheetData>
      <sheetData sheetId="42">
        <row r="25">
          <cell r="C25">
            <v>31</v>
          </cell>
          <cell r="D25">
            <v>3</v>
          </cell>
          <cell r="E25">
            <v>0</v>
          </cell>
          <cell r="F25">
            <v>0</v>
          </cell>
          <cell r="G25">
            <v>12</v>
          </cell>
          <cell r="H25">
            <v>0</v>
          </cell>
          <cell r="I25">
            <v>34</v>
          </cell>
        </row>
      </sheetData>
      <sheetData sheetId="43">
        <row r="25">
          <cell r="C25">
            <v>30</v>
          </cell>
          <cell r="D25">
            <v>3</v>
          </cell>
          <cell r="E25">
            <v>0</v>
          </cell>
          <cell r="F25">
            <v>0</v>
          </cell>
          <cell r="G25">
            <v>12</v>
          </cell>
          <cell r="H25">
            <v>0</v>
          </cell>
          <cell r="I25">
            <v>33</v>
          </cell>
        </row>
      </sheetData>
      <sheetData sheetId="44">
        <row r="25">
          <cell r="C25">
            <v>22</v>
          </cell>
          <cell r="D25">
            <v>6</v>
          </cell>
          <cell r="E25">
            <v>1</v>
          </cell>
          <cell r="F25">
            <v>0</v>
          </cell>
          <cell r="G25">
            <v>13</v>
          </cell>
          <cell r="H25">
            <v>0</v>
          </cell>
          <cell r="I25">
            <v>29</v>
          </cell>
        </row>
      </sheetData>
      <sheetData sheetId="45">
        <row r="25">
          <cell r="C25">
            <v>17</v>
          </cell>
          <cell r="D25">
            <v>4</v>
          </cell>
          <cell r="E25">
            <v>0</v>
          </cell>
          <cell r="F25">
            <v>0</v>
          </cell>
          <cell r="G25">
            <v>7</v>
          </cell>
          <cell r="H25">
            <v>0</v>
          </cell>
          <cell r="I25">
            <v>21</v>
          </cell>
        </row>
      </sheetData>
      <sheetData sheetId="46">
        <row r="25">
          <cell r="C25">
            <v>11</v>
          </cell>
          <cell r="D25">
            <v>4</v>
          </cell>
          <cell r="E25">
            <v>0</v>
          </cell>
          <cell r="F25">
            <v>0</v>
          </cell>
          <cell r="G25">
            <v>5</v>
          </cell>
          <cell r="H25">
            <v>0</v>
          </cell>
          <cell r="I25">
            <v>15</v>
          </cell>
        </row>
      </sheetData>
      <sheetData sheetId="47">
        <row r="25">
          <cell r="C25">
            <v>37</v>
          </cell>
          <cell r="D25">
            <v>4</v>
          </cell>
          <cell r="E25">
            <v>5</v>
          </cell>
          <cell r="F25">
            <v>0</v>
          </cell>
          <cell r="G25">
            <v>9</v>
          </cell>
          <cell r="H25">
            <v>0</v>
          </cell>
          <cell r="I25">
            <v>46</v>
          </cell>
        </row>
      </sheetData>
      <sheetData sheetId="48">
        <row r="25">
          <cell r="C25">
            <v>22</v>
          </cell>
          <cell r="D25">
            <v>2</v>
          </cell>
          <cell r="E25">
            <v>0</v>
          </cell>
          <cell r="F25">
            <v>0</v>
          </cell>
          <cell r="G25">
            <v>3</v>
          </cell>
          <cell r="H2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nsuel"/>
      <sheetName val="RIVEO"/>
      <sheetName val="PRIX CONTRAT EN ATTENTE"/>
    </sheetNames>
    <sheetDataSet>
      <sheetData sheetId="0">
        <row r="2031">
          <cell r="G2031">
            <v>227000</v>
          </cell>
        </row>
        <row r="2137">
          <cell r="G2137">
            <v>202000</v>
          </cell>
        </row>
        <row r="2139">
          <cell r="G2139">
            <v>230000</v>
          </cell>
        </row>
        <row r="2140">
          <cell r="G2140">
            <v>217000</v>
          </cell>
        </row>
        <row r="2159">
          <cell r="G2159">
            <v>207000</v>
          </cell>
        </row>
        <row r="2164">
          <cell r="G2164">
            <v>189000</v>
          </cell>
        </row>
        <row r="2165">
          <cell r="G2165">
            <v>209000</v>
          </cell>
        </row>
        <row r="2166">
          <cell r="G2166">
            <v>209000</v>
          </cell>
        </row>
        <row r="2194">
          <cell r="G2194">
            <v>163000</v>
          </cell>
        </row>
        <row r="2234">
          <cell r="G2234">
            <v>215000</v>
          </cell>
        </row>
        <row r="2237">
          <cell r="G2237">
            <v>206000</v>
          </cell>
        </row>
        <row r="2278">
          <cell r="G2278">
            <v>275000</v>
          </cell>
        </row>
        <row r="2306">
          <cell r="G2306">
            <v>285000</v>
          </cell>
        </row>
        <row r="2307">
          <cell r="G2307">
            <v>285000</v>
          </cell>
        </row>
        <row r="2422">
          <cell r="G2422">
            <v>264000</v>
          </cell>
        </row>
        <row r="2426">
          <cell r="G2426">
            <v>701760</v>
          </cell>
        </row>
        <row r="2428">
          <cell r="G2428">
            <v>169600</v>
          </cell>
        </row>
        <row r="2437">
          <cell r="G2437">
            <v>274000</v>
          </cell>
        </row>
        <row r="2438">
          <cell r="G2438">
            <v>221000</v>
          </cell>
        </row>
        <row r="2452">
          <cell r="G2452">
            <v>263000</v>
          </cell>
        </row>
        <row r="2462">
          <cell r="G2462">
            <v>201000</v>
          </cell>
        </row>
        <row r="2480">
          <cell r="G2480">
            <v>187000</v>
          </cell>
        </row>
        <row r="2481">
          <cell r="G2481">
            <v>195000</v>
          </cell>
        </row>
        <row r="2482">
          <cell r="G2482">
            <v>192000</v>
          </cell>
        </row>
        <row r="2523">
          <cell r="G2523">
            <v>330000</v>
          </cell>
        </row>
        <row r="2531">
          <cell r="G2531">
            <v>244000</v>
          </cell>
        </row>
        <row r="2533">
          <cell r="G2533">
            <v>255000</v>
          </cell>
        </row>
        <row r="2539">
          <cell r="G2539">
            <v>270857</v>
          </cell>
        </row>
        <row r="2569">
          <cell r="G2569">
            <v>200000</v>
          </cell>
        </row>
        <row r="2570">
          <cell r="G2570">
            <v>197000</v>
          </cell>
        </row>
        <row r="2579">
          <cell r="G2579">
            <v>262000</v>
          </cell>
        </row>
        <row r="2588">
          <cell r="G2588">
            <v>202000</v>
          </cell>
        </row>
        <row r="2612">
          <cell r="G2612">
            <v>224000</v>
          </cell>
        </row>
        <row r="2614">
          <cell r="G2614">
            <v>274000</v>
          </cell>
        </row>
        <row r="2680">
          <cell r="G2680">
            <v>195000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 enableFormatConditionsCalculation="0"/>
  <dimension ref="A1:AA100"/>
  <sheetViews>
    <sheetView tabSelected="1" view="pageBreakPreview" zoomScale="75" zoomScaleNormal="75" zoomScaleSheetLayoutView="75" zoomScalePageLayoutView="75" workbookViewId="0">
      <selection activeCell="E121" sqref="E121"/>
    </sheetView>
  </sheetViews>
  <sheetFormatPr baseColWidth="10" defaultColWidth="11.5" defaultRowHeight="15" x14ac:dyDescent="0"/>
  <cols>
    <col min="1" max="1" width="11.5" style="17"/>
    <col min="2" max="2" width="33.83203125" style="17" customWidth="1"/>
    <col min="3" max="3" width="13.6640625" style="17" customWidth="1"/>
    <col min="4" max="4" width="11.83203125" style="35" customWidth="1"/>
    <col min="5" max="6" width="11.83203125" style="17" customWidth="1"/>
    <col min="7" max="7" width="11.83203125" style="35" customWidth="1"/>
    <col min="8" max="8" width="11.83203125" style="17" customWidth="1"/>
    <col min="9" max="12" width="11.83203125" style="35" customWidth="1"/>
    <col min="13" max="24" width="11.83203125" style="17" customWidth="1"/>
    <col min="25" max="25" width="11.83203125" style="18" customWidth="1"/>
    <col min="26" max="16384" width="11.5" style="17"/>
  </cols>
  <sheetData>
    <row r="1" spans="1:25" ht="32" thickTop="1" thickBot="1">
      <c r="B1" s="3"/>
      <c r="C1" s="345" t="s">
        <v>0</v>
      </c>
      <c r="D1" s="346"/>
      <c r="E1" s="346"/>
      <c r="F1" s="346"/>
      <c r="G1" s="346"/>
      <c r="H1" s="346" t="s">
        <v>1</v>
      </c>
      <c r="I1" s="346"/>
      <c r="J1" s="346"/>
      <c r="K1" s="346"/>
      <c r="L1" s="346"/>
      <c r="M1" s="346"/>
      <c r="N1" s="346" t="s">
        <v>2</v>
      </c>
      <c r="O1" s="346"/>
      <c r="P1" s="346"/>
      <c r="Q1" s="346"/>
      <c r="R1" s="346"/>
      <c r="S1" s="342" t="s">
        <v>3</v>
      </c>
      <c r="T1" s="343"/>
      <c r="U1" s="343"/>
      <c r="V1" s="343"/>
      <c r="W1" s="4"/>
      <c r="X1" s="5" t="s">
        <v>4</v>
      </c>
      <c r="Y1" s="2" t="s">
        <v>35</v>
      </c>
    </row>
    <row r="2" spans="1:25" ht="16" thickTop="1">
      <c r="B2" s="6" t="s">
        <v>109</v>
      </c>
      <c r="C2" s="48" t="s">
        <v>5</v>
      </c>
      <c r="D2" s="49" t="s">
        <v>6</v>
      </c>
      <c r="E2" s="49" t="s">
        <v>7</v>
      </c>
      <c r="F2" s="344" t="s">
        <v>4</v>
      </c>
      <c r="G2" s="344"/>
      <c r="H2" s="49" t="s">
        <v>8</v>
      </c>
      <c r="I2" s="49" t="s">
        <v>9</v>
      </c>
      <c r="J2" s="49" t="s">
        <v>10</v>
      </c>
      <c r="K2" s="344" t="s">
        <v>4</v>
      </c>
      <c r="L2" s="344"/>
      <c r="M2" s="49" t="s">
        <v>11</v>
      </c>
      <c r="N2" s="49" t="s">
        <v>12</v>
      </c>
      <c r="O2" s="49" t="s">
        <v>13</v>
      </c>
      <c r="P2" s="344" t="s">
        <v>4</v>
      </c>
      <c r="Q2" s="344"/>
      <c r="R2" s="49" t="s">
        <v>14</v>
      </c>
      <c r="S2" s="49" t="s">
        <v>15</v>
      </c>
      <c r="T2" s="49" t="s">
        <v>16</v>
      </c>
      <c r="U2" s="344" t="s">
        <v>4</v>
      </c>
      <c r="V2" s="344"/>
      <c r="W2" s="7"/>
      <c r="X2" s="7"/>
      <c r="Y2" s="7"/>
    </row>
    <row r="3" spans="1:25" ht="16" thickBot="1">
      <c r="B3" s="6"/>
      <c r="C3" s="50"/>
      <c r="D3" s="51"/>
      <c r="E3" s="51"/>
      <c r="F3" s="52" t="s">
        <v>30</v>
      </c>
      <c r="G3" s="52" t="s">
        <v>31</v>
      </c>
      <c r="H3" s="51"/>
      <c r="I3" s="51"/>
      <c r="J3" s="51"/>
      <c r="K3" s="52" t="s">
        <v>30</v>
      </c>
      <c r="L3" s="52" t="s">
        <v>31</v>
      </c>
      <c r="M3" s="51"/>
      <c r="N3" s="51"/>
      <c r="O3" s="51"/>
      <c r="P3" s="52" t="s">
        <v>30</v>
      </c>
      <c r="Q3" s="52" t="s">
        <v>31</v>
      </c>
      <c r="R3" s="51"/>
      <c r="S3" s="51"/>
      <c r="T3" s="51"/>
      <c r="U3" s="52" t="s">
        <v>30</v>
      </c>
      <c r="V3" s="52" t="s">
        <v>31</v>
      </c>
      <c r="W3" s="52" t="s">
        <v>30</v>
      </c>
      <c r="X3" s="52" t="s">
        <v>31</v>
      </c>
      <c r="Y3" s="8"/>
    </row>
    <row r="4" spans="1:25" ht="16" thickTop="1">
      <c r="A4" s="324" t="s">
        <v>29</v>
      </c>
      <c r="B4" s="53" t="s">
        <v>17</v>
      </c>
      <c r="C4" s="223">
        <f>SUMPRODUCT(($B$32:$B$93=$B4)*$H$32:$H$93*($A$32:$A$93="Décembre"))</f>
        <v>0</v>
      </c>
      <c r="D4" s="224">
        <f>SUMPRODUCT(($B$32:$B$93=$B4)*$H$32:$H$93*($A$32:$A$93="Janvier"))</f>
        <v>0</v>
      </c>
      <c r="E4" s="224">
        <f>SUMPRODUCT(($B$32:$B$93=$B4)*$H$32:$H$93*($A$32:$A$93="Février"))</f>
        <v>0</v>
      </c>
      <c r="F4" s="54">
        <f>SUMPRODUCT(($B$32:$B$38=$B4)*$H$32:$H$38)</f>
        <v>0</v>
      </c>
      <c r="G4" s="54">
        <f>SUMPRODUCT(($B$32:$B$38=$B4)*$J$32:$J$38)</f>
        <v>0</v>
      </c>
      <c r="H4" s="223">
        <f>SUMPRODUCT(($B$32:$B$93=$B4)*$H$32:$H$93*($A$32:$A$93="Mars"))</f>
        <v>0</v>
      </c>
      <c r="I4" s="224">
        <f>SUMPRODUCT(($B$32:$B$93=$B4)*$H$32:$H$93*($A$32:$A$93="Avril"))</f>
        <v>0</v>
      </c>
      <c r="J4" s="224">
        <f>SUMPRODUCT(($B$32:$B$93=$B4)*$H$32:$H$93*($A$32:$A$93="Mai"))</f>
        <v>0</v>
      </c>
      <c r="K4" s="54">
        <f>SUMPRODUCT(($B$42:$B$53=$B4)*$H$42:$H$53)</f>
        <v>0</v>
      </c>
      <c r="L4" s="54">
        <f>SUMPRODUCT(($B$42:$B$53=$B4)*$J$42:$J$53)</f>
        <v>0</v>
      </c>
      <c r="M4" s="223">
        <f>SUMPRODUCT(($B$32:$B$93=$B4)*$H$32:$H$93*($A$32:$A$93="juin"))</f>
        <v>0</v>
      </c>
      <c r="N4" s="224">
        <f>SUMPRODUCT(($B$32:$B$93=$B4)*$H$32:$H$93*($A$32:$A$93="juillet"))</f>
        <v>0</v>
      </c>
      <c r="O4" s="224">
        <f>SUMPRODUCT(($B$32:$B$93=$B4)*$H$32:$H$93*($A$32:$A$93="Aout"))</f>
        <v>0</v>
      </c>
      <c r="P4" s="54">
        <f>SUMPRODUCT(($B$58:$B$70=$B4)*$H$58:$H$70)</f>
        <v>0</v>
      </c>
      <c r="Q4" s="54">
        <f>SUMPRODUCT(($B$58:$B$70=$B4)*$J$58:$J$70)</f>
        <v>0</v>
      </c>
      <c r="R4" s="223">
        <f>SUMPRODUCT(($B$32:$B$93=$B4)*$H$32:$H$93*($A$32:$A$93="Dec"))</f>
        <v>0</v>
      </c>
      <c r="S4" s="224">
        <f>SUMPRODUCT(($B$32:$B$93=$B4)*$H$32:$H$93*($A$32:$A$93="Janv"))</f>
        <v>0</v>
      </c>
      <c r="T4" s="224">
        <f>SUMPRODUCT(($B$32:$B$93=$B4)*$H$32:$H$93*($A$32:$A$93="Fev"))</f>
        <v>0</v>
      </c>
      <c r="U4" s="54">
        <f>SUMPRODUCT(($B$74:$B$93=$B4)*$H$74:$H$93)</f>
        <v>0</v>
      </c>
      <c r="V4" s="54">
        <f>SUMPRODUCT(($B$74:$B$93=$B4)*$J$74:$J$93)</f>
        <v>0</v>
      </c>
      <c r="W4" s="9">
        <f t="shared" ref="W4:W27" si="0">U4+P4+K4+F4</f>
        <v>0</v>
      </c>
      <c r="X4" s="10">
        <f t="shared" ref="X4:X27" si="1">V4+Q4+L4+G4</f>
        <v>0</v>
      </c>
      <c r="Y4" s="11"/>
    </row>
    <row r="5" spans="1:25">
      <c r="A5" s="325"/>
      <c r="B5" s="55" t="s">
        <v>18</v>
      </c>
      <c r="C5" s="56">
        <f>SUMPRODUCT(($B$32:$B$93=$B5)*$H$32:$H$93*($A$32:$A$93="Décembre"))</f>
        <v>0</v>
      </c>
      <c r="D5" s="57">
        <f>SUMPRODUCT(($B$32:$B$93=$B5)*$H$32:$H$93*($A$32:$A$93="Janvier"))</f>
        <v>0</v>
      </c>
      <c r="E5" s="57">
        <f>SUMPRODUCT(($B$32:$B$93=$B5)*$H$32:$H$93*($A$32:$A$93="Février"))</f>
        <v>0</v>
      </c>
      <c r="F5" s="54">
        <f>SUMPRODUCT(($B$32:$B$38=$B5)*$H$32:$H$38)</f>
        <v>0</v>
      </c>
      <c r="G5" s="54">
        <f>SUMPRODUCT(($B$32:$B$38=$B5)*$J$32:$J$38)</f>
        <v>0</v>
      </c>
      <c r="H5" s="56">
        <f>SUMPRODUCT(($B$32:$B$93=$B5)*$H$32:$H$93*($A$32:$A$93="Mars"))</f>
        <v>0</v>
      </c>
      <c r="I5" s="57">
        <f>SUMPRODUCT(($B$32:$B$93=$B5)*$H$32:$H$93*($A$32:$A$93="Avril"))</f>
        <v>0</v>
      </c>
      <c r="J5" s="57">
        <f>SUMPRODUCT(($B$32:$B$93=$B5)*$H$32:$H$93*($A$32:$A$93="Mai"))</f>
        <v>0</v>
      </c>
      <c r="K5" s="58">
        <f>SUMPRODUCT(($B$42:$B$53=$B5)*$H$42:$H$53)</f>
        <v>0</v>
      </c>
      <c r="L5" s="58">
        <f>SUMPRODUCT(($B$42:$B$53=$B5)*$J$42:$J$53)</f>
        <v>0</v>
      </c>
      <c r="M5" s="57">
        <f>SUMPRODUCT(($B$36:$B$93=$B5)*$H$36:$H$93*($A$36:$A$93="juin"))</f>
        <v>0</v>
      </c>
      <c r="N5" s="57">
        <f>SUMPRODUCT(($B$36:$B$93=$B5)*$H$36:$H$93*($A$36:$A$93="juillet"))</f>
        <v>0</v>
      </c>
      <c r="O5" s="57">
        <f>SUMPRODUCT(($B$36:$B$93=$B5)*$H$36:$H$93*($A$36:$A$93="aout"))</f>
        <v>0</v>
      </c>
      <c r="P5" s="58">
        <f>SUMPRODUCT(($B$58:$B$70=$B5)*$H$58:$H$70)</f>
        <v>0</v>
      </c>
      <c r="Q5" s="58">
        <f>SUMPRODUCT(($B$58:$B$70=$B5)*$J$58:$J$70)</f>
        <v>0</v>
      </c>
      <c r="R5" s="57">
        <f>SUMPRODUCT(($B$36:$B$93=$B$5)*$H$36:$H$93*($A$36:$A$93="Septembre"))</f>
        <v>0</v>
      </c>
      <c r="S5" s="57">
        <f>SUMPRODUCT(($B$36:$B$93=$B$5)*$H$36:$H$93*($A$36:$A$93="Octobre"))</f>
        <v>0</v>
      </c>
      <c r="T5" s="57">
        <f>SUMPRODUCT(($B$36:$B$93=$B5)*$H$36:$H$93*($A$36:$A$93="Novembre"))</f>
        <v>0</v>
      </c>
      <c r="U5" s="58">
        <f>SUMPRODUCT(($B$74:$B$93=$B5)*$H$74:$H$93)</f>
        <v>0</v>
      </c>
      <c r="V5" s="58">
        <f>SUMPRODUCT(($B$74:$B$93=$B5)*$J$74:$J$93)</f>
        <v>0</v>
      </c>
      <c r="W5" s="12">
        <f t="shared" si="0"/>
        <v>0</v>
      </c>
      <c r="X5" s="13">
        <f t="shared" si="1"/>
        <v>0</v>
      </c>
      <c r="Y5" s="14"/>
    </row>
    <row r="6" spans="1:25">
      <c r="A6" s="325"/>
      <c r="B6" s="55" t="s">
        <v>19</v>
      </c>
      <c r="C6" s="56">
        <f>SUMPRODUCT(($B$32:$B$93=$B6)*$H$32:$H$93*($A$32:$A$93="Décembre"))</f>
        <v>0</v>
      </c>
      <c r="D6" s="57">
        <f>SUMPRODUCT(($B$32:$B$93=$B6)*$H$32:$H$93*($A$32:$A$93="Janvier"))</f>
        <v>0</v>
      </c>
      <c r="E6" s="57">
        <f>SUMPRODUCT(($B$32:$B$93=$B6)*$H$32:$H$93*($A$32:$A$93="Février"))</f>
        <v>0</v>
      </c>
      <c r="F6" s="54">
        <f>SUMPRODUCT(($B$32:$B$38=$B6)*$H$32:$H$38)</f>
        <v>0</v>
      </c>
      <c r="G6" s="54">
        <f>SUMPRODUCT(($B$32:$B$38=$B6)*$J$32:$J$38)</f>
        <v>0</v>
      </c>
      <c r="H6" s="56">
        <f>SUMPRODUCT(($B$32:$B$93=$B6)*$H$32:$H$93*($A$32:$A$93="Mars"))</f>
        <v>0</v>
      </c>
      <c r="I6" s="57">
        <f>SUMPRODUCT(($B$32:$B$93=$B6)*$H$32:$H$93*($A$32:$A$93="Avril"))</f>
        <v>0</v>
      </c>
      <c r="J6" s="57">
        <f>SUMPRODUCT(($B$32:$B$93=$B6)*$H$32:$H$93*($A$32:$A$93="Mai"))</f>
        <v>0</v>
      </c>
      <c r="K6" s="58">
        <f>SUMPRODUCT(($B$42:$B$53=$B6)*$H$42:$H$53)</f>
        <v>0</v>
      </c>
      <c r="L6" s="58">
        <f>SUMPRODUCT(($B$42:$B$53=$B6)*$J$42:$J$53)</f>
        <v>0</v>
      </c>
      <c r="M6" s="57">
        <f>SUMPRODUCT(($B$36:$B$93=$B6)*$H$36:$H$93*($A$36:$A$93="juin"))</f>
        <v>0</v>
      </c>
      <c r="N6" s="57">
        <f>SUMPRODUCT(($B$36:$B$93=$B6)*$H$36:$H$93*($A$36:$A$93="juillet"))</f>
        <v>0</v>
      </c>
      <c r="O6" s="57">
        <f>SUMPRODUCT(($B$36:$B$93=$B6)*$H$36:$H$93*($A$36:$A$93="aout"))</f>
        <v>0</v>
      </c>
      <c r="P6" s="58">
        <f>SUMPRODUCT(($B$58:$B$70=$B6)*$H$58:$H$70)</f>
        <v>0</v>
      </c>
      <c r="Q6" s="58">
        <f>SUMPRODUCT(($B$58:$B$70=$B6)*$J$58:$J$70)</f>
        <v>0</v>
      </c>
      <c r="R6" s="57">
        <f>SUMPRODUCT(($B$36:$B$93=$B$6)*$H$36:$H$93*($A$36:$A$93="Septembre"))</f>
        <v>0</v>
      </c>
      <c r="S6" s="57">
        <f>SUMPRODUCT(($B$36:$B$93=$B$6)*$H$36:$H$93*($A$36:$A$93="Octobre"))</f>
        <v>0</v>
      </c>
      <c r="T6" s="57">
        <f>SUMPRODUCT(($B$36:$B$93=$B6)*$H$36:$H$93*($A$36:$A$93="Novembre"))</f>
        <v>0</v>
      </c>
      <c r="U6" s="58">
        <f>SUMPRODUCT(($B$74:$B$93=$B6)*$H$74:$H$93)</f>
        <v>0</v>
      </c>
      <c r="V6" s="58">
        <f>SUMPRODUCT(($B$74:$B$93=$B6)*$J$74:$J$93)</f>
        <v>0</v>
      </c>
      <c r="W6" s="12">
        <f t="shared" si="0"/>
        <v>0</v>
      </c>
      <c r="X6" s="13">
        <f t="shared" si="1"/>
        <v>0</v>
      </c>
      <c r="Y6" s="14"/>
    </row>
    <row r="7" spans="1:25">
      <c r="A7" s="325"/>
      <c r="B7" s="55" t="s">
        <v>37</v>
      </c>
      <c r="C7" s="56">
        <f>SUMPRODUCT(($B$32:$B$93=$B7)*$H$32:$H$93*($A$32:$A$93="Décembre"))</f>
        <v>0</v>
      </c>
      <c r="D7" s="57">
        <f>SUMPRODUCT(($B$32:$B$93=$B7)*$H$32:$H$93*($A$32:$A$93="Janvier"))</f>
        <v>0</v>
      </c>
      <c r="E7" s="57">
        <f>SUMPRODUCT(($B$32:$B$93=$B7)*$H$32:$H$93*($A$32:$A$93="Février"))</f>
        <v>0</v>
      </c>
      <c r="F7" s="54">
        <f>SUMPRODUCT(($B$32:$B$38=$B7)*$H$32:$H$38)</f>
        <v>0</v>
      </c>
      <c r="G7" s="54">
        <f>SUMPRODUCT(($B$32:$B$38=$B7)*$J$32:$J$38)</f>
        <v>0</v>
      </c>
      <c r="H7" s="56">
        <f>SUMPRODUCT(($B$32:$B$93=$B7)*$H$32:$H$93*($A$32:$A$93="Mars"))</f>
        <v>0</v>
      </c>
      <c r="I7" s="57">
        <f>SUMPRODUCT(($B$32:$B$93=$B7)*$H$32:$H$93*($A$32:$A$93="Avril"))</f>
        <v>0</v>
      </c>
      <c r="J7" s="57">
        <f>SUMPRODUCT(($B$32:$B$93=$B7)*$H$32:$H$93*($A$32:$A$93="Mai"))</f>
        <v>0</v>
      </c>
      <c r="K7" s="58">
        <f>SUMPRODUCT(($B$42:$B$53=$B7)*$H$42:$H$53)</f>
        <v>0</v>
      </c>
      <c r="L7" s="58">
        <f>SUMPRODUCT(($B$42:$B$53=$B7)*$J$42:$J$53)</f>
        <v>0</v>
      </c>
      <c r="M7" s="57">
        <f>SUMPRODUCT(($B$36:$B$93=$B7)*$H$36:$H$93*($A$36:$A$93="juin"))</f>
        <v>0</v>
      </c>
      <c r="N7" s="57">
        <f>SUMPRODUCT(($B$36:$B$93=$B7)*$H$36:$H$93*($A$36:$A$93="juillet"))</f>
        <v>0</v>
      </c>
      <c r="O7" s="57">
        <f>SUMPRODUCT(($B$36:$B$93=$B7)*$H$36:$H$93*($A$36:$A$93="aout"))</f>
        <v>1</v>
      </c>
      <c r="P7" s="58">
        <f>SUMPRODUCT(($B$58:$B$70=$B7)*$H$58:$H$70)</f>
        <v>1</v>
      </c>
      <c r="Q7" s="58">
        <f>SUMPRODUCT(($B$58:$B$70=$B7)*$J$58:$J$70)</f>
        <v>1</v>
      </c>
      <c r="R7" s="57">
        <f>SUMPRODUCT(($B$36:$B$93=$B$7)*$H$36:$H$93*($A$36:$A$93="Septembre"))</f>
        <v>0</v>
      </c>
      <c r="S7" s="57">
        <f>SUMPRODUCT(($B$36:$B$93=$B$7)*$H$36:$H$93*($A$36:$A$93="Octobre"))</f>
        <v>0</v>
      </c>
      <c r="T7" s="57">
        <f>SUMPRODUCT(($B$36:$B$93=$B7)*$H$36:$H$93*($A$36:$A$93="Novembre"))</f>
        <v>0</v>
      </c>
      <c r="U7" s="58">
        <f>SUMPRODUCT(($B$74:$B$93=$B7)*$H$74:$H$93)</f>
        <v>0</v>
      </c>
      <c r="V7" s="58">
        <f>SUMPRODUCT(($B$74:$B$93=$B7)*$J$74:$J$93)</f>
        <v>0</v>
      </c>
      <c r="W7" s="12">
        <f t="shared" si="0"/>
        <v>1</v>
      </c>
      <c r="X7" s="13">
        <f t="shared" si="1"/>
        <v>1</v>
      </c>
      <c r="Y7" s="14"/>
    </row>
    <row r="8" spans="1:25">
      <c r="A8" s="325"/>
      <c r="B8" s="55" t="s">
        <v>72</v>
      </c>
      <c r="C8" s="56">
        <f>SUMPRODUCT(($B$32:$B$93=$B8)*$H$32:$H$93*($A$32:$A$93="Décembre"))</f>
        <v>0</v>
      </c>
      <c r="D8" s="57">
        <f>SUMPRODUCT(($B$32:$B$93=$B8)*$H$32:$H$93*($A$32:$A$93="Janvier"))</f>
        <v>0</v>
      </c>
      <c r="E8" s="57">
        <f>SUMPRODUCT(($B$32:$B$93=$B8)*$H$32:$H$93*($A$32:$A$93="Février"))</f>
        <v>0</v>
      </c>
      <c r="F8" s="54">
        <f>SUMPRODUCT(($B$32:$B$38=$B8)*$H$32:$H$38)</f>
        <v>0</v>
      </c>
      <c r="G8" s="54">
        <f>SUMPRODUCT(($B$32:$B$38=$B8)*$J$32:$J$38)</f>
        <v>0</v>
      </c>
      <c r="H8" s="56">
        <f>SUMPRODUCT(($B$32:$B$93=$B8)*$H$32:$H$93*($A$32:$A$93="Mars"))</f>
        <v>0</v>
      </c>
      <c r="I8" s="57">
        <f>SUMPRODUCT(($B$32:$B$93=$B8)*$H$32:$H$93*($A$32:$A$93="Avril"))</f>
        <v>0</v>
      </c>
      <c r="J8" s="57">
        <f>SUMPRODUCT(($B$32:$B$93=$B8)*$H$32:$H$93*($A$32:$A$93="Mai"))</f>
        <v>0</v>
      </c>
      <c r="K8" s="58">
        <f>SUMPRODUCT(($B$42:$B$53=$B8)*$H$42:$H$53)</f>
        <v>0</v>
      </c>
      <c r="L8" s="58">
        <f>SUMPRODUCT(($B$42:$B$53=$B8)*$J$42:$J$53)</f>
        <v>0</v>
      </c>
      <c r="M8" s="57">
        <f>SUMPRODUCT(($B$36:$B$93=$B8)*$H$36:$H$93*($A$36:$A$93="juin"))</f>
        <v>0</v>
      </c>
      <c r="N8" s="57">
        <f>SUMPRODUCT(($B$36:$B$93=$B8)*$H$36:$H$93*($A$36:$A$93="juillet"))</f>
        <v>0</v>
      </c>
      <c r="O8" s="57">
        <f>SUMPRODUCT(($B$36:$B$93=$B8)*$H$36:$H$93*($A$36:$A$93="aout"))</f>
        <v>0</v>
      </c>
      <c r="P8" s="58">
        <f>SUMPRODUCT(($B$58:$B$70=$B8)*$H$58:$H$70)</f>
        <v>0</v>
      </c>
      <c r="Q8" s="58">
        <f>SUMPRODUCT(($B$58:$B$70=$B8)*$J$58:$J$70)</f>
        <v>0</v>
      </c>
      <c r="R8" s="57">
        <f>SUMPRODUCT(($B$36:$B$93=$B$8)*$H$36:$H$93*($A$36:$A$93="Septembre"))</f>
        <v>0</v>
      </c>
      <c r="S8" s="57">
        <f>SUMPRODUCT(($B$36:$B$93=$B$8)*$H$36:$H$93*($A$36:$A$93="Octobre"))</f>
        <v>0</v>
      </c>
      <c r="T8" s="57">
        <f>SUMPRODUCT(($B$36:$B$93=$B8)*$H$36:$H$93*($A$36:$A$93="Novembre"))</f>
        <v>0</v>
      </c>
      <c r="U8" s="58">
        <f>SUMPRODUCT(($B$74:$B$93=$B8)*$H$74:$H$93)</f>
        <v>0</v>
      </c>
      <c r="V8" s="58">
        <f>SUMPRODUCT(($B$74:$B$93=$B8)*$J$74:$J$93)</f>
        <v>0</v>
      </c>
      <c r="W8" s="12">
        <f t="shared" si="0"/>
        <v>0</v>
      </c>
      <c r="X8" s="13">
        <f t="shared" si="1"/>
        <v>0</v>
      </c>
      <c r="Y8" s="14"/>
    </row>
    <row r="9" spans="1:25">
      <c r="A9" s="325"/>
      <c r="B9" s="55" t="s">
        <v>20</v>
      </c>
      <c r="C9" s="56">
        <f>SUMPRODUCT(($B$32:$B$93=$B9)*$H$32:$H$93*($A$32:$A$93="Décembre"))</f>
        <v>0</v>
      </c>
      <c r="D9" s="57">
        <f>SUMPRODUCT(($B$32:$B$93=$B9)*$H$32:$H$93*($A$32:$A$93="Janvier"))</f>
        <v>0</v>
      </c>
      <c r="E9" s="57">
        <f>SUMPRODUCT(($B$32:$B$93=$B9)*$H$32:$H$93*($A$32:$A$93="Février"))</f>
        <v>0</v>
      </c>
      <c r="F9" s="54">
        <f>SUMPRODUCT(($B$32:$B$38=$B9)*$H$32:$H$38)</f>
        <v>0</v>
      </c>
      <c r="G9" s="54">
        <f>SUMPRODUCT(($B$32:$B$38=$B9)*$J$32:$J$38)</f>
        <v>0</v>
      </c>
      <c r="H9" s="56">
        <f>SUMPRODUCT(($B$32:$B$93=$B9)*$H$32:$H$93*($A$32:$A$93="Mars"))</f>
        <v>0</v>
      </c>
      <c r="I9" s="57">
        <f>SUMPRODUCT(($B$32:$B$93=$B9)*$H$32:$H$93*($A$32:$A$93="Avril"))</f>
        <v>0</v>
      </c>
      <c r="J9" s="57">
        <f>SUMPRODUCT(($B$32:$B$93=$B9)*$H$32:$H$93*($A$32:$A$93="Mai"))</f>
        <v>0</v>
      </c>
      <c r="K9" s="58">
        <f>SUMPRODUCT(($B$42:$B$53=$B9)*$H$42:$H$53)</f>
        <v>0</v>
      </c>
      <c r="L9" s="58">
        <f>SUMPRODUCT(($B$42:$B$53=$B9)*$J$42:$J$53)</f>
        <v>0</v>
      </c>
      <c r="M9" s="57">
        <f>SUMPRODUCT(($B$36:$B$93=$B9)*$H$36:$H$93*($A$36:$A$93="juin"))</f>
        <v>0</v>
      </c>
      <c r="N9" s="57">
        <f>SUMPRODUCT(($B$36:$B$93=$B9)*$H$36:$H$93*($A$36:$A$93="juillet"))</f>
        <v>0</v>
      </c>
      <c r="O9" s="57">
        <f>SUMPRODUCT(($B$36:$B$93=$B9)*$H$36:$H$93*($A$36:$A$93="aout"))</f>
        <v>0</v>
      </c>
      <c r="P9" s="58">
        <f>SUMPRODUCT(($B$58:$B$70=$B9)*$H$58:$H$70)</f>
        <v>0.5</v>
      </c>
      <c r="Q9" s="58">
        <f>SUMPRODUCT(($B$58:$B$70=$B9)*$J$58:$J$70)</f>
        <v>0.5</v>
      </c>
      <c r="R9" s="57">
        <f>SUMPRODUCT(($B$36:$B$93=$B$9)*$H$36:$H$93*($A$36:$A$93="Septembre"))</f>
        <v>0</v>
      </c>
      <c r="S9" s="57">
        <f>SUMPRODUCT(($B$36:$B$93=$B$9)*$H$36:$H$93*($A$36:$A$93="Octobre"))</f>
        <v>0</v>
      </c>
      <c r="T9" s="57">
        <f>SUMPRODUCT(($B$36:$B$93=$B9)*$H$36:$H$93*($A$36:$A$93="Novembre"))</f>
        <v>0</v>
      </c>
      <c r="U9" s="58">
        <f>SUMPRODUCT(($B$74:$B$93=$B9)*$H$74:$H$93)</f>
        <v>0</v>
      </c>
      <c r="V9" s="58">
        <f>SUMPRODUCT(($B$74:$B$93=$B9)*$J$74:$J$93)</f>
        <v>0</v>
      </c>
      <c r="W9" s="12">
        <f t="shared" si="0"/>
        <v>0.5</v>
      </c>
      <c r="X9" s="13">
        <f t="shared" si="1"/>
        <v>0.5</v>
      </c>
      <c r="Y9" s="14"/>
    </row>
    <row r="10" spans="1:25">
      <c r="A10" s="325"/>
      <c r="B10" s="55" t="s">
        <v>21</v>
      </c>
      <c r="C10" s="56">
        <f>SUMPRODUCT(($B$32:$B$93=$B10)*$H$32:$H$93*($A$32:$A$93="Décembre"))</f>
        <v>0</v>
      </c>
      <c r="D10" s="57">
        <f>SUMPRODUCT(($B$32:$B$93=$B10)*$H$32:$H$93*($A$32:$A$93="Janvier"))</f>
        <v>0</v>
      </c>
      <c r="E10" s="57">
        <f>SUMPRODUCT(($B$32:$B$93=$B10)*$H$32:$H$93*($A$32:$A$93="Février"))</f>
        <v>0</v>
      </c>
      <c r="F10" s="54">
        <f>SUMPRODUCT(($B$32:$B$38=$B10)*$H$32:$H$38)</f>
        <v>0</v>
      </c>
      <c r="G10" s="54">
        <f>SUMPRODUCT(($B$32:$B$38=$B10)*$J$32:$J$38)</f>
        <v>0</v>
      </c>
      <c r="H10" s="56">
        <f>SUMPRODUCT(($B$32:$B$93=$B10)*$H$32:$H$93*($A$32:$A$93="Mars"))</f>
        <v>0</v>
      </c>
      <c r="I10" s="57">
        <f>SUMPRODUCT(($B$32:$B$93=$B10)*$H$32:$H$93*($A$32:$A$93="Avril"))</f>
        <v>0</v>
      </c>
      <c r="J10" s="57">
        <f>SUMPRODUCT(($B$32:$B$93=$B10)*$H$32:$H$93*($A$32:$A$93="Mai"))</f>
        <v>0</v>
      </c>
      <c r="K10" s="58">
        <f>SUMPRODUCT(($B$42:$B$53=$B10)*$H$42:$H$53)</f>
        <v>0</v>
      </c>
      <c r="L10" s="58">
        <f>SUMPRODUCT(($B$42:$B$53=$B10)*$J$42:$J$53)</f>
        <v>0</v>
      </c>
      <c r="M10" s="57">
        <f>SUMPRODUCT(($B$36:$B$93=$B10)*$H$36:$H$93*($A$36:$A$93="juin"))</f>
        <v>0</v>
      </c>
      <c r="N10" s="57">
        <f>SUMPRODUCT(($B$36:$B$93=$B10)*$H$36:$H$93*($A$36:$A$93="juillet"))</f>
        <v>0</v>
      </c>
      <c r="O10" s="57">
        <f>SUMPRODUCT(($B$36:$B$93=$B10)*$H$36:$H$93*($A$36:$A$93="aout"))</f>
        <v>0</v>
      </c>
      <c r="P10" s="58">
        <f>SUMPRODUCT(($B$58:$B$70=$B10)*$H$58:$H$70)</f>
        <v>0</v>
      </c>
      <c r="Q10" s="58">
        <f>SUMPRODUCT(($B$58:$B$70=$B10)*$J$58:$J$70)</f>
        <v>0</v>
      </c>
      <c r="R10" s="57">
        <f>SUMPRODUCT(($B$36:$B$93=$B$10)*$H$36:$H$93*($A$36:$A$93="Septembre"))</f>
        <v>0</v>
      </c>
      <c r="S10" s="57">
        <f>SUMPRODUCT(($B$36:$B$93=$B$10)*$H$36:$H$93*($A$36:$A$93="Octobre"))</f>
        <v>0</v>
      </c>
      <c r="T10" s="57">
        <f>SUMPRODUCT(($B$36:$B$93=$B10)*$H$36:$H$93*($A$36:$A$93="Novembre"))</f>
        <v>0</v>
      </c>
      <c r="U10" s="58">
        <f>SUMPRODUCT(($B$74:$B$93=$B10)*$H$74:$H$93)</f>
        <v>0</v>
      </c>
      <c r="V10" s="58">
        <f>SUMPRODUCT(($B$74:$B$93=$B10)*$J$74:$J$93)</f>
        <v>0</v>
      </c>
      <c r="W10" s="12">
        <f t="shared" si="0"/>
        <v>0</v>
      </c>
      <c r="X10" s="13">
        <f t="shared" si="1"/>
        <v>0</v>
      </c>
      <c r="Y10" s="14"/>
    </row>
    <row r="11" spans="1:25">
      <c r="A11" s="325"/>
      <c r="B11" s="55" t="s">
        <v>22</v>
      </c>
      <c r="C11" s="56">
        <f>SUMPRODUCT(($B$32:$B$93=$B11)*$H$32:$H$93*($A$32:$A$93="Décembre"))</f>
        <v>0</v>
      </c>
      <c r="D11" s="57">
        <f>SUMPRODUCT(($B$32:$B$93=$B11)*$H$32:$H$93*($A$32:$A$93="Janvier"))</f>
        <v>0</v>
      </c>
      <c r="E11" s="57">
        <f>SUMPRODUCT(($B$32:$B$93=$B11)*$H$32:$H$93*($A$32:$A$93="Février"))</f>
        <v>1</v>
      </c>
      <c r="F11" s="54">
        <f>SUMPRODUCT(($B$32:$B$38=$B11)*$H$32:$H$38)</f>
        <v>2.5</v>
      </c>
      <c r="G11" s="54">
        <f>SUMPRODUCT(($B$32:$B$38=$B11)*$J$32:$J$38)</f>
        <v>1.5</v>
      </c>
      <c r="H11" s="56">
        <f>SUMPRODUCT(($B$32:$B$93=$B11)*$H$32:$H$93*($A$32:$A$93="Mars"))</f>
        <v>1</v>
      </c>
      <c r="I11" s="57">
        <f>SUMPRODUCT(($B$32:$B$93=$B11)*$H$32:$H$93*($A$32:$A$93="Avril"))</f>
        <v>0.5</v>
      </c>
      <c r="J11" s="57">
        <f>SUMPRODUCT(($B$32:$B$93=$B11)*$H$32:$H$93*($A$32:$A$93="Mai"))</f>
        <v>0</v>
      </c>
      <c r="K11" s="58">
        <f>SUMPRODUCT(($B$42:$B$53=$B11)*$H$42:$H$53)</f>
        <v>5</v>
      </c>
      <c r="L11" s="58">
        <f>SUMPRODUCT(($B$42:$B$53=$B11)*$J$42:$J$53)</f>
        <v>5</v>
      </c>
      <c r="M11" s="57">
        <f>SUMPRODUCT(($B$36:$B$93=$B11)*$H$36:$H$93*($A$36:$A$93="juin"))</f>
        <v>0</v>
      </c>
      <c r="N11" s="57">
        <f>SUMPRODUCT(($B$36:$B$93=$B11)*$H$36:$H$93*($A$36:$A$93="juillet"))</f>
        <v>1</v>
      </c>
      <c r="O11" s="57">
        <f>SUMPRODUCT(($B$36:$B$93=$B11)*$H$36:$H$93*($A$36:$A$93="aout"))</f>
        <v>0</v>
      </c>
      <c r="P11" s="58">
        <f>SUMPRODUCT(($B$58:$B$70=$B11)*$H$58:$H$70)</f>
        <v>4</v>
      </c>
      <c r="Q11" s="58">
        <f>SUMPRODUCT(($B$58:$B$70=$B11)*$J$58:$J$70)</f>
        <v>4</v>
      </c>
      <c r="R11" s="57">
        <f>SUMPRODUCT(($B$36:$B$93=$B$11)*$H$36:$H$93*($A$36:$A$93="Septembre"))</f>
        <v>1</v>
      </c>
      <c r="S11" s="57">
        <f>SUMPRODUCT(($B$36:$B$93=$B$11)*$H$36:$H$93*($A$36:$A$93="Octobre"))</f>
        <v>0</v>
      </c>
      <c r="T11" s="57">
        <f>SUMPRODUCT(($B$36:$B$93=$B11)*$H$36:$H$93*($A$36:$A$93="Novembre"))</f>
        <v>0</v>
      </c>
      <c r="U11" s="58">
        <f>SUMPRODUCT(($B$74:$B$93=$B11)*$H$74:$H$93)</f>
        <v>3</v>
      </c>
      <c r="V11" s="58">
        <f>SUMPRODUCT(($B$74:$B$93=$B11)*$J$74:$J$93)</f>
        <v>3</v>
      </c>
      <c r="W11" s="12">
        <f t="shared" si="0"/>
        <v>14.5</v>
      </c>
      <c r="X11" s="13">
        <f t="shared" si="1"/>
        <v>13.5</v>
      </c>
      <c r="Y11" s="14"/>
    </row>
    <row r="12" spans="1:25">
      <c r="A12" s="325"/>
      <c r="B12" s="55" t="s">
        <v>96</v>
      </c>
      <c r="C12" s="56">
        <f>SUMPRODUCT(($B$32:$B$93=$B12)*$H$32:$H$93*($A$32:$A$93="Décembre"))</f>
        <v>0</v>
      </c>
      <c r="D12" s="57">
        <f>SUMPRODUCT(($B$32:$B$93=$B12)*$H$32:$H$93*($A$32:$A$93="Janvier"))</f>
        <v>0</v>
      </c>
      <c r="E12" s="57">
        <f>SUMPRODUCT(($B$32:$B$93=$B12)*$H$32:$H$93*($A$32:$A$93="Février"))</f>
        <v>0</v>
      </c>
      <c r="F12" s="54">
        <f>SUMPRODUCT(($B$32:$B$38=$B12)*$H$32:$H$38)</f>
        <v>0</v>
      </c>
      <c r="G12" s="54">
        <f>SUMPRODUCT(($B$32:$B$38=$B12)*$J$32:$J$38)</f>
        <v>0</v>
      </c>
      <c r="H12" s="56">
        <f>SUMPRODUCT(($B$32:$B$93=$B12)*$H$32:$H$93*($A$32:$A$93="Mars"))</f>
        <v>0</v>
      </c>
      <c r="I12" s="57">
        <f>SUMPRODUCT(($B$32:$B$93=$B12)*$H$32:$H$93*($A$32:$A$93="Avril"))</f>
        <v>0</v>
      </c>
      <c r="J12" s="57">
        <f>SUMPRODUCT(($B$32:$B$93=$B12)*$H$32:$H$93*($A$32:$A$93="Mai"))</f>
        <v>0</v>
      </c>
      <c r="K12" s="58">
        <f>SUMPRODUCT(($B$42:$B$53=$B12)*$H$42:$H$53)</f>
        <v>0</v>
      </c>
      <c r="L12" s="58">
        <f>SUMPRODUCT(($B$42:$B$53=$B12)*$J$42:$J$53)</f>
        <v>0</v>
      </c>
      <c r="M12" s="57">
        <f>SUMPRODUCT(($B$36:$B$93=$B12)*$H$36:$H$93*($A$36:$A$93="juin"))</f>
        <v>0</v>
      </c>
      <c r="N12" s="57">
        <f>SUMPRODUCT(($B$36:$B$93=$B12)*$H$36:$H$93*($A$36:$A$93="juillet"))</f>
        <v>0</v>
      </c>
      <c r="O12" s="57">
        <f>SUMPRODUCT(($B$36:$B$93=$B12)*$H$36:$H$93*($A$36:$A$93="aout"))</f>
        <v>0</v>
      </c>
      <c r="P12" s="58">
        <f>SUMPRODUCT(($B$58:$B$70=$B12)*$H$58:$H$70)</f>
        <v>0</v>
      </c>
      <c r="Q12" s="58">
        <f>SUMPRODUCT(($B$58:$B$70=$B12)*$J$58:$J$70)</f>
        <v>0</v>
      </c>
      <c r="R12" s="57">
        <f>SUMPRODUCT(($B$36:$B$93=$B$12)*$H$36:$H$93*($A$36:$A$93="Septembre"))</f>
        <v>0</v>
      </c>
      <c r="S12" s="57">
        <f>SUMPRODUCT(($B$36:$B$93=$B$12)*$H$36:$H$93*($A$36:$A$93="Octobre"))</f>
        <v>0</v>
      </c>
      <c r="T12" s="57">
        <f>SUMPRODUCT(($B$36:$B$93=$B12)*$H$36:$H$93*($A$36:$A$93="Novembre"))</f>
        <v>0</v>
      </c>
      <c r="U12" s="58">
        <f>SUMPRODUCT(($B$74:$B$93=$B12)*$H$74:$H$93)</f>
        <v>0</v>
      </c>
      <c r="V12" s="58">
        <f>SUMPRODUCT(($B$74:$B$93=$B12)*$J$74:$J$93)</f>
        <v>0</v>
      </c>
      <c r="W12" s="12">
        <f t="shared" si="0"/>
        <v>0</v>
      </c>
      <c r="X12" s="13">
        <f t="shared" si="1"/>
        <v>0</v>
      </c>
      <c r="Y12" s="14"/>
    </row>
    <row r="13" spans="1:25">
      <c r="A13" s="325"/>
      <c r="B13" s="55" t="s">
        <v>33</v>
      </c>
      <c r="C13" s="56">
        <f>SUMPRODUCT(($B$32:$B$93=$B13)*$H$32:$H$93*($A$32:$A$93="Décembre"))</f>
        <v>0</v>
      </c>
      <c r="D13" s="57">
        <f>SUMPRODUCT(($B$32:$B$93=$B13)*$H$32:$H$93*($A$32:$A$93="Janvier"))</f>
        <v>0</v>
      </c>
      <c r="E13" s="57">
        <f>SUMPRODUCT(($B$32:$B$93=$B13)*$H$32:$H$93*($A$32:$A$93="Février"))</f>
        <v>0</v>
      </c>
      <c r="F13" s="54">
        <f>SUMPRODUCT(($B$32:$B$38=$B13)*$H$32:$H$38)</f>
        <v>0</v>
      </c>
      <c r="G13" s="54">
        <f>SUMPRODUCT(($B$32:$B$38=$B13)*$J$32:$J$38)</f>
        <v>0</v>
      </c>
      <c r="H13" s="56">
        <f>SUMPRODUCT(($B$32:$B$93=$B13)*$H$32:$H$93*($A$32:$A$93="Mars"))</f>
        <v>0</v>
      </c>
      <c r="I13" s="57">
        <f>SUMPRODUCT(($B$32:$B$93=$B13)*$H$32:$H$93*($A$32:$A$93="Avril"))</f>
        <v>0</v>
      </c>
      <c r="J13" s="57">
        <f>SUMPRODUCT(($B$32:$B$93=$B13)*$H$32:$H$93*($A$32:$A$93="Mai"))</f>
        <v>0</v>
      </c>
      <c r="K13" s="58">
        <f>SUMPRODUCT(($B$42:$B$53=$B13)*$H$42:$H$53)</f>
        <v>0</v>
      </c>
      <c r="L13" s="58">
        <f>SUMPRODUCT(($B$42:$B$53=$B13)*$J$42:$J$53)</f>
        <v>0</v>
      </c>
      <c r="M13" s="57">
        <f>SUMPRODUCT(($B$36:$B$93=$B13)*$H$36:$H$93*($A$36:$A$93="juin"))</f>
        <v>0</v>
      </c>
      <c r="N13" s="57">
        <f>SUMPRODUCT(($B$36:$B$93=$B13)*$H$36:$H$93*($A$36:$A$93="juillet"))</f>
        <v>0</v>
      </c>
      <c r="O13" s="57">
        <f>SUMPRODUCT(($B$36:$B$93=$B13)*$H$36:$H$93*($A$36:$A$93="aout"))</f>
        <v>0</v>
      </c>
      <c r="P13" s="58">
        <f>SUMPRODUCT(($B$58:$B$70=$B13)*$H$58:$H$70)</f>
        <v>0</v>
      </c>
      <c r="Q13" s="58">
        <f>SUMPRODUCT(($B$58:$B$70=$B13)*$J$58:$J$70)</f>
        <v>0</v>
      </c>
      <c r="R13" s="57">
        <f>SUMPRODUCT(($B$36:$B$93=$B$13)*$H$36:$H$93*($A$36:$A$93="Septembre"))</f>
        <v>0</v>
      </c>
      <c r="S13" s="57">
        <f>SUMPRODUCT(($B$36:$B$93=$B$13)*$H$36:$H$93*($A$36:$A$93="Octobre"))</f>
        <v>0</v>
      </c>
      <c r="T13" s="57">
        <f>SUMPRODUCT(($B$36:$B$93=$B13)*$H$36:$H$93*($A$36:$A$93="Novembre"))</f>
        <v>0</v>
      </c>
      <c r="U13" s="58">
        <f>SUMPRODUCT(($B$74:$B$93=$B13)*$H$74:$H$93)</f>
        <v>0</v>
      </c>
      <c r="V13" s="58">
        <f>SUMPRODUCT(($B$74:$B$93=$B13)*$J$74:$J$93)</f>
        <v>0</v>
      </c>
      <c r="W13" s="12">
        <f t="shared" si="0"/>
        <v>0</v>
      </c>
      <c r="X13" s="13">
        <f t="shared" si="1"/>
        <v>0</v>
      </c>
      <c r="Y13" s="14"/>
    </row>
    <row r="14" spans="1:25">
      <c r="A14" s="325"/>
      <c r="B14" s="55" t="s">
        <v>89</v>
      </c>
      <c r="C14" s="56">
        <f>SUMPRODUCT(($B$32:$B$93=$B14)*$H$32:$H$93*($A$32:$A$93="Décembre"))</f>
        <v>0</v>
      </c>
      <c r="D14" s="57">
        <f>SUMPRODUCT(($B$32:$B$93=$B14)*$H$32:$H$93*($A$32:$A$93="Janvier"))</f>
        <v>0</v>
      </c>
      <c r="E14" s="57">
        <f>SUMPRODUCT(($B$32:$B$93=$B14)*$H$32:$H$93*($A$32:$A$93="Février"))</f>
        <v>0</v>
      </c>
      <c r="F14" s="54">
        <f>SUMPRODUCT(($B$32:$B$38=$B14)*$H$32:$H$38)</f>
        <v>0</v>
      </c>
      <c r="G14" s="54">
        <f>SUMPRODUCT(($B$32:$B$38=$B14)*$J$32:$J$38)</f>
        <v>0</v>
      </c>
      <c r="H14" s="56">
        <f>SUMPRODUCT(($B$32:$B$93=$B14)*$H$32:$H$93*($A$32:$A$93="Mars"))</f>
        <v>0</v>
      </c>
      <c r="I14" s="57">
        <f>SUMPRODUCT(($B$32:$B$93=$B14)*$H$32:$H$93*($A$32:$A$93="Avril"))</f>
        <v>0</v>
      </c>
      <c r="J14" s="57">
        <f>SUMPRODUCT(($B$32:$B$93=$B14)*$H$32:$H$93*($A$32:$A$93="Mai"))</f>
        <v>0</v>
      </c>
      <c r="K14" s="58">
        <f>SUMPRODUCT(($B$42:$B$53=$B14)*$H$42:$H$53)</f>
        <v>0</v>
      </c>
      <c r="L14" s="58">
        <f>SUMPRODUCT(($B$42:$B$53=$B14)*$J$42:$J$53)</f>
        <v>0</v>
      </c>
      <c r="M14" s="57">
        <f>SUMPRODUCT(($B$36:$B$93=$B14)*$H$36:$H$93*($A$36:$A$93="juin"))</f>
        <v>0</v>
      </c>
      <c r="N14" s="57">
        <f>SUMPRODUCT(($B$36:$B$93=$B14)*$H$36:$H$93*($A$36:$A$93="juillet"))</f>
        <v>0</v>
      </c>
      <c r="O14" s="57">
        <f>SUMPRODUCT(($B$36:$B$93=$B14)*$H$36:$H$93*($A$36:$A$93="aout"))</f>
        <v>0</v>
      </c>
      <c r="P14" s="58">
        <f>SUMPRODUCT(($B$58:$B$70=$B14)*$H$58:$H$70)</f>
        <v>0</v>
      </c>
      <c r="Q14" s="58">
        <f>SUMPRODUCT(($B$58:$B$70=$B14)*$J$58:$J$70)</f>
        <v>0</v>
      </c>
      <c r="R14" s="57">
        <f>SUMPRODUCT(($B$36:$B$93=$B$14)*$H$36:$H$93*($A$36:$A$93="Septembre"))</f>
        <v>0</v>
      </c>
      <c r="S14" s="57">
        <f>SUMPRODUCT(($B$36:$B$93=$B$14)*$H$36:$H$93*($A$36:$A$93="Octobre"))</f>
        <v>0</v>
      </c>
      <c r="T14" s="57">
        <f>SUMPRODUCT(($B$36:$B$93=$B14)*$H$36:$H$93*($A$36:$A$93="Novembre"))</f>
        <v>0</v>
      </c>
      <c r="U14" s="58">
        <f>SUMPRODUCT(($B$74:$B$93=$B14)*$H$74:$H$93)</f>
        <v>0</v>
      </c>
      <c r="V14" s="58">
        <f>SUMPRODUCT(($B$74:$B$93=$B14)*$J$74:$J$93)</f>
        <v>0</v>
      </c>
      <c r="W14" s="12">
        <f t="shared" si="0"/>
        <v>0</v>
      </c>
      <c r="X14" s="13">
        <f t="shared" si="1"/>
        <v>0</v>
      </c>
      <c r="Y14" s="14"/>
    </row>
    <row r="15" spans="1:25">
      <c r="A15" s="325"/>
      <c r="B15" s="55" t="s">
        <v>77</v>
      </c>
      <c r="C15" s="56">
        <f>SUMPRODUCT(($B$32:$B$93=$B15)*$H$32:$H$93*($A$32:$A$93="Décembre"))</f>
        <v>0</v>
      </c>
      <c r="D15" s="57">
        <f>SUMPRODUCT(($B$32:$B$93=$B15)*$H$32:$H$93*($A$32:$A$93="Janvier"))</f>
        <v>0</v>
      </c>
      <c r="E15" s="57">
        <f>SUMPRODUCT(($B$32:$B$93=$B15)*$H$32:$H$93*($A$32:$A$93="Février"))</f>
        <v>0</v>
      </c>
      <c r="F15" s="54">
        <f>SUMPRODUCT(($B$32:$B$38=$B15)*$H$32:$H$38)</f>
        <v>0</v>
      </c>
      <c r="G15" s="54">
        <f>SUMPRODUCT(($B$32:$B$38=$B15)*$J$32:$J$38)</f>
        <v>0</v>
      </c>
      <c r="H15" s="56">
        <f>SUMPRODUCT(($B$32:$B$93=$B15)*$H$32:$H$93*($A$32:$A$93="Mars"))</f>
        <v>0</v>
      </c>
      <c r="I15" s="57">
        <f>SUMPRODUCT(($B$32:$B$93=$B15)*$H$32:$H$93*($A$32:$A$93="Avril"))</f>
        <v>0</v>
      </c>
      <c r="J15" s="57">
        <f>SUMPRODUCT(($B$32:$B$93=$B15)*$H$32:$H$93*($A$32:$A$93="Mai"))</f>
        <v>0</v>
      </c>
      <c r="K15" s="58">
        <f>SUMPRODUCT(($B$42:$B$53=$B15)*$H$42:$H$53)</f>
        <v>0</v>
      </c>
      <c r="L15" s="58">
        <f>SUMPRODUCT(($B$42:$B$53=$B15)*$J$42:$J$53)</f>
        <v>0</v>
      </c>
      <c r="M15" s="57">
        <f>SUMPRODUCT(($B$36:$B$93=$B15)*$H$36:$H$93*($A$36:$A$93="juin"))</f>
        <v>0</v>
      </c>
      <c r="N15" s="57">
        <f>SUMPRODUCT(($B$36:$B$93=$B15)*$H$36:$H$93*($A$36:$A$93="juillet"))</f>
        <v>0</v>
      </c>
      <c r="O15" s="57">
        <f>SUMPRODUCT(($B$36:$B$93=$B15)*$H$36:$H$93*($A$36:$A$93="aout"))</f>
        <v>0</v>
      </c>
      <c r="P15" s="58">
        <f>SUMPRODUCT(($B$58:$B$70=$B15)*$H$58:$H$70)</f>
        <v>0</v>
      </c>
      <c r="Q15" s="58">
        <f>SUMPRODUCT(($B$58:$B$70=$B15)*$J$58:$J$70)</f>
        <v>0</v>
      </c>
      <c r="R15" s="57">
        <f>SUMPRODUCT(($B$36:$B$93=$B$15)*$H$36:$H$93*($A$36:$A$93="Septembre"))</f>
        <v>0</v>
      </c>
      <c r="S15" s="57">
        <f>SUMPRODUCT(($B$36:$B$93=$B$15)*$H$36:$H$93*($A$36:$A$93="Octobre"))</f>
        <v>0</v>
      </c>
      <c r="T15" s="57">
        <f>SUMPRODUCT(($B$36:$B$93=$B15)*$H$36:$H$93*($A$36:$A$93="Novembre"))</f>
        <v>0</v>
      </c>
      <c r="U15" s="58">
        <f>SUMPRODUCT(($B$74:$B$93=$B15)*$H$74:$H$93)</f>
        <v>0.5</v>
      </c>
      <c r="V15" s="58">
        <f>SUMPRODUCT(($B$74:$B$93=$B15)*$J$74:$J$93)</f>
        <v>0.5</v>
      </c>
      <c r="W15" s="12">
        <f t="shared" si="0"/>
        <v>0.5</v>
      </c>
      <c r="X15" s="13">
        <f t="shared" si="1"/>
        <v>0.5</v>
      </c>
      <c r="Y15" s="14"/>
    </row>
    <row r="16" spans="1:25">
      <c r="A16" s="325"/>
      <c r="B16" s="55" t="s">
        <v>32</v>
      </c>
      <c r="C16" s="56">
        <f>SUMPRODUCT(($B$32:$B$93=$B16)*$H$32:$H$93*($A$32:$A$93="Décembre"))</f>
        <v>0</v>
      </c>
      <c r="D16" s="57">
        <f>SUMPRODUCT(($B$32:$B$93=$B16)*$H$32:$H$93*($A$32:$A$93="Janvier"))</f>
        <v>0</v>
      </c>
      <c r="E16" s="57">
        <f>SUMPRODUCT(($B$32:$B$93=$B16)*$H$32:$H$93*($A$32:$A$93="Février"))</f>
        <v>0</v>
      </c>
      <c r="F16" s="54">
        <f>SUMPRODUCT(($B$32:$B$38=$B16)*$H$32:$H$38)</f>
        <v>0</v>
      </c>
      <c r="G16" s="54">
        <f>SUMPRODUCT(($B$32:$B$38=$B16)*$J$32:$J$38)</f>
        <v>0</v>
      </c>
      <c r="H16" s="56">
        <f>SUMPRODUCT(($B$32:$B$93=$B16)*$H$32:$H$93*($A$32:$A$93="Mars"))</f>
        <v>0</v>
      </c>
      <c r="I16" s="57">
        <f>SUMPRODUCT(($B$32:$B$93=$B16)*$H$32:$H$93*($A$32:$A$93="Avril"))</f>
        <v>0</v>
      </c>
      <c r="J16" s="57">
        <f>SUMPRODUCT(($B$32:$B$93=$B16)*$H$32:$H$93*($A$32:$A$93="Mai"))</f>
        <v>0</v>
      </c>
      <c r="K16" s="58">
        <f>SUMPRODUCT(($B$42:$B$53=$B16)*$H$42:$H$53)</f>
        <v>0</v>
      </c>
      <c r="L16" s="58">
        <f>SUMPRODUCT(($B$42:$B$53=$B16)*$J$42:$J$53)</f>
        <v>0</v>
      </c>
      <c r="M16" s="57">
        <f>SUMPRODUCT(($B$36:$B$93=$B16)*$H$36:$H$93*($A$36:$A$93="juin"))</f>
        <v>0</v>
      </c>
      <c r="N16" s="57">
        <f>SUMPRODUCT(($B$36:$B$93=$B16)*$H$36:$H$93*($A$36:$A$93="juillet"))</f>
        <v>0</v>
      </c>
      <c r="O16" s="57">
        <f>SUMPRODUCT(($B$36:$B$93=$B16)*$H$36:$H$93*($A$36:$A$93="aout"))</f>
        <v>0</v>
      </c>
      <c r="P16" s="58">
        <f>SUMPRODUCT(($B$58:$B$70=$B16)*$H$58:$H$70)</f>
        <v>0</v>
      </c>
      <c r="Q16" s="58">
        <f>SUMPRODUCT(($B$58:$B$70=$B16)*$J$58:$J$70)</f>
        <v>0</v>
      </c>
      <c r="R16" s="57">
        <f>SUMPRODUCT(($B$36:$B$93=$B$16)*$H$36:$H$93*($A$36:$A$93="Septembre"))</f>
        <v>0</v>
      </c>
      <c r="S16" s="57">
        <f>SUMPRODUCT(($B$36:$B$93=$B$16)*$H$36:$H$93*($A$36:$A$93="Octobre"))</f>
        <v>0</v>
      </c>
      <c r="T16" s="57">
        <f>SUMPRODUCT(($B$36:$B$93=$B16)*$H$36:$H$93*($A$36:$A$93="Novembre"))</f>
        <v>0</v>
      </c>
      <c r="U16" s="58">
        <f>SUMPRODUCT(($B$74:$B$93=$B16)*$H$74:$H$93)</f>
        <v>1</v>
      </c>
      <c r="V16" s="58">
        <f>SUMPRODUCT(($B$74:$B$93=$B16)*$J$74:$J$93)</f>
        <v>1</v>
      </c>
      <c r="W16" s="12">
        <f t="shared" si="0"/>
        <v>1</v>
      </c>
      <c r="X16" s="13">
        <f t="shared" si="1"/>
        <v>1</v>
      </c>
      <c r="Y16" s="14"/>
    </row>
    <row r="17" spans="1:27">
      <c r="A17" s="325"/>
      <c r="B17" s="55" t="s">
        <v>23</v>
      </c>
      <c r="C17" s="56">
        <f>SUMPRODUCT(($B$32:$B$93=$B17)*$H$32:$H$93*($A$32:$A$93="Décembre"))</f>
        <v>0</v>
      </c>
      <c r="D17" s="57">
        <f>SUMPRODUCT(($B$32:$B$93=$B17)*$H$32:$H$93*($A$32:$A$93="Janvier"))</f>
        <v>0</v>
      </c>
      <c r="E17" s="57">
        <f>SUMPRODUCT(($B$32:$B$93=$B17)*$H$32:$H$93*($A$32:$A$93="Février"))</f>
        <v>0</v>
      </c>
      <c r="F17" s="54">
        <f>SUMPRODUCT(($B$32:$B$38=$B17)*$H$32:$H$38)</f>
        <v>0</v>
      </c>
      <c r="G17" s="54">
        <f>SUMPRODUCT(($B$32:$B$38=$B17)*$J$32:$J$38)</f>
        <v>0</v>
      </c>
      <c r="H17" s="56">
        <f>SUMPRODUCT(($B$32:$B$93=$B17)*$H$32:$H$93*($A$32:$A$93="Mars"))</f>
        <v>0</v>
      </c>
      <c r="I17" s="57">
        <f>SUMPRODUCT(($B$32:$B$93=$B17)*$H$32:$H$93*($A$32:$A$93="Avril"))</f>
        <v>0</v>
      </c>
      <c r="J17" s="57">
        <f>SUMPRODUCT(($B$32:$B$93=$B17)*$H$32:$H$93*($A$32:$A$93="Mai"))</f>
        <v>0</v>
      </c>
      <c r="K17" s="58">
        <f>SUMPRODUCT(($B$42:$B$53=$B17)*$H$42:$H$53)</f>
        <v>0</v>
      </c>
      <c r="L17" s="58">
        <f>SUMPRODUCT(($B$42:$B$53=$B17)*$J$42:$J$53)</f>
        <v>0</v>
      </c>
      <c r="M17" s="57">
        <f>SUMPRODUCT(($B$36:$B$93=$B17)*$H$36:$H$93*($A$36:$A$93="juin"))</f>
        <v>0</v>
      </c>
      <c r="N17" s="57">
        <f>SUMPRODUCT(($B$36:$B$93=$B17)*$H$36:$H$93*($A$36:$A$93="juillet"))</f>
        <v>0</v>
      </c>
      <c r="O17" s="57">
        <f>SUMPRODUCT(($B$36:$B$93=$B17)*$H$36:$H$93*($A$36:$A$93="aout"))</f>
        <v>0</v>
      </c>
      <c r="P17" s="58">
        <f>SUMPRODUCT(($B$58:$B$70=$B17)*$H$58:$H$70)</f>
        <v>0</v>
      </c>
      <c r="Q17" s="58">
        <f>SUMPRODUCT(($B$58:$B$70=$B17)*$J$58:$J$70)</f>
        <v>0</v>
      </c>
      <c r="R17" s="57">
        <f>SUMPRODUCT(($B$36:$B$93=$B$17)*$H$36:$H$93*($A$36:$A$93="Septembre"))</f>
        <v>0</v>
      </c>
      <c r="S17" s="57">
        <f>SUMPRODUCT(($B$36:$B$93=$B$17)*$H$36:$H$93*($A$36:$A$93="Octobre"))</f>
        <v>0</v>
      </c>
      <c r="T17" s="57">
        <f>SUMPRODUCT(($B$36:$B$93=$B17)*$H$36:$H$93*($A$36:$A$93="Novembre"))</f>
        <v>0</v>
      </c>
      <c r="U17" s="58">
        <f>SUMPRODUCT(($B$74:$B$93=$B17)*$H$74:$H$93)</f>
        <v>0</v>
      </c>
      <c r="V17" s="58">
        <f>SUMPRODUCT(($B$74:$B$93=$B17)*$J$74:$J$93)</f>
        <v>0</v>
      </c>
      <c r="W17" s="12">
        <f t="shared" si="0"/>
        <v>0</v>
      </c>
      <c r="X17" s="13">
        <f t="shared" si="1"/>
        <v>0</v>
      </c>
      <c r="Y17" s="14"/>
    </row>
    <row r="18" spans="1:27">
      <c r="A18" s="325"/>
      <c r="B18" s="55" t="s">
        <v>24</v>
      </c>
      <c r="C18" s="56">
        <f>SUMPRODUCT(($B$32:$B$93=$B18)*$H$32:$H$93*($A$32:$A$93="Décembre"))</f>
        <v>0</v>
      </c>
      <c r="D18" s="57">
        <f>SUMPRODUCT(($B$32:$B$93=$B18)*$H$32:$H$93*($A$32:$A$93="Janvier"))</f>
        <v>0</v>
      </c>
      <c r="E18" s="57">
        <f>SUMPRODUCT(($B$32:$B$93=$B18)*$H$32:$H$93*($A$32:$A$93="Février"))</f>
        <v>0</v>
      </c>
      <c r="F18" s="54">
        <f>SUMPRODUCT(($B$32:$B$38=$B18)*$H$32:$H$38)</f>
        <v>0</v>
      </c>
      <c r="G18" s="54">
        <f>SUMPRODUCT(($B$32:$B$38=$B18)*$J$32:$J$38)</f>
        <v>0</v>
      </c>
      <c r="H18" s="56">
        <f>SUMPRODUCT(($B$32:$B$93=$B18)*$H$32:$H$93*($A$32:$A$93="Mars"))</f>
        <v>0</v>
      </c>
      <c r="I18" s="57">
        <f>SUMPRODUCT(($B$32:$B$93=$B18)*$H$32:$H$93*($A$32:$A$93="Avril"))</f>
        <v>0</v>
      </c>
      <c r="J18" s="57">
        <f>SUMPRODUCT(($B$32:$B$93=$B18)*$H$32:$H$93*($A$32:$A$93="Mai"))</f>
        <v>0</v>
      </c>
      <c r="K18" s="58">
        <f>SUMPRODUCT(($B$42:$B$53=$B18)*$H$42:$H$53)</f>
        <v>0</v>
      </c>
      <c r="L18" s="58">
        <f>SUMPRODUCT(($B$42:$B$53=$B18)*$J$42:$J$53)</f>
        <v>0</v>
      </c>
      <c r="M18" s="57">
        <f>SUMPRODUCT(($B$36:$B$93=$B18)*$H$36:$H$93*($A$36:$A$93="juin"))</f>
        <v>0</v>
      </c>
      <c r="N18" s="57">
        <f>SUMPRODUCT(($B$36:$B$93=$B18)*$H$36:$H$93*($A$36:$A$93="juillet"))</f>
        <v>0</v>
      </c>
      <c r="O18" s="57">
        <f>SUMPRODUCT(($B$36:$B$93=$B18)*$H$36:$H$93*($A$36:$A$93="aout"))</f>
        <v>0</v>
      </c>
      <c r="P18" s="58">
        <f>SUMPRODUCT(($B$58:$B$70=$B18)*$H$58:$H$70)</f>
        <v>0</v>
      </c>
      <c r="Q18" s="58">
        <f>SUMPRODUCT(($B$58:$B$70=$B18)*$J$58:$J$70)</f>
        <v>0</v>
      </c>
      <c r="R18" s="57">
        <f>SUMPRODUCT(($B$36:$B$93=$B$18)*$H$36:$H$93*($A$36:$A$93="Septembre"))</f>
        <v>0</v>
      </c>
      <c r="S18" s="57">
        <f>SUMPRODUCT(($B$36:$B$93=$B$18)*$H$36:$H$93*($A$36:$A$93="Octobre"))</f>
        <v>0</v>
      </c>
      <c r="T18" s="57">
        <f>SUMPRODUCT(($B$36:$B$93=$B18)*$H$36:$H$93*($A$36:$A$93="Novembre"))</f>
        <v>0</v>
      </c>
      <c r="U18" s="58">
        <f>SUMPRODUCT(($B$74:$B$93=$B18)*$H$74:$H$93)</f>
        <v>0</v>
      </c>
      <c r="V18" s="58">
        <f>SUMPRODUCT(($B$74:$B$93=$B18)*$J$74:$J$93)</f>
        <v>0</v>
      </c>
      <c r="W18" s="12">
        <f t="shared" si="0"/>
        <v>0</v>
      </c>
      <c r="X18" s="13">
        <f t="shared" si="1"/>
        <v>0</v>
      </c>
      <c r="Y18" s="14"/>
    </row>
    <row r="19" spans="1:27">
      <c r="A19" s="325"/>
      <c r="B19" s="55" t="s">
        <v>70</v>
      </c>
      <c r="C19" s="56">
        <f>SUMPRODUCT(($B$32:$B$93=$B19)*$H$32:$H$93*($A$32:$A$93="Décembre"))</f>
        <v>0</v>
      </c>
      <c r="D19" s="57">
        <f>SUMPRODUCT(($B$32:$B$93=$B19)*$H$32:$H$93*($A$32:$A$93="Janvier"))</f>
        <v>0</v>
      </c>
      <c r="E19" s="57">
        <f>SUMPRODUCT(($B$32:$B$93=$B19)*$H$32:$H$93*($A$32:$A$93="Février"))</f>
        <v>0</v>
      </c>
      <c r="F19" s="54">
        <f>SUMPRODUCT(($B$32:$B$38=$B19)*$H$32:$H$38)</f>
        <v>0</v>
      </c>
      <c r="G19" s="54">
        <f>SUMPRODUCT(($B$32:$B$38=$B19)*$J$32:$J$38)</f>
        <v>0</v>
      </c>
      <c r="H19" s="56">
        <f>SUMPRODUCT(($B$32:$B$93=$B19)*$H$32:$H$93*($A$32:$A$93="Mars"))</f>
        <v>0</v>
      </c>
      <c r="I19" s="57">
        <f>SUMPRODUCT(($B$32:$B$93=$B19)*$H$32:$H$93*($A$32:$A$93="Avril"))</f>
        <v>0</v>
      </c>
      <c r="J19" s="57">
        <f>SUMPRODUCT(($B$32:$B$93=$B19)*$H$32:$H$93*($A$32:$A$93="Mai"))</f>
        <v>0</v>
      </c>
      <c r="K19" s="58">
        <f>SUMPRODUCT(($B$42:$B$53=$B19)*$H$42:$H$53)</f>
        <v>0</v>
      </c>
      <c r="L19" s="58">
        <f>SUMPRODUCT(($B$42:$B$53=$B19)*$J$42:$J$53)</f>
        <v>0</v>
      </c>
      <c r="M19" s="57">
        <f>SUMPRODUCT(($B$36:$B$93=$B19)*$H$36:$H$93*($A$36:$A$93="juin"))</f>
        <v>0</v>
      </c>
      <c r="N19" s="57">
        <f>SUMPRODUCT(($B$36:$B$93=$B19)*$H$36:$H$93*($A$36:$A$93="juillet"))</f>
        <v>0</v>
      </c>
      <c r="O19" s="57">
        <f>SUMPRODUCT(($B$36:$B$93=$B19)*$H$36:$H$93*($A$36:$A$93="aout"))</f>
        <v>0</v>
      </c>
      <c r="P19" s="58">
        <f>SUMPRODUCT(($B$58:$B$70=$B19)*$H$58:$H$70)</f>
        <v>0</v>
      </c>
      <c r="Q19" s="58">
        <f>SUMPRODUCT(($B$58:$B$70=$B19)*$J$58:$J$70)</f>
        <v>0</v>
      </c>
      <c r="R19" s="57">
        <f>SUMPRODUCT(($B$36:$B$93=$B$18)*$H$36:$H$93*($A$36:$A$93="Septembre"))</f>
        <v>0</v>
      </c>
      <c r="S19" s="57">
        <f>SUMPRODUCT(($B$36:$B$93=$B$18)*$H$36:$H$93*($A$36:$A$93="Octobre"))</f>
        <v>0</v>
      </c>
      <c r="T19" s="57">
        <f>SUMPRODUCT(($B$36:$B$93=$B19)*$H$36:$H$93*($A$36:$A$93="Novembre"))</f>
        <v>0</v>
      </c>
      <c r="U19" s="58">
        <f>SUMPRODUCT(($B$74:$B$93=$B19)*$H$74:$H$93)</f>
        <v>0</v>
      </c>
      <c r="V19" s="58">
        <f>SUMPRODUCT(($B$74:$B$93=$B19)*$J$74:$J$93)</f>
        <v>0</v>
      </c>
      <c r="W19" s="12">
        <f t="shared" si="0"/>
        <v>0</v>
      </c>
      <c r="X19" s="13">
        <f t="shared" si="1"/>
        <v>0</v>
      </c>
      <c r="Y19" s="14"/>
    </row>
    <row r="20" spans="1:27">
      <c r="A20" s="325"/>
      <c r="B20" s="55" t="s">
        <v>36</v>
      </c>
      <c r="C20" s="56">
        <f>SUMPRODUCT(($B$32:$B$93=$B20)*$H$32:$H$93*($A$32:$A$93="Décembre"))</f>
        <v>0</v>
      </c>
      <c r="D20" s="57">
        <f>SUMPRODUCT(($B$32:$B$93=$B20)*$H$32:$H$93*($A$32:$A$93="Janvier"))</f>
        <v>0</v>
      </c>
      <c r="E20" s="57">
        <f>SUMPRODUCT(($B$32:$B$93=$B20)*$H$32:$H$93*($A$32:$A$93="Février"))</f>
        <v>0</v>
      </c>
      <c r="F20" s="54">
        <f>SUMPRODUCT(($B$32:$B$38=$B20)*$H$32:$H$38)</f>
        <v>0</v>
      </c>
      <c r="G20" s="54">
        <f>SUMPRODUCT(($B$32:$B$38=$B20)*$J$32:$J$38)</f>
        <v>0</v>
      </c>
      <c r="H20" s="56">
        <f>SUMPRODUCT(($B$32:$B$93=$B20)*$H$32:$H$93*($A$32:$A$93="Mars"))</f>
        <v>0</v>
      </c>
      <c r="I20" s="57">
        <f>SUMPRODUCT(($B$32:$B$93=$B20)*$H$32:$H$93*($A$32:$A$93="Avril"))</f>
        <v>0</v>
      </c>
      <c r="J20" s="57">
        <f>SUMPRODUCT(($B$32:$B$93=$B20)*$H$32:$H$93*($A$32:$A$93="Mai"))</f>
        <v>0</v>
      </c>
      <c r="K20" s="58">
        <f>SUMPRODUCT(($B$42:$B$53=$B20)*$H$42:$H$53)</f>
        <v>0</v>
      </c>
      <c r="L20" s="58">
        <f>SUMPRODUCT(($B$42:$B$53=$B20)*$J$42:$J$53)</f>
        <v>0</v>
      </c>
      <c r="M20" s="57">
        <f>SUMPRODUCT(($B$36:$B$93=$B20)*$H$36:$H$93*($A$36:$A$93="juin"))</f>
        <v>0</v>
      </c>
      <c r="N20" s="57">
        <f>SUMPRODUCT(($B$36:$B$93=$B20)*$H$36:$H$93*($A$36:$A$93="juillet"))</f>
        <v>0</v>
      </c>
      <c r="O20" s="57">
        <f>SUMPRODUCT(($B$36:$B$93=$B20)*$H$36:$H$93*($A$36:$A$93="aout"))</f>
        <v>0</v>
      </c>
      <c r="P20" s="58">
        <f>SUMPRODUCT(($B$58:$B$70=$B20)*$H$58:$H$70)</f>
        <v>0</v>
      </c>
      <c r="Q20" s="58">
        <f>SUMPRODUCT(($B$58:$B$70=$B20)*$J$58:$J$70)</f>
        <v>0</v>
      </c>
      <c r="R20" s="57">
        <f>SUMPRODUCT(($B$36:$B$93=$B$20)*$H$36:$H$93*($A$36:$A$93="Septembre"))</f>
        <v>0</v>
      </c>
      <c r="S20" s="57">
        <f>SUMPRODUCT(($B$36:$B$93=$B$20)*$H$36:$H$93*($A$36:$A$93="Octobre"))</f>
        <v>0</v>
      </c>
      <c r="T20" s="57">
        <f>SUMPRODUCT(($B$36:$B$93=$B20)*$H$36:$H$93*($A$36:$A$93="Novembre"))</f>
        <v>0</v>
      </c>
      <c r="U20" s="58">
        <f>SUMPRODUCT(($B$74:$B$93=$B20)*$H$74:$H$93)</f>
        <v>0</v>
      </c>
      <c r="V20" s="58">
        <f>SUMPRODUCT(($B$74:$B$93=$B20)*$J$74:$J$93)</f>
        <v>0</v>
      </c>
      <c r="W20" s="12">
        <f t="shared" si="0"/>
        <v>0</v>
      </c>
      <c r="X20" s="13">
        <f t="shared" si="1"/>
        <v>0</v>
      </c>
      <c r="Y20" s="14"/>
    </row>
    <row r="21" spans="1:27">
      <c r="A21" s="325"/>
      <c r="B21" s="55" t="s">
        <v>25</v>
      </c>
      <c r="C21" s="56">
        <f>SUMPRODUCT(($B$32:$B$93=$B21)*$H$32:$H$93*($A$32:$A$93="Décembre"))</f>
        <v>0</v>
      </c>
      <c r="D21" s="57">
        <f>SUMPRODUCT(($B$32:$B$93=$B21)*$H$32:$H$93*($A$32:$A$93="Janvier"))</f>
        <v>0</v>
      </c>
      <c r="E21" s="57">
        <f>SUMPRODUCT(($B$32:$B$93=$B21)*$H$32:$H$93*($A$32:$A$93="Février"))</f>
        <v>0</v>
      </c>
      <c r="F21" s="54">
        <f>SUMPRODUCT(($B$32:$B$38=$B21)*$H$32:$H$38)</f>
        <v>0</v>
      </c>
      <c r="G21" s="54">
        <f>SUMPRODUCT(($B$32:$B$38=$B21)*$J$32:$J$38)</f>
        <v>0</v>
      </c>
      <c r="H21" s="56">
        <f>SUMPRODUCT(($B$32:$B$93=$B21)*$H$32:$H$93*($A$32:$A$93="Mars"))</f>
        <v>0</v>
      </c>
      <c r="I21" s="57">
        <f>SUMPRODUCT(($B$32:$B$93=$B21)*$H$32:$H$93*($A$32:$A$93="Avril"))</f>
        <v>0</v>
      </c>
      <c r="J21" s="57">
        <f>SUMPRODUCT(($B$32:$B$93=$B21)*$H$32:$H$93*($A$32:$A$93="Mai"))</f>
        <v>0</v>
      </c>
      <c r="K21" s="58">
        <f>SUMPRODUCT(($B$42:$B$53=$B21)*$H$42:$H$53)</f>
        <v>0</v>
      </c>
      <c r="L21" s="58">
        <f>SUMPRODUCT(($B$42:$B$53=$B21)*$J$42:$J$53)</f>
        <v>0</v>
      </c>
      <c r="M21" s="57">
        <f>SUMPRODUCT(($B$36:$B$93=$B21)*$H$36:$H$93*($A$36:$A$93="juin"))</f>
        <v>0</v>
      </c>
      <c r="N21" s="57">
        <f>SUMPRODUCT(($B$36:$B$93=$B21)*$H$36:$H$93*($A$36:$A$93="juillet"))</f>
        <v>0</v>
      </c>
      <c r="O21" s="57">
        <f>SUMPRODUCT(($B$36:$B$93=$B21)*$H$36:$H$93*($A$36:$A$93="aout"))</f>
        <v>0</v>
      </c>
      <c r="P21" s="58">
        <f>SUMPRODUCT(($B$58:$B$70=$B21)*$H$58:$H$70)</f>
        <v>0</v>
      </c>
      <c r="Q21" s="58">
        <f>SUMPRODUCT(($B$58:$B$70=$B21)*$J$58:$J$70)</f>
        <v>0</v>
      </c>
      <c r="R21" s="57">
        <f>SUMPRODUCT(($B$36:$B$93=$B$21)*$H$36:$H$93*($A$36:$A$93="Septembre"))</f>
        <v>0</v>
      </c>
      <c r="S21" s="57">
        <f>SUMPRODUCT(($B$36:$B$93=$B$21)*$H$36:$H$93*($A$36:$A$93="Octobre"))</f>
        <v>0</v>
      </c>
      <c r="T21" s="57">
        <f>SUMPRODUCT(($B$36:$B$93=$B21)*$H$36:$H$93*($A$36:$A$93="Novembre"))</f>
        <v>0</v>
      </c>
      <c r="U21" s="58">
        <f>SUMPRODUCT(($B$74:$B$93=$B21)*$H$74:$H$93)</f>
        <v>0</v>
      </c>
      <c r="V21" s="58">
        <f>SUMPRODUCT(($B$74:$B$93=$B21)*$J$74:$J$93)</f>
        <v>0</v>
      </c>
      <c r="W21" s="12">
        <f t="shared" si="0"/>
        <v>0</v>
      </c>
      <c r="X21" s="13">
        <f t="shared" si="1"/>
        <v>0</v>
      </c>
      <c r="Y21" s="14"/>
    </row>
    <row r="22" spans="1:27">
      <c r="A22" s="325"/>
      <c r="B22" s="55" t="s">
        <v>34</v>
      </c>
      <c r="C22" s="56">
        <f>SUMPRODUCT(($B$32:$B$93=$B22)*$H$32:$H$93*($A$32:$A$93="Décembre"))</f>
        <v>0</v>
      </c>
      <c r="D22" s="57">
        <f>SUMPRODUCT(($B$32:$B$93=$B22)*$H$32:$H$93*($A$32:$A$93="Janvier"))</f>
        <v>0</v>
      </c>
      <c r="E22" s="57">
        <f>SUMPRODUCT(($B$32:$B$93=$B22)*$H$32:$H$93*($A$32:$A$93="Février"))</f>
        <v>0</v>
      </c>
      <c r="F22" s="54">
        <f>SUMPRODUCT(($B$32:$B$38=$B22)*$H$32:$H$38)</f>
        <v>0</v>
      </c>
      <c r="G22" s="54">
        <f>SUMPRODUCT(($B$32:$B$38=$B22)*$J$32:$J$38)</f>
        <v>0</v>
      </c>
      <c r="H22" s="56">
        <f>SUMPRODUCT(($B$32:$B$93=$B22)*$H$32:$H$93*($A$32:$A$93="Mars"))</f>
        <v>0</v>
      </c>
      <c r="I22" s="57">
        <f>SUMPRODUCT(($B$32:$B$93=$B22)*$H$32:$H$93*($A$32:$A$93="Avril"))</f>
        <v>0</v>
      </c>
      <c r="J22" s="57">
        <f>SUMPRODUCT(($B$32:$B$93=$B22)*$H$32:$H$93*($A$32:$A$93="Mai"))</f>
        <v>1</v>
      </c>
      <c r="K22" s="58">
        <f>SUMPRODUCT(($B$42:$B$53=$B22)*$H$42:$H$53)</f>
        <v>4</v>
      </c>
      <c r="L22" s="58">
        <f>SUMPRODUCT(($B$42:$B$53=$B22)*$J$42:$J$53)</f>
        <v>3</v>
      </c>
      <c r="M22" s="57">
        <f>SUMPRODUCT(($B$36:$B$93=$B22)*$H$36:$H$93*($A$36:$A$93="juin"))</f>
        <v>0</v>
      </c>
      <c r="N22" s="57">
        <f>SUMPRODUCT(($B$36:$B$93=$B22)*$H$36:$H$93*($A$36:$A$93="juillet"))</f>
        <v>0</v>
      </c>
      <c r="O22" s="57">
        <f>SUMPRODUCT(($B$36:$B$93=$B22)*$H$36:$H$93*($A$36:$A$93="aout"))</f>
        <v>0</v>
      </c>
      <c r="P22" s="58">
        <f>SUMPRODUCT(($B$58:$B$70=$B22)*$H$58:$H$70)</f>
        <v>0</v>
      </c>
      <c r="Q22" s="58">
        <f>SUMPRODUCT(($B$58:$B$70=$B22)*$J$58:$J$70)</f>
        <v>0</v>
      </c>
      <c r="R22" s="57">
        <f>SUMPRODUCT(($B$36:$B$93=$B$22)*$H$36:$H$93*($A$36:$A$93="Septembre"))</f>
        <v>0</v>
      </c>
      <c r="S22" s="57">
        <f>SUMPRODUCT(($B$36:$B$93=$B$22)*$H$36:$H$93*($A$36:$A$93="Octobre"))</f>
        <v>0</v>
      </c>
      <c r="T22" s="57">
        <f>SUMPRODUCT(($B$36:$B$93=$B22)*$H$36:$H$93*($A$36:$A$93="Novembre"))</f>
        <v>0</v>
      </c>
      <c r="U22" s="58">
        <f>SUMPRODUCT(($B$74:$B$93=$B22)*$H$74:$H$93)</f>
        <v>0</v>
      </c>
      <c r="V22" s="58">
        <f>SUMPRODUCT(($B$74:$B$93=$B22)*$J$74:$J$93)</f>
        <v>0</v>
      </c>
      <c r="W22" s="12">
        <f t="shared" si="0"/>
        <v>4</v>
      </c>
      <c r="X22" s="13">
        <f t="shared" si="1"/>
        <v>3</v>
      </c>
      <c r="Y22" s="14"/>
    </row>
    <row r="23" spans="1:27">
      <c r="A23" s="325"/>
      <c r="B23" s="55" t="s">
        <v>76</v>
      </c>
      <c r="C23" s="56">
        <f>SUMPRODUCT(($B$32:$B$93=$B23)*$H$32:$H$93*($A$32:$A$93="Décembre"))</f>
        <v>0</v>
      </c>
      <c r="D23" s="57">
        <f>SUMPRODUCT(($B$32:$B$93=$B23)*$H$32:$H$93*($A$32:$A$93="Janvier"))</f>
        <v>0</v>
      </c>
      <c r="E23" s="57">
        <f>SUMPRODUCT(($B$32:$B$93=$B23)*$H$32:$H$93*($A$32:$A$93="Février"))</f>
        <v>0</v>
      </c>
      <c r="F23" s="54">
        <f>SUMPRODUCT(($B$32:$B$38=$B23)*$H$32:$H$38)</f>
        <v>0</v>
      </c>
      <c r="G23" s="54">
        <f>SUMPRODUCT(($B$32:$B$38=$B23)*$J$32:$J$38)</f>
        <v>0</v>
      </c>
      <c r="H23" s="56">
        <f>SUMPRODUCT(($B$32:$B$93=$B23)*$H$32:$H$93*($A$32:$A$93="Mars"))</f>
        <v>0</v>
      </c>
      <c r="I23" s="57">
        <f>SUMPRODUCT(($B$32:$B$93=$B23)*$H$32:$H$93*($A$32:$A$93="Avril"))</f>
        <v>0</v>
      </c>
      <c r="J23" s="57">
        <f>SUMPRODUCT(($B$32:$B$93=$B23)*$H$32:$H$93*($A$32:$A$93="Mai"))</f>
        <v>0</v>
      </c>
      <c r="K23" s="58">
        <f>SUMPRODUCT(($B$42:$B$53=$B23)*$H$42:$H$53)</f>
        <v>0</v>
      </c>
      <c r="L23" s="58">
        <f>SUMPRODUCT(($B$42:$B$53=$B23)*$J$42:$J$53)</f>
        <v>0</v>
      </c>
      <c r="M23" s="57">
        <f>SUMPRODUCT(($B$36:$B$93=$B23)*$H$36:$H$93*($A$36:$A$93="juin"))</f>
        <v>0</v>
      </c>
      <c r="N23" s="57">
        <f>SUMPRODUCT(($B$36:$B$93=$B23)*$H$36:$H$93*($A$36:$A$93="juillet"))</f>
        <v>0</v>
      </c>
      <c r="O23" s="57">
        <f>SUMPRODUCT(($B$36:$B$93=$B23)*$H$36:$H$93*($A$36:$A$93="aout"))</f>
        <v>0</v>
      </c>
      <c r="P23" s="58">
        <f>SUMPRODUCT(($B$58:$B$70=$B23)*$H$58:$H$70)</f>
        <v>2</v>
      </c>
      <c r="Q23" s="58">
        <f>SUMPRODUCT(($B$58:$B$70=$B23)*$J$58:$J$70)</f>
        <v>2</v>
      </c>
      <c r="R23" s="57">
        <f>SUMPRODUCT(($B$36:$B$93=$B$23)*$H$36:$H$93*($A$36:$A$93="Septembre"))</f>
        <v>0</v>
      </c>
      <c r="S23" s="57">
        <f>SUMPRODUCT(($B$36:$B$93=$B$23)*$H$36:$H$93*($A$36:$A$93="Octobre"))</f>
        <v>0</v>
      </c>
      <c r="T23" s="57">
        <f>SUMPRODUCT(($B$36:$B$93=$B23)*$H$36:$H$93*($A$36:$A$93="Novembre"))</f>
        <v>0</v>
      </c>
      <c r="U23" s="58">
        <f>SUMPRODUCT(($B$74:$B$93=$B23)*$H$74:$H$93)</f>
        <v>2.5</v>
      </c>
      <c r="V23" s="58">
        <f>SUMPRODUCT(($B$74:$B$93=$B23)*$J$74:$J$93)</f>
        <v>2.5</v>
      </c>
      <c r="W23" s="12">
        <f t="shared" si="0"/>
        <v>4.5</v>
      </c>
      <c r="X23" s="13">
        <f t="shared" si="1"/>
        <v>4.5</v>
      </c>
      <c r="Y23" s="14"/>
    </row>
    <row r="24" spans="1:27">
      <c r="A24" s="325"/>
      <c r="B24" s="55" t="s">
        <v>74</v>
      </c>
      <c r="C24" s="56">
        <f>SUMPRODUCT(($B$32:$B$93=$B24)*$H$32:$H$93*($A$32:$A$93="Décembre"))</f>
        <v>0</v>
      </c>
      <c r="D24" s="57">
        <f>SUMPRODUCT(($B$32:$B$93=$B24)*$H$32:$H$93*($A$32:$A$93="Janvier"))</f>
        <v>0</v>
      </c>
      <c r="E24" s="57">
        <f>SUMPRODUCT(($B$32:$B$93=$B24)*$H$32:$H$93*($A$32:$A$93="Février"))</f>
        <v>0</v>
      </c>
      <c r="F24" s="54">
        <f>SUMPRODUCT(($B$32:$B$38=$B24)*$H$32:$H$38)</f>
        <v>0</v>
      </c>
      <c r="G24" s="54">
        <f>SUMPRODUCT(($B$32:$B$38=$B24)*$J$32:$J$38)</f>
        <v>0</v>
      </c>
      <c r="H24" s="56">
        <f>SUMPRODUCT(($B$32:$B$93=$B24)*$H$32:$H$93*($A$32:$A$93="Mars"))</f>
        <v>0</v>
      </c>
      <c r="I24" s="57">
        <f>SUMPRODUCT(($B$32:$B$93=$B24)*$H$32:$H$93*($A$32:$A$93="Avril"))</f>
        <v>0</v>
      </c>
      <c r="J24" s="57">
        <f>SUMPRODUCT(($B$32:$B$93=$B24)*$H$32:$H$93*($A$32:$A$93="Mai"))</f>
        <v>0</v>
      </c>
      <c r="K24" s="58">
        <f>SUMPRODUCT(($B$42:$B$53=$B24)*$H$42:$H$53)</f>
        <v>0</v>
      </c>
      <c r="L24" s="58">
        <f>SUMPRODUCT(($B$42:$B$53=$B24)*$J$42:$J$53)</f>
        <v>0</v>
      </c>
      <c r="M24" s="57">
        <f>SUMPRODUCT(($B$36:$B$93=$B24)*$H$36:$H$93*($A$36:$A$93="juin"))</f>
        <v>0</v>
      </c>
      <c r="N24" s="57">
        <f>SUMPRODUCT(($B$36:$B$93=$B24)*$H$36:$H$93*($A$36:$A$93="juillet"))</f>
        <v>0</v>
      </c>
      <c r="O24" s="57">
        <f>SUMPRODUCT(($B$36:$B$93=$B24)*$H$36:$H$93*($A$36:$A$93="aout"))</f>
        <v>0</v>
      </c>
      <c r="P24" s="58">
        <f>SUMPRODUCT(($B$58:$B$70=$B24)*$H$58:$H$70)</f>
        <v>2</v>
      </c>
      <c r="Q24" s="58">
        <f>SUMPRODUCT(($B$58:$B$70=$B24)*$J$58:$J$70)</f>
        <v>1</v>
      </c>
      <c r="R24" s="57">
        <f>SUMPRODUCT(($B$36:$B$93=$B$24)*$H$36:$H$93*($A$36:$A$93="Septembre"))</f>
        <v>0</v>
      </c>
      <c r="S24" s="57">
        <f>SUMPRODUCT(($B$36:$B$93=$B$24)*$H$36:$H$93*($A$36:$A$93="Octobre"))</f>
        <v>0</v>
      </c>
      <c r="T24" s="57">
        <f>SUMPRODUCT(($B$36:$B$93=$B24)*$H$36:$H$93*($A$36:$A$93="Novembre"))</f>
        <v>0</v>
      </c>
      <c r="U24" s="58">
        <f>SUMPRODUCT(($B$74:$B$93=$B24)*$H$74:$H$93)</f>
        <v>2</v>
      </c>
      <c r="V24" s="58">
        <f>SUMPRODUCT(($B$74:$B$93=$B24)*$J$74:$J$93)</f>
        <v>2</v>
      </c>
      <c r="W24" s="12">
        <f t="shared" si="0"/>
        <v>4</v>
      </c>
      <c r="X24" s="13">
        <f t="shared" si="1"/>
        <v>3</v>
      </c>
      <c r="Y24" s="14"/>
    </row>
    <row r="25" spans="1:27">
      <c r="A25" s="325"/>
      <c r="B25" s="55" t="s">
        <v>26</v>
      </c>
      <c r="C25" s="56">
        <f>SUMPRODUCT(($B$32:$B$93=$B25)*$H$32:$H$93*($A$32:$A$93="Décembre"))</f>
        <v>0</v>
      </c>
      <c r="D25" s="57">
        <f>SUMPRODUCT(($B$32:$B$93=$B25)*$H$32:$H$93*($A$32:$A$93="Janvier"))</f>
        <v>0</v>
      </c>
      <c r="E25" s="57">
        <f>SUMPRODUCT(($B$32:$B$93=$B25)*$H$32:$H$93*($A$32:$A$93="Février"))</f>
        <v>0</v>
      </c>
      <c r="F25" s="54">
        <f>SUMPRODUCT(($B$32:$B$38=$B25)*$H$32:$H$38)</f>
        <v>0</v>
      </c>
      <c r="G25" s="54">
        <f>SUMPRODUCT(($B$32:$B$38=$B25)*$J$32:$J$38)</f>
        <v>0</v>
      </c>
      <c r="H25" s="56">
        <f>SUMPRODUCT(($B$32:$B$93=$B25)*$H$32:$H$93*($A$32:$A$93="Mars"))</f>
        <v>0</v>
      </c>
      <c r="I25" s="57">
        <f>SUMPRODUCT(($B$32:$B$93=$B25)*$H$32:$H$93*($A$32:$A$93="Avril"))</f>
        <v>0</v>
      </c>
      <c r="J25" s="57">
        <f>SUMPRODUCT(($B$32:$B$93=$B25)*$H$32:$H$93*($A$32:$A$93="Mai"))</f>
        <v>0</v>
      </c>
      <c r="K25" s="58">
        <f>SUMPRODUCT(($B$42:$B$53=$B25)*$H$42:$H$53)</f>
        <v>0</v>
      </c>
      <c r="L25" s="58">
        <f>SUMPRODUCT(($B$42:$B$53=$B25)*$J$42:$J$53)</f>
        <v>0</v>
      </c>
      <c r="M25" s="57">
        <f>SUMPRODUCT(($B$36:$B$93=$B25)*$H$36:$H$93*($A$36:$A$93="juin"))</f>
        <v>0</v>
      </c>
      <c r="N25" s="57">
        <f>SUMPRODUCT(($B$36:$B$93=$B25)*$H$36:$H$93*($A$36:$A$93="juillet"))</f>
        <v>0</v>
      </c>
      <c r="O25" s="57">
        <f>SUMPRODUCT(($B$36:$B$93=$B25)*$H$36:$H$93*($A$36:$A$93="aout"))</f>
        <v>0</v>
      </c>
      <c r="P25" s="58">
        <f>SUMPRODUCT(($B$58:$B$70=$B25)*$H$58:$H$70)</f>
        <v>0</v>
      </c>
      <c r="Q25" s="58">
        <f>SUMPRODUCT(($B$58:$B$70=$B25)*$J$58:$J$70)</f>
        <v>0</v>
      </c>
      <c r="R25" s="57">
        <f>SUMPRODUCT(($B$36:$B$93=$B$25)*$H$36:$H$93*($A$36:$A$93="Septembre"))</f>
        <v>0</v>
      </c>
      <c r="S25" s="57">
        <f>SUMPRODUCT(($B$36:$B$93=$B$25)*$H$36:$H$93*($A$36:$A$93="Octobre"))</f>
        <v>0</v>
      </c>
      <c r="T25" s="57">
        <f>SUMPRODUCT(($B$36:$B$93=$B25)*$H$36:$H$93*($A$36:$A$93="Novembre"))</f>
        <v>0</v>
      </c>
      <c r="U25" s="58">
        <f>SUMPRODUCT(($B$74:$B$93=$B25)*$H$74:$H$93)</f>
        <v>0</v>
      </c>
      <c r="V25" s="58">
        <f>SUMPRODUCT(($B$74:$B$93=$B25)*$J$74:$J$93)</f>
        <v>0</v>
      </c>
      <c r="W25" s="12">
        <f t="shared" si="0"/>
        <v>0</v>
      </c>
      <c r="X25" s="13">
        <f t="shared" si="1"/>
        <v>0</v>
      </c>
      <c r="Y25" s="14"/>
    </row>
    <row r="26" spans="1:27">
      <c r="A26" s="325"/>
      <c r="B26" s="55" t="s">
        <v>27</v>
      </c>
      <c r="C26" s="56">
        <f>SUMPRODUCT(($B$32:$B$93=$B26)*$H$32:$H$93*($A$32:$A$93="Décembre"))</f>
        <v>0</v>
      </c>
      <c r="D26" s="57">
        <f>SUMPRODUCT(($B$32:$B$93=$B26)*$H$32:$H$93*($A$32:$A$93="Janvier"))</f>
        <v>0</v>
      </c>
      <c r="E26" s="57">
        <f>SUMPRODUCT(($B$32:$B$93=$B26)*$H$32:$H$93*($A$32:$A$93="Février"))</f>
        <v>0</v>
      </c>
      <c r="F26" s="54">
        <f>SUMPRODUCT(($B$32:$B$38=$B26)*$H$32:$H$38)</f>
        <v>0</v>
      </c>
      <c r="G26" s="54">
        <f>SUMPRODUCT(($B$32:$B$38=$B26)*$J$32:$J$38)</f>
        <v>0</v>
      </c>
      <c r="H26" s="56">
        <f>SUMPRODUCT(($B$32:$B$93=$B26)*$H$32:$H$93*($A$32:$A$93="Mars"))</f>
        <v>0</v>
      </c>
      <c r="I26" s="57">
        <f>SUMPRODUCT(($B$32:$B$93=$B26)*$H$32:$H$93*($A$32:$A$93="Avril"))</f>
        <v>0</v>
      </c>
      <c r="J26" s="57">
        <f>SUMPRODUCT(($B$32:$B$93=$B26)*$H$32:$H$93*($A$32:$A$93="Mai"))</f>
        <v>0</v>
      </c>
      <c r="K26" s="58">
        <f>SUMPRODUCT(($B$42:$B$53=$B26)*$H$42:$H$53)</f>
        <v>0</v>
      </c>
      <c r="L26" s="58">
        <f>SUMPRODUCT(($B$42:$B$53=$B26)*$J$42:$J$53)</f>
        <v>0</v>
      </c>
      <c r="M26" s="57">
        <f>SUMPRODUCT(($B$36:$B$93=$B26)*$H$36:$H$93*($A$36:$A$93="juin"))</f>
        <v>0</v>
      </c>
      <c r="N26" s="57">
        <f>SUMPRODUCT(($B$36:$B$93=$B26)*$H$36:$H$93*($A$36:$A$93="juillet"))</f>
        <v>0</v>
      </c>
      <c r="O26" s="57">
        <f>SUMPRODUCT(($B$36:$B$93=$B26)*$H$36:$H$93*($A$36:$A$93="aout"))</f>
        <v>0</v>
      </c>
      <c r="P26" s="58">
        <f>SUMPRODUCT(($B$58:$B$70=$B26)*$H$58:$H$70)</f>
        <v>0</v>
      </c>
      <c r="Q26" s="58">
        <f>SUMPRODUCT(($B$58:$B$70=$B26)*$J$58:$J$70)</f>
        <v>0</v>
      </c>
      <c r="R26" s="57">
        <f>SUMPRODUCT(($B$36:$B$93=$B$26)*$H$36:$H$93*($A$36:$A$93="Septembre"))</f>
        <v>0</v>
      </c>
      <c r="S26" s="57">
        <f>SUMPRODUCT(($B$36:$B$93=$B$26)*$H$36:$H$93*($A$36:$A$93="Octobre"))</f>
        <v>0</v>
      </c>
      <c r="T26" s="57">
        <f>SUMPRODUCT(($B$36:$B$93=$B26)*$H$36:$H$93*($A$36:$A$93="Novembre"))</f>
        <v>0</v>
      </c>
      <c r="U26" s="58">
        <f>SUMPRODUCT(($B$74:$B$93=$B26)*$H$74:$H$93)</f>
        <v>0</v>
      </c>
      <c r="V26" s="58">
        <f>SUMPRODUCT(($B$74:$B$93=$B26)*$J$74:$J$93)</f>
        <v>0</v>
      </c>
      <c r="W26" s="12">
        <f t="shared" si="0"/>
        <v>0</v>
      </c>
      <c r="X26" s="13">
        <f t="shared" si="1"/>
        <v>0</v>
      </c>
      <c r="Y26" s="14"/>
    </row>
    <row r="27" spans="1:27" ht="16" thickBot="1">
      <c r="A27" s="326"/>
      <c r="B27" s="59" t="s">
        <v>28</v>
      </c>
      <c r="C27" s="222">
        <f>SUMPRODUCT(($B$32:$B$93=$B27)*$H$32:$H$93*($A$32:$A$93="Décembre"))</f>
        <v>0</v>
      </c>
      <c r="D27" s="225">
        <f>SUMPRODUCT(($B$32:$B$93=$B27)*$H$32:$H$93*($A$32:$A$93="Janvier"))</f>
        <v>0</v>
      </c>
      <c r="E27" s="225">
        <f>SUMPRODUCT(($B$32:$B$93=$B27)*$H$32:$H$93*($A$32:$A$93="Février"))</f>
        <v>0</v>
      </c>
      <c r="F27" s="54">
        <f>SUMPRODUCT(($B$32:$B$38=$B27)*$H$32:$H$38)</f>
        <v>0</v>
      </c>
      <c r="G27" s="54">
        <f>SUMPRODUCT(($B$32:$B$38=$B27)*$J$32:$J$38)</f>
        <v>0</v>
      </c>
      <c r="H27" s="222">
        <f>SUMPRODUCT(($B$32:$B$93=$B27)*$H$32:$H$93*($A$32:$A$93="Mars"))</f>
        <v>0</v>
      </c>
      <c r="I27" s="225">
        <f>SUMPRODUCT(($B$32:$B$93=$B27)*$H$32:$H$93*($A$32:$A$93="Avril"))</f>
        <v>0</v>
      </c>
      <c r="J27" s="225">
        <f>SUMPRODUCT(($B$32:$B$93=$B27)*$H$32:$H$93*($A$32:$A$93="Mai"))</f>
        <v>0</v>
      </c>
      <c r="K27" s="58">
        <f>SUMPRODUCT(($B$42:$B$53=$B27)*$H$42:$H$53)</f>
        <v>0</v>
      </c>
      <c r="L27" s="58">
        <f>SUMPRODUCT(($B$42:$B$53=$B27)*$J$42:$J$53)</f>
        <v>0</v>
      </c>
      <c r="M27" s="57">
        <f>SUMPRODUCT(($B$36:$B$93=$B27)*$H$36:$H$93*($A$36:$A$93="juin"))</f>
        <v>0</v>
      </c>
      <c r="N27" s="57">
        <f>SUMPRODUCT(($B$36:$B$93=$B27)*$H$36:$H$93*($A$36:$A$93="juillet"))</f>
        <v>0</v>
      </c>
      <c r="O27" s="57">
        <f>SUMPRODUCT(($B$36:$B$93=$B27)*$H$36:$H$93*($A$36:$A$93="aout"))</f>
        <v>0</v>
      </c>
      <c r="P27" s="58">
        <f>SUMPRODUCT(($B$58:$B$70=$B27)*$H$58:$H$70)</f>
        <v>0</v>
      </c>
      <c r="Q27" s="58">
        <f>SUMPRODUCT(($B$58:$B$70=$B27)*$J$58:$J$70)</f>
        <v>0</v>
      </c>
      <c r="R27" s="57">
        <f>SUMPRODUCT(($B$36:$B$93=$B$27)*$H$36:$H$93*($A$36:$A$93="Septembre"))</f>
        <v>0</v>
      </c>
      <c r="S27" s="57">
        <f>SUMPRODUCT(($B$36:$B$93=$B$27)*$H$36:$H$93*($A$36:$A$93="Octobre"))</f>
        <v>0</v>
      </c>
      <c r="T27" s="57">
        <f>SUMPRODUCT(($B$36:$B$93=$B27)*$H$36:$H$93*($A$36:$A$93="Novembre"))</f>
        <v>0</v>
      </c>
      <c r="U27" s="58">
        <f>SUMPRODUCT(($B$74:$B$93=$B27)*$H$74:$H$93)</f>
        <v>0</v>
      </c>
      <c r="V27" s="58">
        <f>SUMPRODUCT(($B$74:$B$93=$B27)*$J$74:$J$93)</f>
        <v>0</v>
      </c>
      <c r="W27" s="12">
        <f t="shared" si="0"/>
        <v>0</v>
      </c>
      <c r="X27" s="13">
        <f t="shared" si="1"/>
        <v>0</v>
      </c>
      <c r="Y27" s="14"/>
    </row>
    <row r="28" spans="1:27" ht="17" thickTop="1" thickBot="1">
      <c r="Y28" s="15"/>
    </row>
    <row r="29" spans="1:27" ht="27" thickTop="1" thickBot="1">
      <c r="A29" s="285" t="s">
        <v>29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7"/>
      <c r="S29" s="16"/>
      <c r="T29" s="16"/>
      <c r="U29" s="16"/>
      <c r="V29" s="16"/>
      <c r="W29" s="16"/>
      <c r="Y29" s="17"/>
      <c r="Z29" s="18"/>
    </row>
    <row r="30" spans="1:27" s="19" customFormat="1" ht="48" customHeight="1" thickTop="1" thickBot="1">
      <c r="A30" s="142" t="s">
        <v>117</v>
      </c>
      <c r="B30" s="143" t="s">
        <v>113</v>
      </c>
      <c r="C30" s="144" t="s">
        <v>172</v>
      </c>
      <c r="D30" s="144" t="s">
        <v>114</v>
      </c>
      <c r="E30" s="144" t="s">
        <v>115</v>
      </c>
      <c r="F30" s="144" t="s">
        <v>116</v>
      </c>
      <c r="G30" s="144" t="s">
        <v>120</v>
      </c>
      <c r="H30" s="144" t="s">
        <v>137</v>
      </c>
      <c r="I30" s="144" t="s">
        <v>118</v>
      </c>
      <c r="J30" s="145" t="s">
        <v>136</v>
      </c>
      <c r="K30" s="146" t="s">
        <v>119</v>
      </c>
      <c r="L30" s="147" t="s">
        <v>135</v>
      </c>
      <c r="M30" s="327" t="s">
        <v>152</v>
      </c>
      <c r="N30" s="328"/>
      <c r="O30" s="300" t="s">
        <v>153</v>
      </c>
      <c r="P30" s="300"/>
      <c r="Q30" s="300" t="s">
        <v>169</v>
      </c>
      <c r="R30" s="301"/>
      <c r="S30" s="1"/>
      <c r="T30" s="1"/>
      <c r="U30" s="1"/>
      <c r="V30" s="1"/>
      <c r="W30" s="1"/>
      <c r="Z30" s="20"/>
      <c r="AA30" s="20"/>
    </row>
    <row r="31" spans="1:27" s="22" customFormat="1" ht="15" customHeight="1" thickTop="1" thickBot="1">
      <c r="A31" s="244" t="s">
        <v>126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6"/>
      <c r="S31" s="21"/>
      <c r="T31" s="21"/>
      <c r="U31" s="21"/>
      <c r="V31" s="21"/>
      <c r="W31" s="21"/>
      <c r="X31" s="21"/>
      <c r="Y31" s="21"/>
      <c r="Z31" s="21"/>
      <c r="AA31" s="21"/>
    </row>
    <row r="32" spans="1:27" s="60" customFormat="1" ht="16.75" customHeight="1" thickTop="1" thickBot="1">
      <c r="A32" s="128" t="s">
        <v>179</v>
      </c>
      <c r="B32" s="77"/>
      <c r="C32" s="78"/>
      <c r="D32" s="78"/>
      <c r="E32" s="78"/>
      <c r="F32" s="32">
        <v>0</v>
      </c>
      <c r="G32" s="67"/>
      <c r="H32" s="33">
        <v>0</v>
      </c>
      <c r="I32" s="33">
        <v>0</v>
      </c>
      <c r="J32" s="28">
        <f t="shared" ref="J32" si="2">H32-I32</f>
        <v>0</v>
      </c>
      <c r="K32" s="34" t="str">
        <f t="shared" ref="K32" si="3">IF(I32=1,-F32,"")</f>
        <v/>
      </c>
      <c r="L32" s="82"/>
      <c r="M32" s="264" t="s">
        <v>154</v>
      </c>
      <c r="N32" s="265"/>
      <c r="O32" s="265"/>
      <c r="P32" s="265"/>
      <c r="Q32" s="265"/>
      <c r="R32" s="266"/>
      <c r="S32" s="45"/>
      <c r="T32" s="45"/>
      <c r="U32" s="46"/>
      <c r="V32" s="62"/>
      <c r="W32" s="62"/>
      <c r="X32" s="65"/>
      <c r="Y32" s="63"/>
    </row>
    <row r="33" spans="1:27" ht="17" thickTop="1" thickBot="1">
      <c r="A33" s="251" t="s">
        <v>150</v>
      </c>
      <c r="B33" s="252"/>
      <c r="C33" s="252"/>
      <c r="D33" s="252"/>
      <c r="E33" s="253"/>
      <c r="F33" s="25">
        <f>SUM(F29:F32)</f>
        <v>0</v>
      </c>
      <c r="G33" s="29"/>
      <c r="H33" s="26">
        <f>SUM(H32)</f>
        <v>0</v>
      </c>
      <c r="I33" s="26">
        <f>SUM(I32)</f>
        <v>0</v>
      </c>
      <c r="J33" s="26">
        <f>SUM(J32)</f>
        <v>0</v>
      </c>
      <c r="K33" s="27">
        <f>SUM(K32)</f>
        <v>0</v>
      </c>
      <c r="L33" s="64">
        <f>F33+K33</f>
        <v>0</v>
      </c>
      <c r="M33" s="313">
        <f>'[1]01 au 04-12'!$C$18+'[1]01 au 04-12'!$D$18+'[1]01 au 04-12'!$E$18+'[1]01 au 04-12'!$F$18+'[1]01 au 04-12'!$G$18+'[1]07 au 13-12'!$C$18+'[1]07 au 13-12'!$D$18+'[1]07 au 13-12'!$E$18+'[1]07 au 13-12'!$F$18+'[1]07 au 13-12'!$G$18+'[1]14 au 20-12'!$C$18+'[1]14 au 20-12'!$D$18+'[1]14 au 20-12'!$E$18+'[1]14 au 20-12'!$F$18+'[1]14 au 20-12'!$G$18+'[1]21 au 27-12'!$C$18+'[1]21 au 27-12'!$D$18+'[1]21 au 27-12'!$E$18+'[1]21 au 27-12'!$F$18+'[1]21 au 27-12'!$G$18+'[1]21 au 27-12'!$H$18+'[1]28 au 03-01'!$C$18+'[1]28 au 03-01'!$D$18+'[1]28 au 03-01'!$E$18+'[1]28 au 03-01'!$F$18+'[1]28 au 03-01'!$G$18+'[1]28 au 03-01'!$H$18</f>
        <v>38</v>
      </c>
      <c r="N33" s="274"/>
      <c r="O33" s="274">
        <f>'[1]01 au 04-12'!$H$18+'[1]07 au 13-12'!$H$18+'[1]14 au 20-12'!$H$18+'[1]21 au 27-12'!$I$18+'[1]28 au 03-01'!$I$18</f>
        <v>26</v>
      </c>
      <c r="P33" s="274"/>
      <c r="Q33" s="274">
        <f>O33</f>
        <v>26</v>
      </c>
      <c r="R33" s="275"/>
      <c r="S33" s="139"/>
      <c r="T33" s="139"/>
      <c r="U33" s="46"/>
      <c r="V33" s="62"/>
      <c r="W33" s="62"/>
      <c r="X33" s="24"/>
      <c r="Y33" s="63"/>
      <c r="Z33" s="60"/>
      <c r="AA33" s="60"/>
    </row>
    <row r="34" spans="1:27" s="60" customFormat="1" ht="16.75" customHeight="1" thickTop="1" thickBot="1">
      <c r="A34" s="127" t="s">
        <v>177</v>
      </c>
      <c r="B34" s="77"/>
      <c r="C34" s="78"/>
      <c r="D34" s="78"/>
      <c r="E34" s="78"/>
      <c r="F34" s="32">
        <v>0</v>
      </c>
      <c r="G34" s="67"/>
      <c r="H34" s="33">
        <v>0</v>
      </c>
      <c r="I34" s="33">
        <v>0</v>
      </c>
      <c r="J34" s="28">
        <f t="shared" ref="J34" si="4">H34-I34</f>
        <v>0</v>
      </c>
      <c r="K34" s="34" t="str">
        <f t="shared" ref="K34" si="5">IF(I34=1,-F34,"")</f>
        <v/>
      </c>
      <c r="L34" s="82"/>
      <c r="M34" s="291" t="s">
        <v>157</v>
      </c>
      <c r="N34" s="292"/>
      <c r="O34" s="292"/>
      <c r="P34" s="292"/>
      <c r="Q34" s="292"/>
      <c r="R34" s="293"/>
      <c r="S34" s="45"/>
      <c r="T34" s="45"/>
      <c r="U34" s="46"/>
      <c r="V34" s="62"/>
      <c r="W34" s="62"/>
      <c r="X34" s="65"/>
      <c r="Y34" s="63"/>
    </row>
    <row r="35" spans="1:27" ht="17" thickTop="1" thickBot="1">
      <c r="A35" s="251" t="s">
        <v>151</v>
      </c>
      <c r="B35" s="252"/>
      <c r="C35" s="252"/>
      <c r="D35" s="252"/>
      <c r="E35" s="253"/>
      <c r="F35" s="25">
        <f>SUM(F31:F34)</f>
        <v>0</v>
      </c>
      <c r="G35" s="29"/>
      <c r="H35" s="26">
        <f>SUM(H34)</f>
        <v>0</v>
      </c>
      <c r="I35" s="26">
        <f>SUM(I34)</f>
        <v>0</v>
      </c>
      <c r="J35" s="26">
        <f>SUM(J34)</f>
        <v>0</v>
      </c>
      <c r="K35" s="27">
        <f>SUM(K34)</f>
        <v>0</v>
      </c>
      <c r="L35" s="64">
        <f>F35+K35</f>
        <v>0</v>
      </c>
      <c r="M35" s="313">
        <f>'[1]04 au 10-01'!$C$19+'[1]04 au 10-01'!$D$19+'[1]04 au 10-01'!$E$19+'[1]04 au 10-01'!$F$19+'[1]04 au 10-01'!$G$19+'[1]11 au 17-01'!$C$19+'[1]11 au 17-01'!$D$19+'[1]11 au 17-01'!$E$19+'[1]11 au 17-01'!$F$19+'[1]11 au 17-01'!$G$19+'[1]11 au 17-01'!$H$19+'[1]18 au 24-01'!$C$19+'[1]18 au 24-01'!$D$19+'[1]18 au 24-01'!$E$19+'[1]18 au 24-01'!$F$19+'[1]18 au 24-01'!$G$19+'[1]25 au 31-01'!$C$19+'[1]25 au 31-01'!$D$19+'[1]25 au 31-01'!$E$19+'[1]25 au 31-01'!$F$19+'[1]25 au 31-01'!$G$19</f>
        <v>61</v>
      </c>
      <c r="N35" s="274"/>
      <c r="O35" s="274">
        <f>'[1]04 au 10-01'!$H$19+'[1]11 au 17-01'!$I$19+'[1]18 au 24-01'!$H$19+'[1]25 au 31-01'!$H$19</f>
        <v>47</v>
      </c>
      <c r="P35" s="274"/>
      <c r="Q35" s="274">
        <f>Q33+O35</f>
        <v>73</v>
      </c>
      <c r="R35" s="275"/>
      <c r="S35" s="45"/>
      <c r="T35" s="45"/>
      <c r="U35" s="46"/>
      <c r="V35" s="62"/>
      <c r="W35" s="62"/>
      <c r="X35" s="24"/>
      <c r="Y35" s="63"/>
      <c r="Z35" s="60"/>
      <c r="AA35" s="60"/>
    </row>
    <row r="36" spans="1:27" ht="16.25" customHeight="1" thickTop="1">
      <c r="A36" s="329" t="s">
        <v>178</v>
      </c>
      <c r="B36" s="77" t="s">
        <v>22</v>
      </c>
      <c r="C36" s="78" t="s">
        <v>44</v>
      </c>
      <c r="D36" s="78" t="s">
        <v>45</v>
      </c>
      <c r="E36" s="78" t="s">
        <v>38</v>
      </c>
      <c r="F36" s="79">
        <f>[2]Mensuel!$G$2140</f>
        <v>217000</v>
      </c>
      <c r="G36" s="80"/>
      <c r="H36" s="81">
        <v>1</v>
      </c>
      <c r="I36" s="81">
        <v>1</v>
      </c>
      <c r="J36" s="81">
        <f>H36-I36</f>
        <v>0</v>
      </c>
      <c r="K36" s="34">
        <f>IF(I36=1,-F36,"")</f>
        <v>-217000</v>
      </c>
      <c r="L36" s="339"/>
      <c r="M36" s="264" t="s">
        <v>158</v>
      </c>
      <c r="N36" s="265"/>
      <c r="O36" s="265"/>
      <c r="P36" s="265"/>
      <c r="Q36" s="265"/>
      <c r="R36" s="266"/>
      <c r="S36" s="228" t="s">
        <v>148</v>
      </c>
      <c r="T36" s="229"/>
      <c r="U36" s="229"/>
      <c r="V36" s="46"/>
      <c r="W36" s="46"/>
      <c r="X36" s="47"/>
    </row>
    <row r="37" spans="1:27">
      <c r="A37" s="329"/>
      <c r="B37" s="30" t="s">
        <v>22</v>
      </c>
      <c r="C37" s="31" t="s">
        <v>41</v>
      </c>
      <c r="D37" s="31" t="s">
        <v>42</v>
      </c>
      <c r="E37" s="31" t="s">
        <v>43</v>
      </c>
      <c r="F37" s="32">
        <f>[2]Mensuel!$G$2139</f>
        <v>230000</v>
      </c>
      <c r="G37" s="67"/>
      <c r="H37" s="33">
        <v>1</v>
      </c>
      <c r="I37" s="33">
        <v>0</v>
      </c>
      <c r="J37" s="28">
        <f t="shared" ref="J37:J38" si="6">H37-I37</f>
        <v>1</v>
      </c>
      <c r="K37" s="34" t="str">
        <f t="shared" ref="K37:K38" si="7">IF(I37=1,-F37,"")</f>
        <v/>
      </c>
      <c r="L37" s="340"/>
      <c r="M37" s="264"/>
      <c r="N37" s="265"/>
      <c r="O37" s="265"/>
      <c r="P37" s="265"/>
      <c r="Q37" s="265"/>
      <c r="R37" s="266"/>
      <c r="S37" s="45"/>
      <c r="T37" s="45"/>
      <c r="U37" s="46"/>
      <c r="V37" s="46"/>
      <c r="W37" s="46"/>
      <c r="X37" s="47"/>
    </row>
    <row r="38" spans="1:27" ht="25.25" customHeight="1" thickBot="1">
      <c r="A38" s="329"/>
      <c r="B38" s="36" t="s">
        <v>22</v>
      </c>
      <c r="C38" s="221" t="s">
        <v>167</v>
      </c>
      <c r="D38" s="37" t="s">
        <v>40</v>
      </c>
      <c r="E38" s="37" t="s">
        <v>38</v>
      </c>
      <c r="F38" s="38">
        <f>[2]Mensuel!$G$2137/2</f>
        <v>101000</v>
      </c>
      <c r="G38" s="68" t="s">
        <v>121</v>
      </c>
      <c r="H38" s="39">
        <v>0.5</v>
      </c>
      <c r="I38" s="39">
        <v>0</v>
      </c>
      <c r="J38" s="28">
        <f t="shared" si="6"/>
        <v>0.5</v>
      </c>
      <c r="K38" s="34" t="str">
        <f t="shared" si="7"/>
        <v/>
      </c>
      <c r="L38" s="341"/>
      <c r="M38" s="264"/>
      <c r="N38" s="265"/>
      <c r="O38" s="265"/>
      <c r="P38" s="265"/>
      <c r="Q38" s="265"/>
      <c r="R38" s="266"/>
      <c r="S38" s="16"/>
      <c r="T38" s="16"/>
      <c r="U38" s="16"/>
      <c r="V38" s="16"/>
      <c r="W38" s="16"/>
      <c r="X38" s="16"/>
    </row>
    <row r="39" spans="1:27" ht="17" thickTop="1" thickBot="1">
      <c r="A39" s="251" t="s">
        <v>139</v>
      </c>
      <c r="B39" s="252"/>
      <c r="C39" s="252"/>
      <c r="D39" s="252"/>
      <c r="E39" s="253"/>
      <c r="F39" s="25">
        <f>SUM(F30:F38)</f>
        <v>548000</v>
      </c>
      <c r="G39" s="23"/>
      <c r="H39" s="134">
        <f>SUM(H30:H38)</f>
        <v>2.5</v>
      </c>
      <c r="I39" s="134">
        <f>SUM(I36:I38)</f>
        <v>1</v>
      </c>
      <c r="J39" s="134">
        <f>SUM(J36:J38)</f>
        <v>1.5</v>
      </c>
      <c r="K39" s="27">
        <f>SUM(K36:K38)</f>
        <v>-217000</v>
      </c>
      <c r="L39" s="148">
        <f>F39+K39</f>
        <v>331000</v>
      </c>
      <c r="M39" s="254">
        <f>'[1]01 au 07-02'!$C$19+'[1]01 au 07-02'!$D$19+'[1]01 au 07-02'!$E$19+'[1]01 au 07-02'!$F$19+'[1]01 au 07-02'!$G$19+'[1]08 au 14-02'!$C$19+'[1]08 au 14-02'!$D$19+'[1]08 au 14-02'!$E$19+'[1]08 au 14-02'!$F$19+'[1]08 au 14-02'!$G$19+'[1]15 au 21-02'!$C$19+'[1]15 au 21-02'!$D$19+'[1]15 au 21-02'!$E$19+'[1]15 au 21-02'!$F$19+'[1]15 au 21-02'!$G$19+'[1]22 au 28-02'!$C$19+'[1]22 au 28-02'!$D$19+'[1]22 au 28-02'!$E$19+'[1]22 au 28-02'!$F$19+'[1]22 au 28-02'!$G$19</f>
        <v>77</v>
      </c>
      <c r="N39" s="240"/>
      <c r="O39" s="240">
        <f>'[1]01 au 07-02'!$H$19+'[1]08 au 14-02'!$H$19+'[1]15 au 21-02'!$H$19+'[1]22 au 28-02'!$H$19</f>
        <v>58</v>
      </c>
      <c r="P39" s="240"/>
      <c r="Q39" s="240">
        <f>Q35+O39</f>
        <v>131</v>
      </c>
      <c r="R39" s="241"/>
      <c r="S39" s="45"/>
      <c r="T39" s="45"/>
      <c r="U39" s="46"/>
      <c r="V39" s="62"/>
      <c r="W39" s="62"/>
      <c r="X39" s="24"/>
      <c r="Y39" s="63" t="s">
        <v>109</v>
      </c>
      <c r="Z39" s="60"/>
      <c r="AA39" s="60"/>
    </row>
    <row r="40" spans="1:27" ht="17" thickTop="1" thickBot="1">
      <c r="A40" s="305" t="s">
        <v>127</v>
      </c>
      <c r="B40" s="306"/>
      <c r="C40" s="306"/>
      <c r="D40" s="306"/>
      <c r="E40" s="307"/>
      <c r="F40" s="129">
        <f>F39</f>
        <v>548000</v>
      </c>
      <c r="G40" s="130"/>
      <c r="H40" s="131">
        <f>H39</f>
        <v>2.5</v>
      </c>
      <c r="I40" s="131">
        <f>I39</f>
        <v>1</v>
      </c>
      <c r="J40" s="131">
        <f>J39</f>
        <v>1.5</v>
      </c>
      <c r="K40" s="132">
        <f>K39</f>
        <v>-217000</v>
      </c>
      <c r="L40" s="70">
        <f>L39</f>
        <v>331000</v>
      </c>
      <c r="M40" s="314">
        <f>M33+M35+M39</f>
        <v>176</v>
      </c>
      <c r="N40" s="312"/>
      <c r="O40" s="267">
        <f>O33+O35+O39</f>
        <v>131</v>
      </c>
      <c r="P40" s="267"/>
      <c r="Q40" s="267">
        <f>O40</f>
        <v>131</v>
      </c>
      <c r="R40" s="268"/>
      <c r="S40" s="16"/>
      <c r="T40" s="16"/>
      <c r="U40" s="16"/>
      <c r="V40" s="16"/>
      <c r="W40" s="16"/>
      <c r="X40" s="16"/>
    </row>
    <row r="41" spans="1:27" s="22" customFormat="1" ht="16.75" customHeight="1" thickTop="1" thickBot="1">
      <c r="A41" s="244" t="s">
        <v>128</v>
      </c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6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16.25" customHeight="1" thickTop="1">
      <c r="A42" s="331" t="s">
        <v>48</v>
      </c>
      <c r="B42" s="184" t="s">
        <v>22</v>
      </c>
      <c r="C42" s="185" t="s">
        <v>61</v>
      </c>
      <c r="D42" s="185" t="s">
        <v>60</v>
      </c>
      <c r="E42" s="185" t="s">
        <v>43</v>
      </c>
      <c r="F42" s="206">
        <f>[2]Mensuel!$G$2166</f>
        <v>209000</v>
      </c>
      <c r="G42" s="186"/>
      <c r="H42" s="187">
        <v>1</v>
      </c>
      <c r="I42" s="187">
        <v>0</v>
      </c>
      <c r="J42" s="188">
        <f t="shared" ref="J42:J53" si="8">H42-I42</f>
        <v>1</v>
      </c>
      <c r="K42" s="189" t="str">
        <f>IF(I42=1,-F42,"")</f>
        <v/>
      </c>
      <c r="L42" s="190"/>
      <c r="M42" s="294" t="s">
        <v>156</v>
      </c>
      <c r="N42" s="295"/>
      <c r="O42" s="295"/>
      <c r="P42" s="295"/>
      <c r="Q42" s="295"/>
      <c r="R42" s="296"/>
      <c r="S42" s="45"/>
      <c r="T42" s="45"/>
      <c r="U42" s="46"/>
      <c r="V42" s="62"/>
      <c r="W42" s="62"/>
      <c r="X42" s="24"/>
      <c r="Y42" s="63"/>
      <c r="Z42" s="60"/>
      <c r="AA42" s="60"/>
    </row>
    <row r="43" spans="1:27">
      <c r="A43" s="331"/>
      <c r="B43" s="184" t="s">
        <v>22</v>
      </c>
      <c r="C43" s="185" t="s">
        <v>53</v>
      </c>
      <c r="D43" s="185" t="s">
        <v>54</v>
      </c>
      <c r="E43" s="185" t="s">
        <v>38</v>
      </c>
      <c r="F43" s="206">
        <f>[2]Mensuel!$G$2164</f>
        <v>189000</v>
      </c>
      <c r="G43" s="186"/>
      <c r="H43" s="187">
        <v>1</v>
      </c>
      <c r="I43" s="187">
        <v>0</v>
      </c>
      <c r="J43" s="188">
        <f t="shared" si="8"/>
        <v>1</v>
      </c>
      <c r="K43" s="189" t="str">
        <f t="shared" ref="K43:K46" si="9">IF(I43=1,-F43,"")</f>
        <v/>
      </c>
      <c r="L43" s="190"/>
      <c r="M43" s="261"/>
      <c r="N43" s="262"/>
      <c r="O43" s="262"/>
      <c r="P43" s="262"/>
      <c r="Q43" s="262"/>
      <c r="R43" s="263"/>
      <c r="S43" s="45"/>
      <c r="T43" s="45"/>
      <c r="U43" s="46"/>
      <c r="V43" s="46"/>
      <c r="W43" s="46"/>
      <c r="X43" s="47"/>
    </row>
    <row r="44" spans="1:27">
      <c r="A44" s="331"/>
      <c r="B44" s="184" t="s">
        <v>22</v>
      </c>
      <c r="C44" s="185" t="s">
        <v>46</v>
      </c>
      <c r="D44" s="185" t="s">
        <v>47</v>
      </c>
      <c r="E44" s="185" t="s">
        <v>38</v>
      </c>
      <c r="F44" s="206">
        <f>[2]Mensuel!$G$2159/2</f>
        <v>103500</v>
      </c>
      <c r="G44" s="186" t="s">
        <v>121</v>
      </c>
      <c r="H44" s="187">
        <v>0.5</v>
      </c>
      <c r="I44" s="187">
        <v>0</v>
      </c>
      <c r="J44" s="188">
        <f t="shared" si="8"/>
        <v>0.5</v>
      </c>
      <c r="K44" s="189" t="str">
        <f t="shared" si="9"/>
        <v/>
      </c>
      <c r="L44" s="190"/>
      <c r="M44" s="261"/>
      <c r="N44" s="262"/>
      <c r="O44" s="262"/>
      <c r="P44" s="262"/>
      <c r="Q44" s="262"/>
      <c r="R44" s="263"/>
      <c r="S44" s="45"/>
      <c r="T44" s="45"/>
      <c r="U44" s="46"/>
      <c r="V44" s="46"/>
      <c r="W44" s="46"/>
      <c r="X44" s="47"/>
    </row>
    <row r="45" spans="1:27">
      <c r="A45" s="331"/>
      <c r="B45" s="196" t="s">
        <v>22</v>
      </c>
      <c r="C45" s="197" t="s">
        <v>58</v>
      </c>
      <c r="D45" s="197" t="s">
        <v>59</v>
      </c>
      <c r="E45" s="197" t="s">
        <v>38</v>
      </c>
      <c r="F45" s="207">
        <f>[2]Mensuel!$G$2165</f>
        <v>209000</v>
      </c>
      <c r="G45" s="198"/>
      <c r="H45" s="195">
        <v>1</v>
      </c>
      <c r="I45" s="195">
        <v>0</v>
      </c>
      <c r="J45" s="188">
        <f t="shared" si="8"/>
        <v>1</v>
      </c>
      <c r="K45" s="189" t="str">
        <f t="shared" si="9"/>
        <v/>
      </c>
      <c r="L45" s="190"/>
      <c r="M45" s="261"/>
      <c r="N45" s="262"/>
      <c r="O45" s="262"/>
      <c r="P45" s="262"/>
      <c r="Q45" s="262"/>
      <c r="R45" s="263"/>
      <c r="S45" s="45"/>
      <c r="T45" s="45"/>
      <c r="U45" s="46"/>
      <c r="V45" s="46"/>
      <c r="W45" s="46"/>
      <c r="X45" s="47"/>
    </row>
    <row r="46" spans="1:27" ht="16" thickBot="1">
      <c r="A46" s="332"/>
      <c r="B46" s="191" t="s">
        <v>34</v>
      </c>
      <c r="C46" s="192" t="s">
        <v>53</v>
      </c>
      <c r="D46" s="192" t="s">
        <v>55</v>
      </c>
      <c r="E46" s="192" t="s">
        <v>39</v>
      </c>
      <c r="F46" s="208">
        <f>[2]Mensuel!$G$2194</f>
        <v>163000</v>
      </c>
      <c r="G46" s="193"/>
      <c r="H46" s="194">
        <v>1</v>
      </c>
      <c r="I46" s="194">
        <v>0</v>
      </c>
      <c r="J46" s="188">
        <f t="shared" si="8"/>
        <v>1</v>
      </c>
      <c r="K46" s="189" t="str">
        <f t="shared" si="9"/>
        <v/>
      </c>
      <c r="L46" s="190"/>
      <c r="M46" s="297"/>
      <c r="N46" s="298"/>
      <c r="O46" s="298"/>
      <c r="P46" s="298"/>
      <c r="Q46" s="298"/>
      <c r="R46" s="299"/>
      <c r="S46" s="45"/>
      <c r="T46" s="45"/>
      <c r="U46" s="46"/>
      <c r="V46" s="62"/>
      <c r="W46" s="62"/>
      <c r="X46" s="24"/>
      <c r="Y46" s="63"/>
      <c r="Z46" s="60"/>
      <c r="AA46" s="60"/>
    </row>
    <row r="47" spans="1:27" ht="17" thickTop="1" thickBot="1">
      <c r="A47" s="258" t="s">
        <v>138</v>
      </c>
      <c r="B47" s="259"/>
      <c r="C47" s="259"/>
      <c r="D47" s="259"/>
      <c r="E47" s="260"/>
      <c r="F47" s="25">
        <f>SUM(F42:F46)</f>
        <v>873500</v>
      </c>
      <c r="G47" s="23"/>
      <c r="H47" s="26">
        <f>SUM(H42:H46)</f>
        <v>4.5</v>
      </c>
      <c r="I47" s="26">
        <f>SUM(I42:I46)</f>
        <v>0</v>
      </c>
      <c r="J47" s="26">
        <f>SUM(J42:J46)</f>
        <v>4.5</v>
      </c>
      <c r="K47" s="27">
        <f>SUM(K42:K46)</f>
        <v>0</v>
      </c>
      <c r="L47" s="64">
        <f>F47+K47</f>
        <v>873500</v>
      </c>
      <c r="M47" s="322">
        <f>'[1]29 au 06-03'!$C$19+'[1]29 au 06-03'!$D$19+'[1]29 au 06-03'!$E$19+'[1]29 au 06-03'!$F$19+'[1]29 au 06-03'!$G$19+'[1]07 au 13-03'!$C$19+'[1]07 au 13-03'!$D$19+'[1]07 au 13-03'!$E$19+'[1]07 au 13-03'!$F$19+'[1]07 au 13-03'!$G$19+'[1]14 au 20-03'!$C$19+'[1]14 au 20-03'!$D$19+'[1]14 au 20-03'!$E$19+'[1]14 au 20-03'!$F$19+'[1]14 au 20-03'!$G$19+'[1]21 au 27-03'!$C$19+'[1]21 au 27-03'!$D$19+'[1]21 au 27-03'!$E$19+'[1]21 au 27-03'!$F$19+'[1]21 au 27-03'!$G$19+'[1]28 au 03-04'!$C$19+'[1]28 au 03-04'!$D$19+'[1]28 au 03-04'!$E$19+'[1]28 au 03-04'!$F$19+'[1]28 au 03-04'!$G$19</f>
        <v>76</v>
      </c>
      <c r="N47" s="323"/>
      <c r="O47" s="274">
        <f>'[1]29 au 06-03'!$H$19+'[1]07 au 13-03'!$H$19+'[1]14 au 20-03'!$H$19+'[1]21 au 27-03'!$H$19+'[1]28 au 03-04'!$H$19</f>
        <v>61</v>
      </c>
      <c r="P47" s="274"/>
      <c r="Q47" s="274">
        <f>Q39+O47</f>
        <v>192</v>
      </c>
      <c r="R47" s="275"/>
      <c r="S47" s="45"/>
      <c r="T47" s="45"/>
      <c r="U47" s="46"/>
      <c r="V47" s="62"/>
      <c r="W47" s="62"/>
      <c r="X47" s="24"/>
      <c r="Y47" s="63"/>
      <c r="Z47" s="60"/>
      <c r="AA47" s="60"/>
    </row>
    <row r="48" spans="1:27" s="60" customFormat="1" ht="16.25" customHeight="1" thickTop="1">
      <c r="A48" s="330" t="s">
        <v>64</v>
      </c>
      <c r="B48" s="199" t="s">
        <v>22</v>
      </c>
      <c r="C48" s="200" t="s">
        <v>63</v>
      </c>
      <c r="D48" s="200" t="s">
        <v>62</v>
      </c>
      <c r="E48" s="200" t="s">
        <v>43</v>
      </c>
      <c r="F48" s="209">
        <f>[2]Mensuel!$G$2234/2</f>
        <v>107500</v>
      </c>
      <c r="G48" s="201" t="s">
        <v>121</v>
      </c>
      <c r="H48" s="202">
        <v>0.5</v>
      </c>
      <c r="I48" s="202">
        <v>0</v>
      </c>
      <c r="J48" s="188">
        <f t="shared" si="8"/>
        <v>0.5</v>
      </c>
      <c r="K48" s="189" t="str">
        <f>IF(I48=1,-F48,"")</f>
        <v/>
      </c>
      <c r="L48" s="190"/>
      <c r="M48" s="261" t="s">
        <v>155</v>
      </c>
      <c r="N48" s="262"/>
      <c r="O48" s="262"/>
      <c r="P48" s="262"/>
      <c r="Q48" s="262"/>
      <c r="R48" s="263"/>
      <c r="S48" s="45"/>
      <c r="T48" s="45"/>
      <c r="U48" s="46"/>
      <c r="V48" s="62"/>
      <c r="W48" s="62"/>
      <c r="X48" s="65"/>
      <c r="Y48" s="63"/>
    </row>
    <row r="49" spans="1:27">
      <c r="A49" s="331"/>
      <c r="B49" s="196" t="s">
        <v>22</v>
      </c>
      <c r="C49" s="197" t="s">
        <v>51</v>
      </c>
      <c r="D49" s="197" t="s">
        <v>52</v>
      </c>
      <c r="E49" s="197" t="s">
        <v>38</v>
      </c>
      <c r="F49" s="207">
        <f>[2]Mensuel!$G$2237</f>
        <v>206000</v>
      </c>
      <c r="G49" s="198"/>
      <c r="H49" s="195">
        <v>1</v>
      </c>
      <c r="I49" s="195">
        <v>0</v>
      </c>
      <c r="J49" s="188">
        <f t="shared" si="8"/>
        <v>1</v>
      </c>
      <c r="K49" s="189" t="str">
        <f t="shared" ref="K49:K50" si="10">IF(I49=1,-F49,"")</f>
        <v/>
      </c>
      <c r="L49" s="190"/>
      <c r="M49" s="261"/>
      <c r="N49" s="262"/>
      <c r="O49" s="262"/>
      <c r="P49" s="262"/>
      <c r="Q49" s="262"/>
      <c r="R49" s="263"/>
      <c r="S49" s="45"/>
      <c r="T49" s="45"/>
      <c r="U49" s="46"/>
      <c r="V49" s="46"/>
      <c r="W49" s="46"/>
      <c r="X49" s="47"/>
    </row>
    <row r="50" spans="1:27" ht="16" thickBot="1">
      <c r="A50" s="332"/>
      <c r="B50" s="191" t="s">
        <v>34</v>
      </c>
      <c r="C50" s="192" t="s">
        <v>56</v>
      </c>
      <c r="D50" s="192" t="s">
        <v>57</v>
      </c>
      <c r="E50" s="192" t="s">
        <v>38</v>
      </c>
      <c r="F50" s="208">
        <f>[2]Mensuel!$G$2278</f>
        <v>275000</v>
      </c>
      <c r="G50" s="193"/>
      <c r="H50" s="194">
        <v>1</v>
      </c>
      <c r="I50" s="194">
        <v>0</v>
      </c>
      <c r="J50" s="188">
        <f t="shared" si="8"/>
        <v>1</v>
      </c>
      <c r="K50" s="189" t="str">
        <f t="shared" si="10"/>
        <v/>
      </c>
      <c r="L50" s="190"/>
      <c r="M50" s="261"/>
      <c r="N50" s="262"/>
      <c r="O50" s="262"/>
      <c r="P50" s="262"/>
      <c r="Q50" s="262"/>
      <c r="R50" s="263"/>
      <c r="S50" s="45"/>
      <c r="T50" s="45"/>
      <c r="U50" s="46"/>
      <c r="V50" s="46"/>
      <c r="W50" s="46"/>
      <c r="X50" s="47"/>
    </row>
    <row r="51" spans="1:27" ht="17" thickTop="1" thickBot="1">
      <c r="A51" s="258" t="s">
        <v>140</v>
      </c>
      <c r="B51" s="259"/>
      <c r="C51" s="259"/>
      <c r="D51" s="259"/>
      <c r="E51" s="260"/>
      <c r="F51" s="25">
        <f>SUM(F48:F50)</f>
        <v>588500</v>
      </c>
      <c r="G51" s="23"/>
      <c r="H51" s="26">
        <f>SUM(H48:H50)</f>
        <v>2.5</v>
      </c>
      <c r="I51" s="26">
        <f>SUM(I48:I50)</f>
        <v>0</v>
      </c>
      <c r="J51" s="26">
        <f>SUM(J48:J50)</f>
        <v>2.5</v>
      </c>
      <c r="K51" s="27">
        <f>SUM(K48:K50)</f>
        <v>0</v>
      </c>
      <c r="L51" s="64">
        <f>F51+K51</f>
        <v>588500</v>
      </c>
      <c r="M51" s="313">
        <f>'[1]04 au 10-04'!$C$19+'[1]04 au 10-04'!$D$19+'[1]04 au 10-04'!$E$19+'[1]04 au 10-04'!$F$19+'[1]04 au 10-04'!$G$19+'[1]11 au 17-04'!$C$19+'[1]11 au 17-04'!$D$19+'[1]11 au 17-04'!$E$19+'[1]11 au 17-04'!$F$19+'[1]11 au 17-04'!$G$19+'[1]18 au 24-04'!$C$19+'[1]18 au 24-04'!$D$19+'[1]18 au 24-04'!$E$19+'[1]18 au 24-04'!$F$19+'[1]18 au 24-04'!$G$19+'[1]25 au 30-04'!$C$19+'[1]25 au 30-04'!$D$19+'[1]25 au 30-04'!$E$19+'[1]25 au 30-04'!$F$19+'[1]25 au 30-04'!$G$19</f>
        <v>74</v>
      </c>
      <c r="N51" s="274"/>
      <c r="O51" s="274">
        <f>'[1]04 au 10-04'!$H$19+'[1]11 au 17-04'!$H$19+'[1]18 au 24-04'!$H$19+'[1]25 au 30-04'!$H$19</f>
        <v>63</v>
      </c>
      <c r="P51" s="274"/>
      <c r="Q51" s="274">
        <f>Q47+O51</f>
        <v>255</v>
      </c>
      <c r="R51" s="275"/>
      <c r="S51" s="45"/>
      <c r="T51" s="45"/>
      <c r="U51" s="46"/>
      <c r="V51" s="62"/>
      <c r="W51" s="62"/>
      <c r="X51" s="24"/>
      <c r="Y51" s="63"/>
      <c r="Z51" s="60"/>
      <c r="AA51" s="60"/>
    </row>
    <row r="52" spans="1:27" ht="16.25" customHeight="1" thickTop="1">
      <c r="A52" s="235" t="s">
        <v>67</v>
      </c>
      <c r="B52" s="210" t="s">
        <v>34</v>
      </c>
      <c r="C52" s="211" t="s">
        <v>65</v>
      </c>
      <c r="D52" s="211" t="s">
        <v>66</v>
      </c>
      <c r="E52" s="211" t="s">
        <v>38</v>
      </c>
      <c r="F52" s="212">
        <f>[2]Mensuel!$G$2306</f>
        <v>285000</v>
      </c>
      <c r="G52" s="213"/>
      <c r="H52" s="214">
        <v>1</v>
      </c>
      <c r="I52" s="214">
        <v>1</v>
      </c>
      <c r="J52" s="188">
        <f t="shared" si="8"/>
        <v>0</v>
      </c>
      <c r="K52" s="189">
        <f>IF(I52=1,-F52,"")</f>
        <v>-285000</v>
      </c>
      <c r="L52" s="190"/>
      <c r="M52" s="261" t="s">
        <v>159</v>
      </c>
      <c r="N52" s="262"/>
      <c r="O52" s="262"/>
      <c r="P52" s="262"/>
      <c r="Q52" s="262"/>
      <c r="R52" s="263"/>
      <c r="S52" s="228" t="s">
        <v>149</v>
      </c>
      <c r="T52" s="229"/>
      <c r="U52" s="229"/>
      <c r="V52" s="46"/>
      <c r="W52" s="46"/>
      <c r="X52" s="47"/>
    </row>
    <row r="53" spans="1:27" ht="16" thickBot="1">
      <c r="A53" s="236"/>
      <c r="B53" s="191" t="s">
        <v>34</v>
      </c>
      <c r="C53" s="192" t="s">
        <v>68</v>
      </c>
      <c r="D53" s="192" t="s">
        <v>69</v>
      </c>
      <c r="E53" s="192" t="s">
        <v>38</v>
      </c>
      <c r="F53" s="208">
        <f>[2]Mensuel!$G$2307</f>
        <v>285000</v>
      </c>
      <c r="G53" s="193"/>
      <c r="H53" s="194">
        <v>1</v>
      </c>
      <c r="I53" s="194">
        <v>0</v>
      </c>
      <c r="J53" s="188">
        <f t="shared" si="8"/>
        <v>1</v>
      </c>
      <c r="K53" s="189" t="str">
        <f t="shared" ref="K53" si="11">IF(I53=1,-F53,"")</f>
        <v/>
      </c>
      <c r="L53" s="190"/>
      <c r="M53" s="261"/>
      <c r="N53" s="262"/>
      <c r="O53" s="262"/>
      <c r="P53" s="262"/>
      <c r="Q53" s="262"/>
      <c r="R53" s="263"/>
      <c r="S53" s="16"/>
      <c r="T53" s="16"/>
      <c r="U53" s="16"/>
      <c r="V53" s="16"/>
      <c r="W53" s="16"/>
      <c r="X53" s="16"/>
    </row>
    <row r="54" spans="1:27" ht="17" thickTop="1" thickBot="1">
      <c r="A54" s="258" t="s">
        <v>141</v>
      </c>
      <c r="B54" s="259"/>
      <c r="C54" s="259"/>
      <c r="D54" s="259"/>
      <c r="E54" s="260"/>
      <c r="F54" s="25">
        <f>SUM(F52:F53)</f>
        <v>570000</v>
      </c>
      <c r="G54" s="23"/>
      <c r="H54" s="26">
        <f>SUM(H52:H53)</f>
        <v>2</v>
      </c>
      <c r="I54" s="26">
        <f>SUM(I52:I53)</f>
        <v>1</v>
      </c>
      <c r="J54" s="26">
        <f>SUM(J52:J53)</f>
        <v>1</v>
      </c>
      <c r="K54" s="27">
        <f>SUM(K52:K53)</f>
        <v>-285000</v>
      </c>
      <c r="L54" s="64">
        <f>F54+K54</f>
        <v>285000</v>
      </c>
      <c r="M54" s="313">
        <f>'[1]01 au 08-05'!$C$20+'[1]01 au 08-05'!$D$20+'[1]01 au 08-05'!$E$20+'[1]01 au 08-05'!$F$20+'[1]01 au 08-05'!$G$20+'[1]09 au 15-05'!$C$20+'[1]09 au 15-05'!$D$20+'[1]09 au 15-05'!$E$20+'[1]09 au 15-05'!$F$20+'[1]09 au 15-05'!$G$20+'[1]09 au 15-05'!$H$20+'[1]16 au 22-05'!$C$20+'[1]16 au 22-05'!$D$20+'[1]16 au 22-05'!$E$20+'[1]16 au 22-05'!$F$20+'[1]16 au 22-05'!$G$20+'[1]16 au 22-05'!$H$20+'[1]23 au 29-05'!$C$23+'[1]23 au 29-05'!$D$23+'[1]23 au 29-05'!$E$23+'[1]23 au 29-05'!$F$23+'[1]23 au 29-05'!$G$23+'[1]23 au 29-05'!$H$23</f>
        <v>38</v>
      </c>
      <c r="N54" s="274"/>
      <c r="O54" s="274">
        <f>'[1]01 au 08-05'!$H$20+'[1]09 au 15-05'!$I$20+'[1]16 au 22-05'!$I$20+'[1]23 au 29-05'!$I$23</f>
        <v>27</v>
      </c>
      <c r="P54" s="274"/>
      <c r="Q54" s="274">
        <f>Q51+O54</f>
        <v>282</v>
      </c>
      <c r="R54" s="275"/>
      <c r="S54" s="45"/>
      <c r="T54" s="45"/>
      <c r="U54" s="46"/>
      <c r="V54" s="62"/>
      <c r="W54" s="62"/>
      <c r="X54" s="24"/>
      <c r="Y54" s="63"/>
      <c r="Z54" s="60"/>
      <c r="AA54" s="60"/>
    </row>
    <row r="55" spans="1:27" ht="17" thickTop="1" thickBot="1">
      <c r="A55" s="302" t="s">
        <v>129</v>
      </c>
      <c r="B55" s="303"/>
      <c r="C55" s="303"/>
      <c r="D55" s="303"/>
      <c r="E55" s="304"/>
      <c r="F55" s="203">
        <f>F47+F51+F54</f>
        <v>2032000</v>
      </c>
      <c r="G55" s="204"/>
      <c r="H55" s="205">
        <f t="shared" ref="H55:M55" si="12">H47+H51+H54</f>
        <v>9</v>
      </c>
      <c r="I55" s="205">
        <f t="shared" si="12"/>
        <v>1</v>
      </c>
      <c r="J55" s="205">
        <f t="shared" si="12"/>
        <v>8</v>
      </c>
      <c r="K55" s="215">
        <f t="shared" si="12"/>
        <v>-285000</v>
      </c>
      <c r="L55" s="216">
        <f t="shared" si="12"/>
        <v>1747000</v>
      </c>
      <c r="M55" s="315">
        <f t="shared" si="12"/>
        <v>188</v>
      </c>
      <c r="N55" s="316"/>
      <c r="O55" s="272">
        <f>O47+O51+O54</f>
        <v>151</v>
      </c>
      <c r="P55" s="272"/>
      <c r="Q55" s="272">
        <f>Q40+O55</f>
        <v>282</v>
      </c>
      <c r="R55" s="273"/>
      <c r="S55" s="16"/>
      <c r="T55" s="16"/>
      <c r="U55" s="16"/>
      <c r="V55" s="16"/>
      <c r="W55" s="16"/>
      <c r="X55" s="16"/>
    </row>
    <row r="56" spans="1:27" ht="16.75" customHeight="1" thickTop="1" thickBot="1">
      <c r="A56" s="244" t="s">
        <v>130</v>
      </c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  <c r="R56" s="246"/>
      <c r="S56" s="16"/>
      <c r="T56" s="16"/>
      <c r="U56" s="16"/>
      <c r="V56" s="16"/>
      <c r="W56" s="16"/>
      <c r="X56" s="16"/>
    </row>
    <row r="57" spans="1:27" s="60" customFormat="1" ht="16.75" customHeight="1" thickTop="1" thickBot="1">
      <c r="A57" s="150" t="s">
        <v>71</v>
      </c>
      <c r="B57" s="72"/>
      <c r="C57" s="73"/>
      <c r="D57" s="73"/>
      <c r="E57" s="73"/>
      <c r="F57" s="74">
        <v>0</v>
      </c>
      <c r="G57" s="75"/>
      <c r="H57" s="76">
        <v>0</v>
      </c>
      <c r="I57" s="76">
        <v>1</v>
      </c>
      <c r="J57" s="28">
        <f t="shared" ref="J57" si="13">H57-I57</f>
        <v>-1</v>
      </c>
      <c r="K57" s="34">
        <v>-285000</v>
      </c>
      <c r="L57" s="83"/>
      <c r="M57" s="319" t="s">
        <v>160</v>
      </c>
      <c r="N57" s="320"/>
      <c r="O57" s="320"/>
      <c r="P57" s="320"/>
      <c r="Q57" s="320"/>
      <c r="R57" s="321"/>
      <c r="S57" s="45"/>
      <c r="T57" s="45"/>
      <c r="U57" s="46"/>
      <c r="V57" s="62"/>
      <c r="W57" s="62"/>
      <c r="X57" s="65"/>
      <c r="Y57" s="63"/>
    </row>
    <row r="58" spans="1:27" ht="17" thickTop="1" thickBot="1">
      <c r="A58" s="251" t="s">
        <v>144</v>
      </c>
      <c r="B58" s="252"/>
      <c r="C58" s="252"/>
      <c r="D58" s="252"/>
      <c r="E58" s="253"/>
      <c r="F58" s="25">
        <f>SUM(F56:F57)</f>
        <v>0</v>
      </c>
      <c r="G58" s="29"/>
      <c r="H58" s="134">
        <f>SUM(H57)</f>
        <v>0</v>
      </c>
      <c r="I58" s="134">
        <f>SUM(I57)</f>
        <v>1</v>
      </c>
      <c r="J58" s="134">
        <f>SUM(J57)</f>
        <v>-1</v>
      </c>
      <c r="K58" s="27">
        <f>SUM(K57)</f>
        <v>-285000</v>
      </c>
      <c r="L58" s="135">
        <f>F58+K58</f>
        <v>-285000</v>
      </c>
      <c r="M58" s="254">
        <f>'[1]30-05 au 05-06'!$C$23+'[1]30-05 au 05-06'!$D$23+'[1]30-05 au 05-06'!$E$23+'[1]30-05 au 05-06'!$F$23+'[1]30-05 au 05-06'!$G$23+'[1]30-05 au 05-06'!$H$23+'[1]06 au 12-06'!$C$23+'[1]06 au 12-06'!$D$23+'[1]06 au 12-06'!$E$23+'[1]06 au 12-06'!$F$23+'[1]06 au 12-06'!$G$23+'[1]06 au 12-06'!$H$23+'[1]13 au 19-06'!$C$23+'[1]13 au 19-06'!$D$23+'[1]13 au 19-06'!$E$23+'[1]13 au 19-06'!$F$23+'[1]13 au 19-06'!$G$23+'[1]13 au 19-06'!$H$23+'[1]20 au 26-06'!$C$23+'[1]20 au 26-06'!$D$23+'[1]20 au 26-06'!$E$23+'[1]20 au 26-06'!$F$23+'[1]20 au 26-06'!$G$23+'[1]20 au 26-06'!$H$23+'[1]27-06 au 03-07'!$C$25+'[1]27-06 au 03-07'!$D$25+'[1]27-06 au 03-07'!$E$25+'[1]27-06 au 03-07'!$F$25+'[1]27-06 au 03-07'!$G$25+'[1]27-06 au 03-07'!$H$25</f>
        <v>115</v>
      </c>
      <c r="N58" s="240"/>
      <c r="O58" s="240">
        <f>'[1]30-05 au 05-06'!$I$23+'[1]06 au 12-06'!$I$23+'[1]13 au 19-06'!$I$23+'[1]20 au 26-06'!$I$23+'[1]27-06 au 03-07'!$I$25</f>
        <v>81</v>
      </c>
      <c r="P58" s="240"/>
      <c r="Q58" s="240">
        <f>Q55+O58</f>
        <v>363</v>
      </c>
      <c r="R58" s="241"/>
      <c r="S58" s="45"/>
      <c r="T58" s="45"/>
      <c r="U58" s="46"/>
      <c r="V58" s="62"/>
      <c r="W58" s="62"/>
      <c r="X58" s="24"/>
      <c r="Y58" s="63"/>
      <c r="Z58" s="60"/>
      <c r="AA58" s="60"/>
    </row>
    <row r="59" spans="1:27" ht="16.25" customHeight="1" thickTop="1">
      <c r="A59" s="238" t="s">
        <v>79</v>
      </c>
      <c r="B59" s="151" t="s">
        <v>22</v>
      </c>
      <c r="C59" s="152" t="s">
        <v>82</v>
      </c>
      <c r="D59" s="152" t="s">
        <v>83</v>
      </c>
      <c r="E59" s="152" t="s">
        <v>38</v>
      </c>
      <c r="F59" s="153">
        <f>[2]Mensuel!$G$2462</f>
        <v>201000</v>
      </c>
      <c r="G59" s="154"/>
      <c r="H59" s="155">
        <v>1</v>
      </c>
      <c r="I59" s="155">
        <v>0</v>
      </c>
      <c r="J59" s="156">
        <f t="shared" ref="J59:J65" si="14">H59-I59</f>
        <v>1</v>
      </c>
      <c r="K59" s="157" t="str">
        <f>IF(I59=1,-F59,"")</f>
        <v/>
      </c>
      <c r="L59" s="158"/>
      <c r="M59" s="269" t="s">
        <v>161</v>
      </c>
      <c r="N59" s="270"/>
      <c r="O59" s="270"/>
      <c r="P59" s="270"/>
      <c r="Q59" s="270"/>
      <c r="R59" s="271"/>
      <c r="S59" s="45"/>
      <c r="T59" s="45"/>
      <c r="U59" s="46"/>
      <c r="V59" s="66"/>
      <c r="W59" s="66"/>
      <c r="X59" s="66"/>
      <c r="Y59" s="61"/>
      <c r="Z59" s="61"/>
      <c r="AA59" s="61"/>
    </row>
    <row r="60" spans="1:27">
      <c r="A60" s="238"/>
      <c r="B60" s="159" t="s">
        <v>20</v>
      </c>
      <c r="C60" s="160" t="s">
        <v>80</v>
      </c>
      <c r="D60" s="160">
        <v>105</v>
      </c>
      <c r="E60" s="160" t="s">
        <v>39</v>
      </c>
      <c r="F60" s="161">
        <f>[2]Mensuel!$G$2452/2</f>
        <v>131500</v>
      </c>
      <c r="G60" s="162" t="s">
        <v>122</v>
      </c>
      <c r="H60" s="163">
        <v>0.5</v>
      </c>
      <c r="I60" s="163">
        <v>0</v>
      </c>
      <c r="J60" s="156">
        <f t="shared" si="14"/>
        <v>0.5</v>
      </c>
      <c r="K60" s="157" t="str">
        <f t="shared" ref="K60:K70" si="15">IF(I60=1,-F60,"")</f>
        <v/>
      </c>
      <c r="L60" s="158"/>
      <c r="M60" s="255"/>
      <c r="N60" s="256"/>
      <c r="O60" s="256"/>
      <c r="P60" s="256"/>
      <c r="Q60" s="256"/>
      <c r="R60" s="257"/>
      <c r="S60" s="45"/>
      <c r="T60" s="45"/>
      <c r="U60" s="46"/>
      <c r="V60" s="46"/>
      <c r="W60" s="46"/>
      <c r="X60" s="47"/>
    </row>
    <row r="61" spans="1:27">
      <c r="A61" s="238"/>
      <c r="B61" s="159" t="s">
        <v>170</v>
      </c>
      <c r="C61" s="160" t="s">
        <v>92</v>
      </c>
      <c r="D61" s="160" t="s">
        <v>174</v>
      </c>
      <c r="E61" s="160" t="s">
        <v>84</v>
      </c>
      <c r="F61" s="161">
        <f>[2]Mensuel!$G$2426</f>
        <v>701760</v>
      </c>
      <c r="G61" s="162"/>
      <c r="H61" s="163">
        <v>4</v>
      </c>
      <c r="I61" s="163">
        <v>0</v>
      </c>
      <c r="J61" s="156">
        <f t="shared" ref="J61" si="16">H61-I61</f>
        <v>4</v>
      </c>
      <c r="K61" s="157" t="str">
        <f t="shared" ref="K61" si="17">IF(I61=1,-F61,"")</f>
        <v/>
      </c>
      <c r="L61" s="164"/>
      <c r="M61" s="255"/>
      <c r="N61" s="256"/>
      <c r="O61" s="256"/>
      <c r="P61" s="256"/>
      <c r="Q61" s="256"/>
      <c r="R61" s="257"/>
      <c r="S61" s="45"/>
      <c r="T61" s="45"/>
      <c r="U61" s="46"/>
      <c r="V61" s="46"/>
      <c r="W61" s="46"/>
      <c r="X61" s="47"/>
    </row>
    <row r="62" spans="1:27" ht="25.25" customHeight="1">
      <c r="A62" s="238"/>
      <c r="B62" s="165" t="s">
        <v>76</v>
      </c>
      <c r="C62" s="220" t="s">
        <v>81</v>
      </c>
      <c r="D62" s="166" t="s">
        <v>175</v>
      </c>
      <c r="E62" s="166" t="s">
        <v>39</v>
      </c>
      <c r="F62" s="167">
        <f>[2]Mensuel!$G$2428</f>
        <v>169600</v>
      </c>
      <c r="G62" s="168"/>
      <c r="H62" s="169">
        <v>1</v>
      </c>
      <c r="I62" s="169">
        <v>0</v>
      </c>
      <c r="J62" s="156">
        <f t="shared" si="14"/>
        <v>1</v>
      </c>
      <c r="K62" s="157" t="str">
        <f t="shared" si="15"/>
        <v/>
      </c>
      <c r="L62" s="164"/>
      <c r="M62" s="255"/>
      <c r="N62" s="256"/>
      <c r="O62" s="256"/>
      <c r="P62" s="256"/>
      <c r="Q62" s="256"/>
      <c r="R62" s="257"/>
      <c r="S62" s="45"/>
      <c r="T62" s="45"/>
      <c r="U62" s="46"/>
      <c r="V62" s="66"/>
      <c r="W62" s="66"/>
      <c r="X62" s="66"/>
      <c r="Y62" s="61"/>
      <c r="Z62" s="61"/>
      <c r="AA62" s="61"/>
    </row>
    <row r="63" spans="1:27">
      <c r="A63" s="238"/>
      <c r="B63" s="165" t="s">
        <v>76</v>
      </c>
      <c r="C63" s="166" t="s">
        <v>80</v>
      </c>
      <c r="D63" s="166" t="s">
        <v>176</v>
      </c>
      <c r="E63" s="166" t="s">
        <v>39</v>
      </c>
      <c r="F63" s="167">
        <f>[2]Mensuel!$G$2422</f>
        <v>264000</v>
      </c>
      <c r="G63" s="170"/>
      <c r="H63" s="171">
        <v>1</v>
      </c>
      <c r="I63" s="171">
        <v>0</v>
      </c>
      <c r="J63" s="156">
        <f t="shared" si="14"/>
        <v>1</v>
      </c>
      <c r="K63" s="157" t="str">
        <f t="shared" si="15"/>
        <v/>
      </c>
      <c r="L63" s="164"/>
      <c r="M63" s="255"/>
      <c r="N63" s="256"/>
      <c r="O63" s="256"/>
      <c r="P63" s="256"/>
      <c r="Q63" s="256"/>
      <c r="R63" s="257"/>
      <c r="S63" s="45"/>
      <c r="T63" s="45"/>
      <c r="U63" s="46"/>
      <c r="V63" s="46"/>
      <c r="W63" s="46"/>
      <c r="X63" s="47"/>
    </row>
    <row r="64" spans="1:27">
      <c r="A64" s="238"/>
      <c r="B64" s="172" t="s">
        <v>74</v>
      </c>
      <c r="C64" s="173" t="s">
        <v>75</v>
      </c>
      <c r="D64" s="173">
        <v>29</v>
      </c>
      <c r="E64" s="173" t="s">
        <v>73</v>
      </c>
      <c r="F64" s="174">
        <f>[2]Mensuel!$G$2438</f>
        <v>221000</v>
      </c>
      <c r="G64" s="175"/>
      <c r="H64" s="176">
        <v>1</v>
      </c>
      <c r="I64" s="176">
        <v>1</v>
      </c>
      <c r="J64" s="156">
        <f t="shared" si="14"/>
        <v>0</v>
      </c>
      <c r="K64" s="157">
        <f t="shared" si="15"/>
        <v>-221000</v>
      </c>
      <c r="L64" s="164"/>
      <c r="M64" s="255"/>
      <c r="N64" s="256"/>
      <c r="O64" s="256"/>
      <c r="P64" s="256"/>
      <c r="Q64" s="256"/>
      <c r="R64" s="257"/>
      <c r="S64" s="45"/>
      <c r="T64" s="45"/>
      <c r="U64" s="46"/>
      <c r="V64" s="62"/>
      <c r="W64" s="62"/>
      <c r="X64" s="65"/>
      <c r="Y64" s="63"/>
      <c r="Z64" s="60"/>
      <c r="AA64" s="60"/>
    </row>
    <row r="65" spans="1:27" s="35" customFormat="1" ht="16" thickBot="1">
      <c r="A65" s="239"/>
      <c r="B65" s="159" t="s">
        <v>74</v>
      </c>
      <c r="C65" s="160" t="s">
        <v>78</v>
      </c>
      <c r="D65" s="160">
        <v>41</v>
      </c>
      <c r="E65" s="160" t="s">
        <v>38</v>
      </c>
      <c r="F65" s="161">
        <f>[2]Mensuel!$G$2437</f>
        <v>274000</v>
      </c>
      <c r="G65" s="177"/>
      <c r="H65" s="178">
        <v>1</v>
      </c>
      <c r="I65" s="178">
        <v>0</v>
      </c>
      <c r="J65" s="156">
        <f t="shared" si="14"/>
        <v>1</v>
      </c>
      <c r="K65" s="157" t="str">
        <f t="shared" si="15"/>
        <v/>
      </c>
      <c r="L65" s="164"/>
      <c r="M65" s="288"/>
      <c r="N65" s="289"/>
      <c r="O65" s="289"/>
      <c r="P65" s="289"/>
      <c r="Q65" s="289"/>
      <c r="R65" s="290"/>
      <c r="S65" s="45"/>
      <c r="T65" s="45"/>
      <c r="U65" s="46"/>
      <c r="V65" s="62"/>
      <c r="W65" s="62"/>
      <c r="X65" s="65"/>
      <c r="Y65" s="63"/>
      <c r="Z65" s="60"/>
      <c r="AA65" s="60"/>
    </row>
    <row r="66" spans="1:27" ht="17" thickTop="1" thickBot="1">
      <c r="A66" s="251" t="s">
        <v>142</v>
      </c>
      <c r="B66" s="252"/>
      <c r="C66" s="252"/>
      <c r="D66" s="252"/>
      <c r="E66" s="253"/>
      <c r="F66" s="25">
        <f>SUM(F59:F65)</f>
        <v>1962860</v>
      </c>
      <c r="G66" s="29"/>
      <c r="H66" s="134">
        <f>SUM(H59:H65)</f>
        <v>9.5</v>
      </c>
      <c r="I66" s="134">
        <f>SUM(I59:I65)</f>
        <v>1</v>
      </c>
      <c r="J66" s="134">
        <f>SUM(J59:J65)</f>
        <v>8.5</v>
      </c>
      <c r="K66" s="27">
        <f>SUM(K59:K65)</f>
        <v>-221000</v>
      </c>
      <c r="L66" s="135">
        <f>F66+K66</f>
        <v>1741860</v>
      </c>
      <c r="M66" s="254">
        <f>'[1]04 au 10-07'!$C$25+'[1]04 au 10-07'!$D$25+'[1]04 au 10-07'!$E$25+'[1]04 au 10-07'!$F$25+'[1]04 au 10-07'!$G$25+'[1]04 au 10-07'!$H$25+'[1]11 au 17-07'!$C$25+'[1]11 au 17-07'!$D$25+'[1]11 au 17-07'!$E$25+'[1]11 au 17-07'!$F$25+'[1]11 au 17-07'!$G$25+'[1]11 au 17-07'!$H$25+'[1]18 au 24-07'!$C$25+'[1]18 au 24-07'!$D$25+'[1]18 au 24-07'!$E$25+'[1]18 au 24-07'!$F$25+'[1]18 au 24-07'!$G$25+'[1]18 au 24-07'!$H$25+'[1]25 au 31-07'!$C$25+'[1]25 au 31-07'!$D$25+'[1]25 au 31-07'!$E$25+'[1]25 au 31-07'!$F$25+'[1]25 au 31-07'!$G$25+'[1]25 au 31-07'!$H$25</f>
        <v>66</v>
      </c>
      <c r="N66" s="240"/>
      <c r="O66" s="240">
        <f>'[1]04 au 10-07'!$I$25+'[1]11 au 17-07'!$I$25+'[1]18 au 24-07'!$I$25+'[1]25 au 31-07'!$I$25</f>
        <v>52</v>
      </c>
      <c r="P66" s="240"/>
      <c r="Q66" s="240">
        <f>Q58+O66</f>
        <v>415</v>
      </c>
      <c r="R66" s="241"/>
      <c r="S66" s="45"/>
      <c r="T66" s="45"/>
      <c r="U66" s="46"/>
      <c r="V66" s="62"/>
      <c r="W66" s="62"/>
      <c r="X66" s="24"/>
      <c r="Y66" s="63"/>
      <c r="Z66" s="60"/>
      <c r="AA66" s="60"/>
    </row>
    <row r="67" spans="1:27" ht="16.25" customHeight="1" thickTop="1">
      <c r="A67" s="238" t="s">
        <v>88</v>
      </c>
      <c r="B67" s="151" t="s">
        <v>37</v>
      </c>
      <c r="C67" s="152" t="s">
        <v>49</v>
      </c>
      <c r="D67" s="152">
        <v>201</v>
      </c>
      <c r="E67" s="152" t="s">
        <v>39</v>
      </c>
      <c r="F67" s="153">
        <f>[2]Mensuel!$G$2467</f>
        <v>0</v>
      </c>
      <c r="G67" s="154"/>
      <c r="H67" s="155">
        <v>1</v>
      </c>
      <c r="I67" s="155">
        <v>0</v>
      </c>
      <c r="J67" s="156">
        <f t="shared" ref="J67" si="18">H67-I67</f>
        <v>1</v>
      </c>
      <c r="K67" s="157" t="str">
        <f t="shared" ref="K67" si="19">IF(I67=1,-F67,"")</f>
        <v/>
      </c>
      <c r="L67" s="164"/>
      <c r="M67" s="255" t="s">
        <v>162</v>
      </c>
      <c r="N67" s="256"/>
      <c r="O67" s="256"/>
      <c r="P67" s="256"/>
      <c r="Q67" s="256"/>
      <c r="R67" s="257"/>
      <c r="S67" s="226" t="s">
        <v>123</v>
      </c>
      <c r="T67" s="227"/>
      <c r="U67" s="227"/>
      <c r="V67" s="227"/>
      <c r="W67" s="227"/>
      <c r="X67" s="227"/>
      <c r="Y67" s="227"/>
      <c r="Z67" s="60"/>
      <c r="AA67" s="60"/>
    </row>
    <row r="68" spans="1:27" ht="25.25" customHeight="1">
      <c r="A68" s="238"/>
      <c r="B68" s="151" t="s">
        <v>22</v>
      </c>
      <c r="C68" s="219" t="s">
        <v>124</v>
      </c>
      <c r="D68" s="152" t="s">
        <v>86</v>
      </c>
      <c r="E68" s="152" t="s">
        <v>38</v>
      </c>
      <c r="F68" s="153">
        <f>[2]Mensuel!$G$2481</f>
        <v>195000</v>
      </c>
      <c r="G68" s="154"/>
      <c r="H68" s="155">
        <v>1</v>
      </c>
      <c r="I68" s="155">
        <v>0</v>
      </c>
      <c r="J68" s="156">
        <f t="shared" ref="J68:J70" si="20">H68-I68</f>
        <v>1</v>
      </c>
      <c r="K68" s="157" t="str">
        <f t="shared" si="15"/>
        <v/>
      </c>
      <c r="L68" s="164"/>
      <c r="M68" s="255"/>
      <c r="N68" s="256"/>
      <c r="O68" s="256"/>
      <c r="P68" s="256"/>
      <c r="Q68" s="256"/>
      <c r="R68" s="257"/>
      <c r="S68" s="45"/>
      <c r="T68" s="45"/>
      <c r="U68" s="46"/>
      <c r="V68" s="62"/>
      <c r="W68" s="62"/>
      <c r="X68" s="65"/>
      <c r="Y68" s="63"/>
      <c r="Z68" s="60"/>
      <c r="AA68" s="60"/>
    </row>
    <row r="69" spans="1:27">
      <c r="A69" s="238"/>
      <c r="B69" s="151" t="s">
        <v>22</v>
      </c>
      <c r="C69" s="152" t="s">
        <v>85</v>
      </c>
      <c r="D69" s="152" t="s">
        <v>87</v>
      </c>
      <c r="E69" s="152" t="s">
        <v>38</v>
      </c>
      <c r="F69" s="153">
        <f>[2]Mensuel!$G$2482</f>
        <v>192000</v>
      </c>
      <c r="G69" s="154"/>
      <c r="H69" s="155">
        <v>1</v>
      </c>
      <c r="I69" s="155">
        <v>0</v>
      </c>
      <c r="J69" s="156">
        <f t="shared" si="20"/>
        <v>1</v>
      </c>
      <c r="K69" s="157" t="str">
        <f t="shared" si="15"/>
        <v/>
      </c>
      <c r="L69" s="164"/>
      <c r="M69" s="255"/>
      <c r="N69" s="256"/>
      <c r="O69" s="256"/>
      <c r="P69" s="256"/>
      <c r="Q69" s="256"/>
      <c r="R69" s="257"/>
      <c r="S69" s="45"/>
      <c r="T69" s="45"/>
      <c r="U69" s="46"/>
      <c r="V69" s="62"/>
      <c r="W69" s="62"/>
      <c r="X69" s="65"/>
      <c r="Y69" s="63"/>
      <c r="Z69" s="60"/>
      <c r="AA69" s="60"/>
    </row>
    <row r="70" spans="1:27" ht="16" thickBot="1">
      <c r="A70" s="238"/>
      <c r="B70" s="165" t="s">
        <v>22</v>
      </c>
      <c r="C70" s="166" t="s">
        <v>90</v>
      </c>
      <c r="D70" s="166" t="s">
        <v>125</v>
      </c>
      <c r="E70" s="166" t="s">
        <v>38</v>
      </c>
      <c r="F70" s="167">
        <f>[2]Mensuel!$G$2480</f>
        <v>187000</v>
      </c>
      <c r="G70" s="170"/>
      <c r="H70" s="171">
        <v>1</v>
      </c>
      <c r="I70" s="171">
        <v>0</v>
      </c>
      <c r="J70" s="156">
        <f t="shared" si="20"/>
        <v>1</v>
      </c>
      <c r="K70" s="157" t="str">
        <f t="shared" si="15"/>
        <v/>
      </c>
      <c r="L70" s="164"/>
      <c r="M70" s="255"/>
      <c r="N70" s="256"/>
      <c r="O70" s="256"/>
      <c r="P70" s="256"/>
      <c r="Q70" s="256"/>
      <c r="R70" s="257"/>
      <c r="S70" s="45"/>
      <c r="T70" s="45"/>
      <c r="U70" s="46"/>
      <c r="V70" s="62"/>
      <c r="W70" s="62"/>
      <c r="X70" s="65"/>
      <c r="Y70" s="63"/>
      <c r="Z70" s="60"/>
      <c r="AA70" s="60"/>
    </row>
    <row r="71" spans="1:27" ht="17" thickTop="1" thickBot="1">
      <c r="A71" s="258" t="s">
        <v>143</v>
      </c>
      <c r="B71" s="259"/>
      <c r="C71" s="259"/>
      <c r="D71" s="259"/>
      <c r="E71" s="260"/>
      <c r="F71" s="25">
        <f>SUM(F67:F70)</f>
        <v>574000</v>
      </c>
      <c r="G71" s="23"/>
      <c r="H71" s="134">
        <f>SUM(H67:H70)</f>
        <v>4</v>
      </c>
      <c r="I71" s="134">
        <f>SUM(I67:I70)</f>
        <v>0</v>
      </c>
      <c r="J71" s="134">
        <f>SUM(J67:J70)</f>
        <v>4</v>
      </c>
      <c r="K71" s="27">
        <f>SUM(K67:K70)</f>
        <v>0</v>
      </c>
      <c r="L71" s="135">
        <f>F71+K71</f>
        <v>574000</v>
      </c>
      <c r="M71" s="254">
        <f>'[1]01 au 07-08'!$C$25+'[1]01 au 07-08'!$D$25+'[1]01 au 07-08'!$E$25+'[1]01 au 07-08'!$F$25+'[1]01 au 07-08'!$G$25+'[1]01 au 07-08'!$H$25+'[1]08 au 14-08'!$C$25+'[1]08 au 14-08'!$D$25+'[1]08 au 14-08'!$E$25+'[1]08 au 14-08'!$F$25+'[1]08 au 14-08'!$G$25+'[1]08 au 14-08'!$H$25+'[1]15 au 21-08'!$C$25+'[1]15 au 21-08'!$D$25+'[1]15 au 21-08'!$E$25+'[1]15 au 21-08'!$F$25+'[1]15 au 21-08'!$G$25+'[1]15 au 21-08'!$H$25+'[1]22 au 28-08'!$C$25+'[1]22 au 28-08'!$D$25+'[1]22 au 28-08'!$E$25+'[1]22 au 28-08'!$F$25+'[1]22 au 28-08'!$G$25+'[1]22 au 28-08'!$H$25+'[1]29-08 au 04-09'!$C$25+'[1]29-08 au 04-09'!$D$25+'[1]29-08 au 04-09'!$E$25+'[1]29-08 au 04-09'!$F$25+'[1]29-08 au 04-09'!$G$25+'[1]29-08 au 04-09'!$H$25</f>
        <v>58</v>
      </c>
      <c r="N71" s="240"/>
      <c r="O71" s="240">
        <f>'[1]01 au 07-08'!$I$25+'[1]08 au 14-08'!$I$25+'[1]15 au 21-08'!$I$25+'[1]22 au 28-08'!$I$25+'[1]29-08 au 04-09'!$I$25</f>
        <v>51</v>
      </c>
      <c r="P71" s="240"/>
      <c r="Q71" s="240">
        <f>Q66+O71</f>
        <v>466</v>
      </c>
      <c r="R71" s="241"/>
      <c r="S71" s="45"/>
      <c r="T71" s="45"/>
      <c r="U71" s="46"/>
      <c r="V71" s="62"/>
      <c r="W71" s="62"/>
      <c r="X71" s="24"/>
      <c r="Y71" s="63"/>
      <c r="Z71" s="60"/>
      <c r="AA71" s="60"/>
    </row>
    <row r="72" spans="1:27" ht="17" thickTop="1" thickBot="1">
      <c r="A72" s="279" t="s">
        <v>131</v>
      </c>
      <c r="B72" s="280"/>
      <c r="C72" s="280"/>
      <c r="D72" s="280"/>
      <c r="E72" s="281"/>
      <c r="F72" s="179">
        <f>F58+F66+F71</f>
        <v>2536860</v>
      </c>
      <c r="G72" s="180"/>
      <c r="H72" s="181">
        <f t="shared" ref="H72:M72" si="21">H58+H66+H71</f>
        <v>13.5</v>
      </c>
      <c r="I72" s="181">
        <f t="shared" si="21"/>
        <v>2</v>
      </c>
      <c r="J72" s="181">
        <f t="shared" si="21"/>
        <v>11.5</v>
      </c>
      <c r="K72" s="182">
        <f t="shared" si="21"/>
        <v>-506000</v>
      </c>
      <c r="L72" s="183">
        <f t="shared" si="21"/>
        <v>2030860</v>
      </c>
      <c r="M72" s="282">
        <f t="shared" si="21"/>
        <v>239</v>
      </c>
      <c r="N72" s="242"/>
      <c r="O72" s="242">
        <f>O71+O66+O58</f>
        <v>184</v>
      </c>
      <c r="P72" s="242"/>
      <c r="Q72" s="242">
        <f>Q55+O72</f>
        <v>466</v>
      </c>
      <c r="R72" s="243"/>
      <c r="S72" s="16"/>
      <c r="T72" s="113"/>
      <c r="U72" s="113"/>
      <c r="V72" s="113"/>
      <c r="W72" s="113"/>
      <c r="X72" s="16"/>
    </row>
    <row r="73" spans="1:27" ht="16.75" customHeight="1" thickTop="1" thickBot="1">
      <c r="A73" s="244" t="s">
        <v>132</v>
      </c>
      <c r="B73" s="245"/>
      <c r="C73" s="245"/>
      <c r="D73" s="245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  <c r="R73" s="246"/>
      <c r="S73" s="46"/>
      <c r="T73" s="46"/>
      <c r="U73" s="62"/>
      <c r="V73" s="62"/>
      <c r="W73" s="62"/>
      <c r="X73" s="65"/>
      <c r="Y73" s="63"/>
      <c r="Z73" s="60"/>
      <c r="AA73" s="60"/>
    </row>
    <row r="74" spans="1:27" ht="25.25" customHeight="1" thickTop="1">
      <c r="A74" s="310" t="s">
        <v>91</v>
      </c>
      <c r="B74" s="84" t="s">
        <v>22</v>
      </c>
      <c r="C74" s="218" t="s">
        <v>105</v>
      </c>
      <c r="D74" s="85" t="s">
        <v>106</v>
      </c>
      <c r="E74" s="85" t="s">
        <v>38</v>
      </c>
      <c r="F74" s="86">
        <f>[2]Mensuel!$G$2569</f>
        <v>200000</v>
      </c>
      <c r="G74" s="87"/>
      <c r="H74" s="88">
        <v>1</v>
      </c>
      <c r="I74" s="88">
        <v>0</v>
      </c>
      <c r="J74" s="89">
        <f t="shared" ref="J74:J79" si="22">H74-I74</f>
        <v>1</v>
      </c>
      <c r="K74" s="90" t="str">
        <f t="shared" ref="K74:K93" si="23">IF(I74=1,-F74,"")</f>
        <v/>
      </c>
      <c r="L74" s="91"/>
      <c r="M74" s="232" t="s">
        <v>163</v>
      </c>
      <c r="N74" s="233"/>
      <c r="O74" s="233"/>
      <c r="P74" s="233"/>
      <c r="Q74" s="233"/>
      <c r="R74" s="234"/>
      <c r="S74" s="46"/>
      <c r="T74" s="46"/>
      <c r="U74" s="62"/>
      <c r="V74" s="62"/>
      <c r="W74" s="62"/>
      <c r="X74" s="65"/>
      <c r="Y74" s="63"/>
      <c r="Z74" s="60"/>
      <c r="AA74" s="60"/>
    </row>
    <row r="75" spans="1:27">
      <c r="A75" s="310"/>
      <c r="B75" s="92" t="s">
        <v>22</v>
      </c>
      <c r="C75" s="93" t="s">
        <v>93</v>
      </c>
      <c r="D75" s="93" t="s">
        <v>94</v>
      </c>
      <c r="E75" s="93" t="s">
        <v>38</v>
      </c>
      <c r="F75" s="94">
        <f>[2]Mensuel!$G$2570</f>
        <v>197000</v>
      </c>
      <c r="G75" s="95"/>
      <c r="H75" s="96">
        <v>1</v>
      </c>
      <c r="I75" s="96">
        <v>0</v>
      </c>
      <c r="J75" s="89">
        <f t="shared" si="22"/>
        <v>1</v>
      </c>
      <c r="K75" s="90" t="str">
        <f t="shared" si="23"/>
        <v/>
      </c>
      <c r="L75" s="91"/>
      <c r="M75" s="232"/>
      <c r="N75" s="233"/>
      <c r="O75" s="233"/>
      <c r="P75" s="233"/>
      <c r="Q75" s="233"/>
      <c r="R75" s="234"/>
      <c r="S75" s="46"/>
      <c r="T75" s="46"/>
      <c r="U75" s="62"/>
      <c r="V75" s="62"/>
      <c r="W75" s="62"/>
      <c r="X75" s="65"/>
      <c r="Y75" s="63"/>
      <c r="Z75" s="60"/>
      <c r="AA75" s="60"/>
    </row>
    <row r="76" spans="1:27">
      <c r="A76" s="310"/>
      <c r="B76" s="92" t="s">
        <v>76</v>
      </c>
      <c r="C76" s="93" t="s">
        <v>97</v>
      </c>
      <c r="D76" s="93" t="s">
        <v>95</v>
      </c>
      <c r="E76" s="93" t="s">
        <v>38</v>
      </c>
      <c r="F76" s="94">
        <f>[2]Mensuel!$G$2523/2</f>
        <v>165000</v>
      </c>
      <c r="G76" s="95" t="s">
        <v>121</v>
      </c>
      <c r="H76" s="96">
        <v>0.5</v>
      </c>
      <c r="I76" s="96">
        <v>0</v>
      </c>
      <c r="J76" s="89">
        <f t="shared" si="22"/>
        <v>0.5</v>
      </c>
      <c r="K76" s="90" t="str">
        <f t="shared" si="23"/>
        <v/>
      </c>
      <c r="L76" s="91"/>
      <c r="M76" s="232"/>
      <c r="N76" s="233"/>
      <c r="O76" s="233"/>
      <c r="P76" s="233"/>
      <c r="Q76" s="233"/>
      <c r="R76" s="234"/>
      <c r="S76" s="46"/>
      <c r="T76" s="46"/>
      <c r="U76" s="62"/>
      <c r="V76" s="62"/>
      <c r="W76" s="62"/>
      <c r="X76" s="65"/>
      <c r="Y76" s="63"/>
      <c r="Z76" s="60"/>
      <c r="AA76" s="60"/>
    </row>
    <row r="77" spans="1:27">
      <c r="A77" s="310"/>
      <c r="B77" s="92" t="s">
        <v>76</v>
      </c>
      <c r="C77" s="93" t="s">
        <v>103</v>
      </c>
      <c r="D77" s="93" t="s">
        <v>104</v>
      </c>
      <c r="E77" s="93" t="s">
        <v>39</v>
      </c>
      <c r="F77" s="94">
        <f>[2]Mensuel!$G$2531</f>
        <v>244000</v>
      </c>
      <c r="G77" s="95"/>
      <c r="H77" s="96">
        <v>1</v>
      </c>
      <c r="I77" s="96">
        <v>0</v>
      </c>
      <c r="J77" s="89">
        <f t="shared" si="22"/>
        <v>1</v>
      </c>
      <c r="K77" s="90" t="str">
        <f t="shared" si="23"/>
        <v/>
      </c>
      <c r="L77" s="91"/>
      <c r="M77" s="232"/>
      <c r="N77" s="233"/>
      <c r="O77" s="233"/>
      <c r="P77" s="233"/>
      <c r="Q77" s="233"/>
      <c r="R77" s="234"/>
      <c r="S77" s="46"/>
      <c r="T77" s="46"/>
      <c r="U77" s="62"/>
      <c r="V77" s="62"/>
      <c r="W77" s="62"/>
      <c r="X77" s="65"/>
      <c r="Y77" s="63"/>
      <c r="Z77" s="60"/>
      <c r="AA77" s="60"/>
    </row>
    <row r="78" spans="1:27">
      <c r="A78" s="310"/>
      <c r="B78" s="92" t="s">
        <v>76</v>
      </c>
      <c r="C78" s="93" t="s">
        <v>100</v>
      </c>
      <c r="D78" s="93" t="s">
        <v>101</v>
      </c>
      <c r="E78" s="93" t="s">
        <v>39</v>
      </c>
      <c r="F78" s="94">
        <f>[2]Mensuel!$G$2533</f>
        <v>255000</v>
      </c>
      <c r="G78" s="95"/>
      <c r="H78" s="96">
        <v>1</v>
      </c>
      <c r="I78" s="96">
        <v>0</v>
      </c>
      <c r="J78" s="89">
        <f t="shared" si="22"/>
        <v>1</v>
      </c>
      <c r="K78" s="90" t="str">
        <f t="shared" si="23"/>
        <v/>
      </c>
      <c r="L78" s="91"/>
      <c r="M78" s="232"/>
      <c r="N78" s="233"/>
      <c r="O78" s="233"/>
      <c r="P78" s="233"/>
      <c r="Q78" s="233"/>
      <c r="R78" s="234"/>
      <c r="S78" s="16"/>
      <c r="T78" s="16"/>
      <c r="U78" s="16"/>
      <c r="V78" s="16"/>
      <c r="W78" s="16"/>
      <c r="X78" s="16"/>
      <c r="Y78" s="63"/>
      <c r="Z78" s="60"/>
      <c r="AA78" s="60"/>
    </row>
    <row r="79" spans="1:27" ht="16" thickBot="1">
      <c r="A79" s="311"/>
      <c r="B79" s="92" t="s">
        <v>32</v>
      </c>
      <c r="C79" s="97" t="s">
        <v>102</v>
      </c>
      <c r="D79" s="93">
        <v>50</v>
      </c>
      <c r="E79" s="93" t="s">
        <v>38</v>
      </c>
      <c r="F79" s="94">
        <f>[2]Mensuel!$G$2539</f>
        <v>270857</v>
      </c>
      <c r="G79" s="95"/>
      <c r="H79" s="96">
        <v>1</v>
      </c>
      <c r="I79" s="96">
        <v>0</v>
      </c>
      <c r="J79" s="89">
        <f t="shared" si="22"/>
        <v>1</v>
      </c>
      <c r="K79" s="90" t="str">
        <f t="shared" si="23"/>
        <v/>
      </c>
      <c r="L79" s="91"/>
      <c r="M79" s="232"/>
      <c r="N79" s="233"/>
      <c r="O79" s="233"/>
      <c r="P79" s="233"/>
      <c r="Q79" s="233"/>
      <c r="R79" s="234"/>
      <c r="S79" s="46"/>
      <c r="T79" s="46"/>
      <c r="U79" s="62"/>
      <c r="V79" s="62"/>
      <c r="W79" s="62"/>
      <c r="X79" s="65"/>
      <c r="Y79" s="63"/>
      <c r="Z79" s="60"/>
      <c r="AA79" s="60"/>
    </row>
    <row r="80" spans="1:27" ht="17" thickTop="1" thickBot="1">
      <c r="A80" s="251" t="s">
        <v>145</v>
      </c>
      <c r="B80" s="252"/>
      <c r="C80" s="252"/>
      <c r="D80" s="252"/>
      <c r="E80" s="253"/>
      <c r="F80" s="25">
        <f>SUM(F74:F79)</f>
        <v>1331857</v>
      </c>
      <c r="G80" s="23"/>
      <c r="H80" s="134">
        <f>SUM(H74:H79)</f>
        <v>5.5</v>
      </c>
      <c r="I80" s="134">
        <f>SUM(I74:I79)</f>
        <v>0</v>
      </c>
      <c r="J80" s="134">
        <f>SUM(J74:J79)</f>
        <v>5.5</v>
      </c>
      <c r="K80" s="27">
        <f>SUM(K74:K79)</f>
        <v>0</v>
      </c>
      <c r="L80" s="135">
        <f>F80+K80</f>
        <v>1331857</v>
      </c>
      <c r="M80" s="254">
        <f>'[1]05 au 11-09'!$C$25+'[1]05 au 11-09'!$D$25+'[1]05 au 11-09'!$E$25+'[1]05 au 11-09'!$F$25+'[1]05 au 11-09'!$G$25+'[1]05 au 11-09'!$H$25+'[1]12 au 18-09'!$C$25+'[1]12 au 18-09'!$D$25+'[1]12 au 18-09'!$E$25+'[1]12 au 18-09'!$F$25+'[1]12 au 18-09'!$G$25+'[1]12 au 18-09'!$H$25+'[1]19 au 25-09'!$C$25+'[1]19 au 25-09'!$D$25+'[1]19 au 25-09'!$E$25+'[1]19 au 25-09'!$F$25+'[1]19 au 25-09'!$G$25+'[1]19 au 25-09'!$H$25+'[1]26-09 au 02-10'!$C$25+'[1]26-09 au 02-10'!$D$25+'[1]26-09 au 02-10'!$E$25+'[1]26-09 au 02-10'!$F$25+'[1]26-09 au 02-10'!$G$25+'[1]26-09 au 02-10'!$H$25</f>
        <v>174</v>
      </c>
      <c r="N80" s="240"/>
      <c r="O80" s="240">
        <f>'[1]05 au 11-09'!$I$25+'[1]12 au 18-09'!$I$25+'[1]19 au 25-09'!$I$25+'[1]26-09 au 02-10'!$I$25</f>
        <v>135</v>
      </c>
      <c r="P80" s="240"/>
      <c r="Q80" s="240">
        <f>Q72+O80</f>
        <v>601</v>
      </c>
      <c r="R80" s="241"/>
      <c r="S80" s="45"/>
      <c r="T80" s="45"/>
      <c r="U80" s="46"/>
      <c r="V80" s="62"/>
      <c r="W80" s="62"/>
      <c r="X80" s="24"/>
      <c r="Y80" s="63"/>
      <c r="Z80" s="60"/>
      <c r="AA80" s="60"/>
    </row>
    <row r="81" spans="1:27" ht="37.25" customHeight="1" thickTop="1">
      <c r="A81" s="230" t="s">
        <v>99</v>
      </c>
      <c r="B81" s="116" t="s">
        <v>171</v>
      </c>
      <c r="C81" s="218" t="s">
        <v>168</v>
      </c>
      <c r="D81" s="85" t="s">
        <v>107</v>
      </c>
      <c r="E81" s="85" t="s">
        <v>84</v>
      </c>
      <c r="F81" s="98">
        <f>[2]Mensuel!$G$2588</f>
        <v>202000</v>
      </c>
      <c r="G81" s="99"/>
      <c r="H81" s="100">
        <v>2</v>
      </c>
      <c r="I81" s="100">
        <v>0</v>
      </c>
      <c r="J81" s="89">
        <f t="shared" ref="J81:J83" si="24">H81-I81</f>
        <v>2</v>
      </c>
      <c r="K81" s="90" t="str">
        <f t="shared" si="23"/>
        <v/>
      </c>
      <c r="L81" s="91"/>
      <c r="M81" s="276" t="s">
        <v>164</v>
      </c>
      <c r="N81" s="277"/>
      <c r="O81" s="277"/>
      <c r="P81" s="277"/>
      <c r="Q81" s="277"/>
      <c r="R81" s="278"/>
      <c r="S81" s="46"/>
      <c r="T81" s="46"/>
      <c r="U81" s="62"/>
      <c r="V81" s="62"/>
      <c r="W81" s="62"/>
      <c r="X81" s="65"/>
      <c r="Y81" s="63"/>
      <c r="Z81" s="60"/>
      <c r="AA81" s="60"/>
    </row>
    <row r="82" spans="1:27">
      <c r="A82" s="231"/>
      <c r="B82" s="117" t="s">
        <v>22</v>
      </c>
      <c r="C82" s="102" t="s">
        <v>108</v>
      </c>
      <c r="D82" s="102">
        <v>83</v>
      </c>
      <c r="E82" s="102" t="s">
        <v>38</v>
      </c>
      <c r="F82" s="103">
        <f>[2]Mensuel!$G$2680</f>
        <v>195000</v>
      </c>
      <c r="G82" s="104"/>
      <c r="H82" s="105">
        <v>1</v>
      </c>
      <c r="I82" s="105">
        <v>0</v>
      </c>
      <c r="J82" s="89">
        <f t="shared" si="24"/>
        <v>1</v>
      </c>
      <c r="K82" s="90" t="str">
        <f t="shared" si="23"/>
        <v/>
      </c>
      <c r="L82" s="91"/>
      <c r="M82" s="276"/>
      <c r="N82" s="277"/>
      <c r="O82" s="277"/>
      <c r="P82" s="277"/>
      <c r="Q82" s="277"/>
      <c r="R82" s="278"/>
      <c r="S82" s="46"/>
      <c r="T82" s="46"/>
      <c r="U82" s="62"/>
      <c r="V82" s="62"/>
      <c r="W82" s="62"/>
      <c r="X82" s="65"/>
      <c r="Y82" s="63"/>
      <c r="Z82" s="60"/>
      <c r="AA82" s="60"/>
    </row>
    <row r="83" spans="1:27">
      <c r="A83" s="231"/>
      <c r="B83" s="119" t="s">
        <v>77</v>
      </c>
      <c r="C83" s="93" t="s">
        <v>98</v>
      </c>
      <c r="D83" s="93">
        <v>20</v>
      </c>
      <c r="E83" s="93" t="s">
        <v>38</v>
      </c>
      <c r="F83" s="94">
        <f>[2]Mensuel!$G$2579/2</f>
        <v>131000</v>
      </c>
      <c r="G83" s="95" t="s">
        <v>122</v>
      </c>
      <c r="H83" s="96">
        <v>0.5</v>
      </c>
      <c r="I83" s="95">
        <v>0</v>
      </c>
      <c r="J83" s="114">
        <f t="shared" si="24"/>
        <v>0.5</v>
      </c>
      <c r="K83" s="115" t="str">
        <f t="shared" si="23"/>
        <v/>
      </c>
      <c r="L83" s="91"/>
      <c r="M83" s="276"/>
      <c r="N83" s="277"/>
      <c r="O83" s="277"/>
      <c r="P83" s="277"/>
      <c r="Q83" s="277"/>
      <c r="R83" s="278"/>
      <c r="S83" s="46"/>
      <c r="T83" s="46"/>
      <c r="U83" s="62"/>
      <c r="V83" s="62"/>
      <c r="W83" s="62"/>
      <c r="X83" s="65"/>
      <c r="Y83" s="63"/>
      <c r="Z83" s="60"/>
      <c r="AA83" s="60"/>
    </row>
    <row r="84" spans="1:27">
      <c r="A84" s="231"/>
      <c r="B84" s="119" t="s">
        <v>74</v>
      </c>
      <c r="C84" s="93" t="s">
        <v>111</v>
      </c>
      <c r="D84" s="93">
        <v>28</v>
      </c>
      <c r="E84" s="93" t="s">
        <v>73</v>
      </c>
      <c r="F84" s="94">
        <f>[2]Mensuel!$G$2612</f>
        <v>224000</v>
      </c>
      <c r="G84" s="95"/>
      <c r="H84" s="96">
        <v>1</v>
      </c>
      <c r="I84" s="95">
        <v>0</v>
      </c>
      <c r="J84" s="114">
        <f t="shared" ref="J84:J85" si="25">H84-I84</f>
        <v>1</v>
      </c>
      <c r="K84" s="115" t="str">
        <f t="shared" ref="K84:K85" si="26">IF(I84=1,-F84,"")</f>
        <v/>
      </c>
      <c r="L84" s="91"/>
      <c r="M84" s="140"/>
      <c r="N84" s="138"/>
      <c r="O84" s="138"/>
      <c r="P84" s="138"/>
      <c r="Q84" s="138"/>
      <c r="R84" s="141"/>
      <c r="S84" s="46"/>
      <c r="T84" s="46"/>
      <c r="U84" s="62"/>
      <c r="V84" s="62"/>
      <c r="W84" s="62"/>
      <c r="X84" s="65"/>
      <c r="Y84" s="63"/>
      <c r="Z84" s="60"/>
      <c r="AA84" s="60"/>
    </row>
    <row r="85" spans="1:27" ht="16" thickBot="1">
      <c r="A85" s="237"/>
      <c r="B85" s="106" t="s">
        <v>74</v>
      </c>
      <c r="C85" s="217" t="s">
        <v>173</v>
      </c>
      <c r="D85" s="97">
        <v>42</v>
      </c>
      <c r="E85" s="97" t="s">
        <v>73</v>
      </c>
      <c r="F85" s="107">
        <f>[2]Mensuel!$G$2614</f>
        <v>274000</v>
      </c>
      <c r="G85" s="108"/>
      <c r="H85" s="109">
        <v>1</v>
      </c>
      <c r="I85" s="108">
        <v>0</v>
      </c>
      <c r="J85" s="149">
        <f t="shared" si="25"/>
        <v>1</v>
      </c>
      <c r="K85" s="118" t="str">
        <f t="shared" si="26"/>
        <v/>
      </c>
      <c r="L85" s="91"/>
      <c r="M85" s="140"/>
      <c r="N85" s="138"/>
      <c r="O85" s="138"/>
      <c r="P85" s="138"/>
      <c r="Q85" s="138"/>
      <c r="R85" s="141"/>
      <c r="S85" s="46"/>
      <c r="T85" s="46"/>
      <c r="U85" s="62"/>
      <c r="V85" s="62"/>
      <c r="W85" s="62"/>
      <c r="X85" s="65"/>
      <c r="Y85" s="63"/>
      <c r="Z85" s="60"/>
      <c r="AA85" s="60"/>
    </row>
    <row r="86" spans="1:27" ht="16.75" customHeight="1" thickTop="1" thickBot="1">
      <c r="A86" s="258" t="s">
        <v>146</v>
      </c>
      <c r="B86" s="259"/>
      <c r="C86" s="259"/>
      <c r="D86" s="259"/>
      <c r="E86" s="260"/>
      <c r="F86" s="25">
        <f>SUM(F81:F85)</f>
        <v>1026000</v>
      </c>
      <c r="G86" s="23"/>
      <c r="H86" s="134">
        <f>SUM(H81:H85)</f>
        <v>5.5</v>
      </c>
      <c r="I86" s="134">
        <f>SUM(I81:I85)</f>
        <v>0</v>
      </c>
      <c r="J86" s="134">
        <f>SUM(J81:J85)</f>
        <v>5.5</v>
      </c>
      <c r="K86" s="27">
        <f>SUM(K81:K85)</f>
        <v>0</v>
      </c>
      <c r="L86" s="135">
        <f>F86+K86</f>
        <v>1026000</v>
      </c>
      <c r="M86" s="254">
        <f>'[1]03 au 09-10'!$C$25+'[1]03 au 09-10'!$D$25+'[1]03 au 09-10'!$E$25+'[1]03 au 09-10'!$F$25+'[1]03 au 09-10'!$G$25+'[1]03 au 09-10'!$H$25+'[1]10 au 16-10'!$C$25+'[1]10 au 16-10'!$D$25+'[1]10 au 16-10'!$E$25+'[1]10 au 16-10'!$F$25+'[1]10 au 16-10'!$G$25+'[1]10 au 16-10'!$H$25+'[1]17 au 23-10'!$C$25+'[1]17 au 23-10'!$D$25+'[1]17 au 23-10'!$E$25+'[1]17 au 23-10'!$F$25+'[1]17 au 23-10'!$G$25+'[1]17 au 23-10'!$H$25+'[1]24 au 30-10'!$C$25+'[1]24 au 30-10'!$D$25+'[1]24 au 30-10'!$E$25+'[1]24 au 30-10'!$F$25+'[1]24 au 30-10'!$G$25+'[1]24 au 30-10'!$H$25</f>
        <v>145</v>
      </c>
      <c r="N86" s="240"/>
      <c r="O86" s="240">
        <f>'[1]03 au 09-10'!$I$25+'[1]10 au 16-10'!$I$25+'[1]17 au 23-10'!$I$25+'[1]24 au 30-10'!$I$25</f>
        <v>111</v>
      </c>
      <c r="P86" s="240"/>
      <c r="Q86" s="240">
        <f>Q80+O86</f>
        <v>712</v>
      </c>
      <c r="R86" s="241"/>
      <c r="S86" s="249"/>
      <c r="T86" s="250"/>
      <c r="U86" s="250"/>
      <c r="V86" s="250"/>
      <c r="W86" s="250"/>
      <c r="X86" s="250"/>
      <c r="Y86" s="63"/>
      <c r="Z86" s="60"/>
      <c r="AA86" s="60"/>
    </row>
    <row r="87" spans="1:27" ht="16.25" customHeight="1" thickTop="1">
      <c r="A87" s="309" t="s">
        <v>110</v>
      </c>
      <c r="B87" s="110"/>
      <c r="C87" s="111"/>
      <c r="D87" s="111"/>
      <c r="E87" s="111"/>
      <c r="F87" s="98">
        <v>0</v>
      </c>
      <c r="G87" s="99"/>
      <c r="H87" s="100">
        <v>0</v>
      </c>
      <c r="I87" s="100">
        <v>0</v>
      </c>
      <c r="J87" s="89">
        <f t="shared" ref="J87:J93" si="27">H87-I87</f>
        <v>0</v>
      </c>
      <c r="K87" s="90" t="str">
        <f t="shared" si="23"/>
        <v/>
      </c>
      <c r="L87" s="91"/>
      <c r="M87" s="232" t="s">
        <v>165</v>
      </c>
      <c r="N87" s="233"/>
      <c r="O87" s="233"/>
      <c r="P87" s="233"/>
      <c r="Q87" s="233"/>
      <c r="R87" s="234"/>
      <c r="S87" s="45"/>
      <c r="T87" s="45"/>
      <c r="U87" s="62"/>
      <c r="V87" s="62"/>
      <c r="W87" s="62"/>
      <c r="X87" s="65"/>
      <c r="Y87" s="63"/>
      <c r="Z87" s="60"/>
      <c r="AA87" s="60"/>
    </row>
    <row r="88" spans="1:27">
      <c r="A88" s="310"/>
      <c r="B88" s="92"/>
      <c r="C88" s="93"/>
      <c r="D88" s="93"/>
      <c r="E88" s="93"/>
      <c r="F88" s="103">
        <v>0</v>
      </c>
      <c r="G88" s="95"/>
      <c r="H88" s="96">
        <v>0</v>
      </c>
      <c r="I88" s="96">
        <v>0</v>
      </c>
      <c r="J88" s="89">
        <f t="shared" si="27"/>
        <v>0</v>
      </c>
      <c r="K88" s="90" t="str">
        <f t="shared" si="23"/>
        <v/>
      </c>
      <c r="L88" s="91"/>
      <c r="M88" s="232"/>
      <c r="N88" s="233"/>
      <c r="O88" s="233"/>
      <c r="P88" s="233"/>
      <c r="Q88" s="233"/>
      <c r="R88" s="234"/>
      <c r="S88" s="45"/>
      <c r="T88" s="45"/>
      <c r="U88" s="62"/>
      <c r="V88" s="62"/>
      <c r="W88" s="62"/>
      <c r="X88" s="65"/>
      <c r="Y88" s="63"/>
      <c r="Z88" s="60"/>
      <c r="AA88" s="60"/>
    </row>
    <row r="89" spans="1:27">
      <c r="A89" s="310"/>
      <c r="B89" s="92"/>
      <c r="C89" s="93"/>
      <c r="D89" s="93"/>
      <c r="E89" s="93"/>
      <c r="F89" s="94">
        <v>0</v>
      </c>
      <c r="G89" s="95"/>
      <c r="H89" s="96">
        <v>0</v>
      </c>
      <c r="I89" s="96">
        <v>0</v>
      </c>
      <c r="J89" s="89">
        <f t="shared" si="27"/>
        <v>0</v>
      </c>
      <c r="K89" s="90" t="str">
        <f t="shared" si="23"/>
        <v/>
      </c>
      <c r="L89" s="91"/>
      <c r="M89" s="232"/>
      <c r="N89" s="233"/>
      <c r="O89" s="233"/>
      <c r="P89" s="233"/>
      <c r="Q89" s="233"/>
      <c r="R89" s="234"/>
      <c r="S89" s="45"/>
      <c r="T89" s="45"/>
      <c r="U89" s="62"/>
      <c r="V89" s="62"/>
      <c r="W89" s="62"/>
      <c r="X89" s="65"/>
      <c r="Y89" s="63"/>
      <c r="Z89" s="60"/>
      <c r="AA89" s="60"/>
    </row>
    <row r="90" spans="1:27">
      <c r="A90" s="310"/>
      <c r="B90" s="92"/>
      <c r="C90" s="93"/>
      <c r="D90" s="93"/>
      <c r="E90" s="93"/>
      <c r="F90" s="94">
        <v>0</v>
      </c>
      <c r="G90" s="95"/>
      <c r="H90" s="96">
        <v>0</v>
      </c>
      <c r="I90" s="96">
        <v>0</v>
      </c>
      <c r="J90" s="89">
        <f t="shared" si="27"/>
        <v>0</v>
      </c>
      <c r="K90" s="90" t="str">
        <f t="shared" si="23"/>
        <v/>
      </c>
      <c r="L90" s="91"/>
      <c r="M90" s="232"/>
      <c r="N90" s="233"/>
      <c r="O90" s="233"/>
      <c r="P90" s="233"/>
      <c r="Q90" s="233"/>
      <c r="R90" s="234"/>
      <c r="S90" s="45"/>
      <c r="T90" s="45"/>
      <c r="U90" s="62"/>
      <c r="V90" s="62"/>
      <c r="W90" s="62"/>
      <c r="X90" s="65"/>
      <c r="Y90" s="63"/>
      <c r="Z90" s="60"/>
      <c r="AA90" s="60"/>
    </row>
    <row r="91" spans="1:27">
      <c r="A91" s="310"/>
      <c r="B91" s="92"/>
      <c r="C91" s="93"/>
      <c r="D91" s="93"/>
      <c r="E91" s="93"/>
      <c r="F91" s="94">
        <v>0</v>
      </c>
      <c r="G91" s="95"/>
      <c r="H91" s="96">
        <v>0</v>
      </c>
      <c r="I91" s="96">
        <v>0</v>
      </c>
      <c r="J91" s="89">
        <f t="shared" si="27"/>
        <v>0</v>
      </c>
      <c r="K91" s="90" t="str">
        <f t="shared" si="23"/>
        <v/>
      </c>
      <c r="L91" s="91"/>
      <c r="M91" s="232"/>
      <c r="N91" s="233"/>
      <c r="O91" s="233"/>
      <c r="P91" s="233"/>
      <c r="Q91" s="233"/>
      <c r="R91" s="234"/>
      <c r="S91" s="45"/>
      <c r="T91" s="45"/>
      <c r="U91" s="62"/>
      <c r="V91" s="62"/>
      <c r="W91" s="62"/>
      <c r="X91" s="65"/>
      <c r="Y91" s="63"/>
      <c r="Z91" s="60"/>
      <c r="AA91" s="60"/>
    </row>
    <row r="92" spans="1:27">
      <c r="A92" s="310"/>
      <c r="B92" s="92"/>
      <c r="C92" s="93"/>
      <c r="D92" s="93"/>
      <c r="E92" s="93"/>
      <c r="F92" s="94">
        <v>0</v>
      </c>
      <c r="G92" s="95"/>
      <c r="H92" s="96">
        <v>0</v>
      </c>
      <c r="I92" s="96">
        <v>0</v>
      </c>
      <c r="J92" s="89">
        <f t="shared" si="27"/>
        <v>0</v>
      </c>
      <c r="K92" s="90" t="str">
        <f t="shared" si="23"/>
        <v/>
      </c>
      <c r="L92" s="91"/>
      <c r="M92" s="232"/>
      <c r="N92" s="233"/>
      <c r="O92" s="233"/>
      <c r="P92" s="233"/>
      <c r="Q92" s="233"/>
      <c r="R92" s="234"/>
      <c r="S92" s="16"/>
      <c r="T92" s="16"/>
      <c r="U92" s="16"/>
      <c r="V92" s="16"/>
      <c r="W92" s="16"/>
      <c r="X92" s="16"/>
      <c r="Y92" s="63"/>
      <c r="Z92" s="60"/>
      <c r="AA92" s="60"/>
    </row>
    <row r="93" spans="1:27" ht="16" thickBot="1">
      <c r="A93" s="310"/>
      <c r="B93" s="101"/>
      <c r="C93" s="102"/>
      <c r="D93" s="102"/>
      <c r="E93" s="102"/>
      <c r="F93" s="103">
        <v>0</v>
      </c>
      <c r="G93" s="104"/>
      <c r="H93" s="105">
        <v>0</v>
      </c>
      <c r="I93" s="105">
        <v>0</v>
      </c>
      <c r="J93" s="89">
        <f t="shared" si="27"/>
        <v>0</v>
      </c>
      <c r="K93" s="90" t="str">
        <f t="shared" si="23"/>
        <v/>
      </c>
      <c r="L93" s="112"/>
      <c r="M93" s="232"/>
      <c r="N93" s="233"/>
      <c r="O93" s="233"/>
      <c r="P93" s="233"/>
      <c r="Q93" s="233"/>
      <c r="R93" s="234"/>
      <c r="S93" s="16"/>
      <c r="T93" s="16"/>
      <c r="U93" s="16"/>
      <c r="V93" s="16"/>
      <c r="W93" s="16"/>
      <c r="X93" s="16"/>
      <c r="Y93" s="63"/>
      <c r="Z93" s="60"/>
      <c r="AA93" s="60"/>
    </row>
    <row r="94" spans="1:27" ht="16.75" customHeight="1" thickTop="1" thickBot="1">
      <c r="A94" s="258" t="s">
        <v>147</v>
      </c>
      <c r="B94" s="259"/>
      <c r="C94" s="259"/>
      <c r="D94" s="259"/>
      <c r="E94" s="260"/>
      <c r="F94" s="25">
        <f>SUM(F90:F93)</f>
        <v>0</v>
      </c>
      <c r="G94" s="23"/>
      <c r="H94" s="134">
        <f>SUM(H90:H93)</f>
        <v>0</v>
      </c>
      <c r="I94" s="134">
        <f>SUM(I90:I93)</f>
        <v>0</v>
      </c>
      <c r="J94" s="134">
        <f>SUM(J90:J93)</f>
        <v>0</v>
      </c>
      <c r="K94" s="27">
        <f>SUM(K90:K93)</f>
        <v>0</v>
      </c>
      <c r="L94" s="135">
        <f>F94+K94</f>
        <v>0</v>
      </c>
      <c r="M94" s="254">
        <f>'[1]31-10 au 06-11'!$C$25+'[1]31-10 au 06-11'!$D$25+'[1]31-10 au 06-11'!$E$25+'[1]31-10 au 06-11'!$F$25+'[1]31-10 au 06-11'!$G$25+'[1]31-10 au 06-11'!$H$25</f>
        <v>27</v>
      </c>
      <c r="N94" s="240"/>
      <c r="O94" s="240">
        <f>'[1]31-10 au 06-11'!$C$25+'[1]31-10 au 06-11'!$D$25+'[1]31-10 au 06-11'!$E$25+'[1]31-10 au 06-11'!$F$25</f>
        <v>24</v>
      </c>
      <c r="P94" s="240"/>
      <c r="Q94" s="240">
        <f>Q86+O94</f>
        <v>736</v>
      </c>
      <c r="R94" s="241"/>
      <c r="S94" s="228" t="s">
        <v>166</v>
      </c>
      <c r="T94" s="229"/>
      <c r="U94" s="229"/>
      <c r="V94" s="229"/>
      <c r="W94" s="229"/>
      <c r="X94" s="229"/>
      <c r="Y94" s="63"/>
      <c r="Z94" s="60"/>
      <c r="AA94" s="60"/>
    </row>
    <row r="95" spans="1:27" ht="17" thickTop="1" thickBot="1">
      <c r="A95" s="336" t="s">
        <v>133</v>
      </c>
      <c r="B95" s="337"/>
      <c r="C95" s="337"/>
      <c r="D95" s="337"/>
      <c r="E95" s="338"/>
      <c r="F95" s="125">
        <f>F80+F86+F94</f>
        <v>2357857</v>
      </c>
      <c r="G95" s="130"/>
      <c r="H95" s="126">
        <f>H80+H86+H94</f>
        <v>11</v>
      </c>
      <c r="I95" s="126">
        <f t="shared" ref="I95:J95" si="28">I80+I86+I94</f>
        <v>0</v>
      </c>
      <c r="J95" s="126">
        <f t="shared" si="28"/>
        <v>11</v>
      </c>
      <c r="K95" s="133">
        <f>K80+K86+K94</f>
        <v>0</v>
      </c>
      <c r="L95" s="71">
        <f>L80+L86+L94</f>
        <v>2357857</v>
      </c>
      <c r="M95" s="308">
        <f>M80+M86+M94</f>
        <v>346</v>
      </c>
      <c r="N95" s="247"/>
      <c r="O95" s="247">
        <f>O80+O86+O94</f>
        <v>270</v>
      </c>
      <c r="P95" s="247"/>
      <c r="Q95" s="247">
        <f>Q72+O95</f>
        <v>736</v>
      </c>
      <c r="R95" s="248"/>
      <c r="S95" s="16"/>
      <c r="T95" s="16"/>
      <c r="U95" s="16"/>
      <c r="V95" s="16"/>
      <c r="W95" s="16"/>
      <c r="X95" s="16"/>
    </row>
    <row r="96" spans="1:27" ht="17" thickTop="1" thickBot="1">
      <c r="A96" s="333" t="s">
        <v>134</v>
      </c>
      <c r="B96" s="334"/>
      <c r="C96" s="334"/>
      <c r="D96" s="334"/>
      <c r="E96" s="335"/>
      <c r="F96" s="120">
        <f>F40+F55+F72+F95</f>
        <v>7474717</v>
      </c>
      <c r="G96" s="121"/>
      <c r="H96" s="122">
        <f>H40+H55+H72+H95</f>
        <v>36</v>
      </c>
      <c r="I96" s="122">
        <f>I40+I55+I72+I95</f>
        <v>4</v>
      </c>
      <c r="J96" s="122">
        <f>J40+J55+J72+J95</f>
        <v>32</v>
      </c>
      <c r="K96" s="123">
        <f>K40+K55+K72+K95</f>
        <v>-1008000</v>
      </c>
      <c r="L96" s="124">
        <f>F96+K96</f>
        <v>6466717</v>
      </c>
      <c r="M96" s="317">
        <f>M40+M55+M72+M95</f>
        <v>949</v>
      </c>
      <c r="N96" s="318"/>
      <c r="O96" s="318">
        <f>O40+O55+O72+O95</f>
        <v>736</v>
      </c>
      <c r="P96" s="318"/>
      <c r="Q96" s="283"/>
      <c r="R96" s="284"/>
      <c r="S96" s="16"/>
      <c r="T96" s="16"/>
      <c r="U96" s="16"/>
      <c r="V96" s="16"/>
      <c r="W96" s="16"/>
      <c r="X96" s="16"/>
    </row>
    <row r="97" spans="2:26" ht="16" thickTop="1">
      <c r="B97" s="40" t="s">
        <v>50</v>
      </c>
      <c r="C97" s="41"/>
      <c r="D97" s="41"/>
      <c r="E97" s="41"/>
      <c r="F97" s="41"/>
      <c r="G97" s="42"/>
      <c r="H97" s="43"/>
      <c r="I97" s="43"/>
      <c r="J97" s="43"/>
      <c r="K97" s="43"/>
      <c r="L97" s="136"/>
      <c r="Q97" s="69"/>
      <c r="R97" s="62"/>
      <c r="S97" s="62"/>
      <c r="T97" s="62"/>
      <c r="U97" s="62"/>
      <c r="V97" s="62"/>
      <c r="W97" s="65"/>
      <c r="X97" s="63"/>
      <c r="Y97" s="60"/>
      <c r="Z97" s="60"/>
    </row>
    <row r="98" spans="2:26">
      <c r="B98" s="44" t="s">
        <v>74</v>
      </c>
      <c r="C98" s="41" t="s">
        <v>111</v>
      </c>
      <c r="D98" s="41">
        <v>28</v>
      </c>
      <c r="E98" s="41" t="s">
        <v>73</v>
      </c>
      <c r="F98" s="41"/>
      <c r="G98" s="42" t="s">
        <v>99</v>
      </c>
      <c r="H98" s="43"/>
      <c r="I98" s="60">
        <v>1</v>
      </c>
      <c r="J98" s="60"/>
      <c r="K98" s="69"/>
      <c r="L98" s="137"/>
      <c r="Q98" s="69"/>
      <c r="R98" s="62"/>
      <c r="S98" s="62"/>
      <c r="T98" s="62"/>
      <c r="U98" s="62"/>
      <c r="V98" s="62"/>
      <c r="W98" s="65"/>
      <c r="X98" s="63"/>
      <c r="Y98" s="60"/>
      <c r="Z98" s="60"/>
    </row>
    <row r="99" spans="2:26">
      <c r="B99" s="44" t="s">
        <v>74</v>
      </c>
      <c r="C99" s="41" t="s">
        <v>112</v>
      </c>
      <c r="D99" s="41">
        <v>42</v>
      </c>
      <c r="E99" s="41" t="s">
        <v>38</v>
      </c>
      <c r="F99" s="41"/>
      <c r="G99" s="42" t="s">
        <v>99</v>
      </c>
      <c r="H99" s="43"/>
      <c r="I99" s="60">
        <v>1</v>
      </c>
      <c r="J99" s="60"/>
      <c r="K99" s="69"/>
      <c r="L99" s="69"/>
      <c r="Q99" s="69"/>
      <c r="R99" s="62"/>
      <c r="S99" s="62"/>
      <c r="T99" s="62"/>
      <c r="U99" s="62"/>
      <c r="V99" s="62"/>
      <c r="W99" s="65"/>
      <c r="X99" s="63"/>
      <c r="Y99" s="60"/>
      <c r="Z99" s="60"/>
    </row>
    <row r="100" spans="2:26">
      <c r="B100" s="44"/>
      <c r="C100" s="41"/>
      <c r="D100" s="41"/>
      <c r="E100" s="41"/>
      <c r="F100" s="41"/>
      <c r="G100" s="42"/>
      <c r="H100" s="43"/>
      <c r="I100" s="60"/>
      <c r="J100" s="60"/>
      <c r="K100" s="69"/>
      <c r="L100" s="69"/>
      <c r="Q100" s="69"/>
      <c r="R100" s="62"/>
      <c r="S100" s="62"/>
      <c r="T100" s="62"/>
      <c r="U100" s="62"/>
      <c r="V100" s="62"/>
      <c r="W100" s="65"/>
      <c r="X100" s="63"/>
      <c r="Y100" s="60"/>
      <c r="Z100" s="60"/>
    </row>
  </sheetData>
  <sortState ref="A166:G169">
    <sortCondition ref="A166:A169"/>
  </sortState>
  <mergeCells count="112">
    <mergeCell ref="S1:V1"/>
    <mergeCell ref="F2:G2"/>
    <mergeCell ref="C1:G1"/>
    <mergeCell ref="H1:M1"/>
    <mergeCell ref="N1:R1"/>
    <mergeCell ref="K2:L2"/>
    <mergeCell ref="P2:Q2"/>
    <mergeCell ref="U2:V2"/>
    <mergeCell ref="A71:E71"/>
    <mergeCell ref="L36:L38"/>
    <mergeCell ref="A58:E58"/>
    <mergeCell ref="A47:E47"/>
    <mergeCell ref="A51:E51"/>
    <mergeCell ref="A96:E96"/>
    <mergeCell ref="A95:E95"/>
    <mergeCell ref="A72:E72"/>
    <mergeCell ref="A54:E54"/>
    <mergeCell ref="A66:E66"/>
    <mergeCell ref="A80:E80"/>
    <mergeCell ref="A86:E86"/>
    <mergeCell ref="A94:E94"/>
    <mergeCell ref="A36:A38"/>
    <mergeCell ref="A52:A53"/>
    <mergeCell ref="A48:A50"/>
    <mergeCell ref="A42:A46"/>
    <mergeCell ref="A67:A70"/>
    <mergeCell ref="A59:A65"/>
    <mergeCell ref="A87:A93"/>
    <mergeCell ref="A74:A79"/>
    <mergeCell ref="A55:E55"/>
    <mergeCell ref="A39:E39"/>
    <mergeCell ref="A40:E40"/>
    <mergeCell ref="M47:N47"/>
    <mergeCell ref="O47:P47"/>
    <mergeCell ref="M39:N39"/>
    <mergeCell ref="O39:P39"/>
    <mergeCell ref="M40:N40"/>
    <mergeCell ref="O40:P40"/>
    <mergeCell ref="A4:A27"/>
    <mergeCell ref="M30:N30"/>
    <mergeCell ref="O30:P30"/>
    <mergeCell ref="A33:E33"/>
    <mergeCell ref="A35:E35"/>
    <mergeCell ref="M33:N33"/>
    <mergeCell ref="O33:P33"/>
    <mergeCell ref="M35:N35"/>
    <mergeCell ref="O35:P35"/>
    <mergeCell ref="Q58:R58"/>
    <mergeCell ref="M51:N51"/>
    <mergeCell ref="O51:P51"/>
    <mergeCell ref="M54:N54"/>
    <mergeCell ref="O54:P54"/>
    <mergeCell ref="M55:N55"/>
    <mergeCell ref="O55:P55"/>
    <mergeCell ref="Q51:R51"/>
    <mergeCell ref="M52:R53"/>
    <mergeCell ref="Q55:R55"/>
    <mergeCell ref="S86:X86"/>
    <mergeCell ref="S94:X94"/>
    <mergeCell ref="M86:N86"/>
    <mergeCell ref="O86:P86"/>
    <mergeCell ref="M80:N80"/>
    <mergeCell ref="O80:P80"/>
    <mergeCell ref="M71:N71"/>
    <mergeCell ref="O71:P71"/>
    <mergeCell ref="M72:N72"/>
    <mergeCell ref="O72:P72"/>
    <mergeCell ref="M94:N94"/>
    <mergeCell ref="O94:P94"/>
    <mergeCell ref="M95:N95"/>
    <mergeCell ref="O95:P95"/>
    <mergeCell ref="M96:N96"/>
    <mergeCell ref="O96:P96"/>
    <mergeCell ref="M87:R93"/>
    <mergeCell ref="Q94:R94"/>
    <mergeCell ref="A29:R29"/>
    <mergeCell ref="A73:R73"/>
    <mergeCell ref="M59:R65"/>
    <mergeCell ref="M67:R70"/>
    <mergeCell ref="Q54:R54"/>
    <mergeCell ref="A56:R56"/>
    <mergeCell ref="M34:R34"/>
    <mergeCell ref="Q35:R35"/>
    <mergeCell ref="M36:R38"/>
    <mergeCell ref="Q39:R39"/>
    <mergeCell ref="Q40:R40"/>
    <mergeCell ref="A41:R41"/>
    <mergeCell ref="M42:R46"/>
    <mergeCell ref="Q47:R47"/>
    <mergeCell ref="M48:R50"/>
    <mergeCell ref="Q30:R30"/>
    <mergeCell ref="A31:R31"/>
    <mergeCell ref="M32:R32"/>
    <mergeCell ref="Q33:R33"/>
    <mergeCell ref="M66:N66"/>
    <mergeCell ref="O66:P66"/>
    <mergeCell ref="M58:N58"/>
    <mergeCell ref="O58:P58"/>
    <mergeCell ref="M57:R57"/>
    <mergeCell ref="S36:U36"/>
    <mergeCell ref="S52:U52"/>
    <mergeCell ref="Q66:R66"/>
    <mergeCell ref="Q71:R71"/>
    <mergeCell ref="Q72:R72"/>
    <mergeCell ref="Q80:R80"/>
    <mergeCell ref="Q86:R86"/>
    <mergeCell ref="Q95:R95"/>
    <mergeCell ref="Q96:R96"/>
    <mergeCell ref="M81:R83"/>
    <mergeCell ref="M74:R79"/>
    <mergeCell ref="S67:Y67"/>
    <mergeCell ref="A81:A85"/>
  </mergeCells>
  <pageMargins left="0.70866141732283472" right="0.70866141732283472" top="0.74803149606299213" bottom="0.74803149606299213" header="0.31496062992125984" footer="0.31496062992125984"/>
  <pageSetup paperSize="8" scale="58" orientation="landscape"/>
  <rowBreaks count="1" manualBreakCount="1">
    <brk id="28" max="16383" man="1"/>
  </rowBreaks>
  <ignoredErrors>
    <ignoredError sqref="I39 I47 I66 J57 H58 I71 I80 J42:K46 I54:K54 L52:L53 J62:K65 J37:K38 K48:L50 J74:K79 J87:K93 J81:K83 F33 H33 I33 N72:P72 M55:P55 Q94 K68:K69 J59:K60 J84:K85 I86 F39 F35 H35:H39 I35 J32:K32 F67 J61:K61 J67:J70 K71 I51:I52 J53:K53" emptyCellReference="1"/>
    <ignoredError sqref="J39 K47 K51 M96:P96 L95:L96 K86" formula="1"/>
    <ignoredError sqref="J47 J48:J52 J58:K58 J66:K66 J80:K80 M95:P95 J86 J35:K35 J33:K33 J34:K34" formula="1" emptyCellReference="1"/>
    <ignoredError sqref="F94 H94:I94" formulaRange="1" emptyCellReference="1"/>
  </ignoredErrors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 RESERVATIONS</vt:lpstr>
    </vt:vector>
  </TitlesOfParts>
  <Company>Kaufman et Broad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brabreau</dc:creator>
  <cp:lastModifiedBy>Séverine TOUSSAERT</cp:lastModifiedBy>
  <cp:lastPrinted>2016-10-25T15:11:10Z</cp:lastPrinted>
  <dcterms:created xsi:type="dcterms:W3CDTF">2012-11-09T14:17:28Z</dcterms:created>
  <dcterms:modified xsi:type="dcterms:W3CDTF">2016-11-02T18:34:59Z</dcterms:modified>
</cp:coreProperties>
</file>