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updateLinks="always" codeName="ThisWorkbook" hidePivotFieldList="1"/>
  <bookViews>
    <workbookView xWindow="0" yWindow="0" windowWidth="18465" windowHeight="6945" firstSheet="8" activeTab="13"/>
  </bookViews>
  <sheets>
    <sheet name="Sommaire" sheetId="1" r:id="rId1"/>
    <sheet name="Saisie CA" sheetId="19" r:id="rId2"/>
    <sheet name="Objectifs Entreprise" sheetId="38" r:id="rId3"/>
    <sheet name="TDB entreprise" sheetId="13" r:id="rId4"/>
    <sheet name="ATELIER" sheetId="3" r:id="rId5"/>
    <sheet name="PRODUCTION" sheetId="5" r:id="rId6"/>
    <sheet name="NEGOCE" sheetId="43" r:id="rId7"/>
    <sheet name="TABLEAU DE BORD ATELIER" sheetId="6" r:id="rId8"/>
    <sheet name="MAGASINS" sheetId="11" r:id="rId9"/>
    <sheet name="Boutique 1" sheetId="8" r:id="rId10"/>
    <sheet name="Boutique 2" sheetId="9" r:id="rId11"/>
    <sheet name="TABLEAU DE BORD MAGASINS" sheetId="10" r:id="rId12"/>
    <sheet name="Saisie Commerciaux" sheetId="45" r:id="rId13"/>
    <sheet name="Tableau de Bord commerciaux" sheetId="31" r:id="rId14"/>
    <sheet name="calculs" sheetId="41" r:id="rId15"/>
  </sheets>
  <definedNames>
    <definedName name="Commerciaux">#REF!</definedName>
    <definedName name="controlcourbe">calculs!$U$58</definedName>
    <definedName name="courbe">INDEX(calculs!$T$66:$X$79,,controlcourbe)</definedName>
    <definedName name="liste">calculs!$U$59:$U$61</definedName>
    <definedName name="Total">#REF!</definedName>
    <definedName name="_xlnm.Print_Area" localSheetId="4">ATELIER!$A$1:$I$31</definedName>
    <definedName name="_xlnm.Print_Area" localSheetId="9">'Boutique 1'!$A$1:$I$31</definedName>
    <definedName name="_xlnm.Print_Area" localSheetId="10">'Boutique 2'!$A$1:$I$31</definedName>
    <definedName name="_xlnm.Print_Area" localSheetId="8">MAGASINS!$A$1:$I$31</definedName>
    <definedName name="_xlnm.Print_Area" localSheetId="6">NEGOCE!$A$1:$I$32</definedName>
    <definedName name="_xlnm.Print_Area" localSheetId="2">'Objectifs Entreprise'!$A$1:$K$44</definedName>
    <definedName name="_xlnm.Print_Area" localSheetId="5">PRODUCTION!$A$1:$I$31</definedName>
    <definedName name="_xlnm.Print_Area" localSheetId="1">'Saisie CA'!$A$1:$Z$45</definedName>
    <definedName name="_xlnm.Print_Area" localSheetId="7">'TABLEAU DE BORD ATELIER'!$A$1:$I$102</definedName>
    <definedName name="_xlnm.Print_Area" localSheetId="13">'Tableau de Bord commerciaux'!$A$1:$M$108</definedName>
    <definedName name="_xlnm.Print_Area" localSheetId="11">'TABLEAU DE BORD MAGASINS'!$A$1:$I$104</definedName>
    <definedName name="_xlnm.Print_Area" localSheetId="3">'TDB entreprise'!$A$1:$I$37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10" l="1"/>
  <c r="B62" i="10"/>
  <c r="B34" i="10"/>
  <c r="B33" i="6"/>
  <c r="B100" i="6"/>
  <c r="B62" i="6"/>
  <c r="B35" i="13"/>
  <c r="A85" i="41"/>
  <c r="E25" i="9" l="1"/>
  <c r="E25" i="8"/>
  <c r="E25" i="5"/>
  <c r="T64" i="45"/>
  <c r="T47" i="45" s="1"/>
  <c r="U64" i="45"/>
  <c r="U47" i="45" s="1"/>
  <c r="T65" i="45"/>
  <c r="T48" i="45" s="1"/>
  <c r="U65" i="45"/>
  <c r="U48" i="45" s="1"/>
  <c r="T66" i="45"/>
  <c r="T49" i="45" s="1"/>
  <c r="U66" i="45"/>
  <c r="U49" i="45" s="1"/>
  <c r="T67" i="45"/>
  <c r="T50" i="45" s="1"/>
  <c r="U67" i="45"/>
  <c r="U50" i="45" s="1"/>
  <c r="T68" i="45"/>
  <c r="T51" i="45" s="1"/>
  <c r="U68" i="45"/>
  <c r="U51" i="45" s="1"/>
  <c r="T69" i="45"/>
  <c r="T52" i="45" s="1"/>
  <c r="U69" i="45"/>
  <c r="U52" i="45" s="1"/>
  <c r="T70" i="45"/>
  <c r="T53" i="45" s="1"/>
  <c r="U70" i="45"/>
  <c r="U53" i="45" s="1"/>
  <c r="T71" i="45"/>
  <c r="T54" i="45" s="1"/>
  <c r="U71" i="45"/>
  <c r="U54" i="45" s="1"/>
  <c r="T72" i="45"/>
  <c r="T55" i="45" s="1"/>
  <c r="U72" i="45"/>
  <c r="U55" i="45" s="1"/>
  <c r="T73" i="45"/>
  <c r="T56" i="45" s="1"/>
  <c r="U73" i="45"/>
  <c r="U56" i="45" s="1"/>
  <c r="T74" i="45"/>
  <c r="T57" i="45" s="1"/>
  <c r="U74" i="45"/>
  <c r="U57" i="45" s="1"/>
  <c r="T75" i="45"/>
  <c r="T58" i="45" s="1"/>
  <c r="U75" i="45"/>
  <c r="U58" i="45" s="1"/>
  <c r="V69" i="45"/>
  <c r="V52" i="45" s="1"/>
  <c r="V70" i="45"/>
  <c r="V53" i="45" s="1"/>
  <c r="V71" i="45"/>
  <c r="V54" i="45" s="1"/>
  <c r="V72" i="45"/>
  <c r="V55" i="45" s="1"/>
  <c r="V73" i="45"/>
  <c r="V56" i="45" s="1"/>
  <c r="V74" i="45"/>
  <c r="V57" i="45" s="1"/>
  <c r="V75" i="45"/>
  <c r="V58" i="45" s="1"/>
  <c r="V64" i="45"/>
  <c r="V47" i="45" s="1"/>
  <c r="V65" i="45"/>
  <c r="V48" i="45" s="1"/>
  <c r="V66" i="45"/>
  <c r="V49" i="45" s="1"/>
  <c r="V67" i="45"/>
  <c r="V50" i="45" s="1"/>
  <c r="V68" i="45"/>
  <c r="V51" i="45" s="1"/>
  <c r="D69" i="45" l="1"/>
  <c r="D52" i="45" s="1"/>
  <c r="H25" i="3" l="1"/>
  <c r="F15" i="3"/>
  <c r="F16" i="41"/>
  <c r="G16" i="41" s="1"/>
  <c r="F104" i="31" l="1"/>
  <c r="F63" i="31"/>
  <c r="C104" i="31"/>
  <c r="C63" i="31"/>
  <c r="B106" i="31"/>
  <c r="AU11" i="41"/>
  <c r="AT8" i="41"/>
  <c r="AU4" i="41"/>
  <c r="B82" i="31"/>
  <c r="B13" i="31"/>
  <c r="B41" i="31"/>
  <c r="AN11" i="41"/>
  <c r="AM11" i="41"/>
  <c r="AL8" i="41"/>
  <c r="AM4" i="41"/>
  <c r="AN4" i="41" s="1"/>
  <c r="AL4" i="41"/>
  <c r="B65" i="31"/>
  <c r="F36" i="31"/>
  <c r="M18" i="45"/>
  <c r="AH74" i="41" s="1"/>
  <c r="AJ38" i="41"/>
  <c r="AK38" i="41"/>
  <c r="AJ39" i="41"/>
  <c r="AK39" i="41"/>
  <c r="AJ40" i="41"/>
  <c r="AK40" i="41"/>
  <c r="AJ41" i="41"/>
  <c r="AK41" i="41"/>
  <c r="AJ42" i="41"/>
  <c r="AK42" i="41"/>
  <c r="AJ43" i="41"/>
  <c r="AK43" i="41"/>
  <c r="AJ44" i="41"/>
  <c r="AK44" i="41"/>
  <c r="AJ45" i="41"/>
  <c r="AK45" i="41"/>
  <c r="AJ46" i="41"/>
  <c r="AK46" i="41"/>
  <c r="AJ47" i="41"/>
  <c r="AK47" i="41"/>
  <c r="AJ48" i="41"/>
  <c r="AK48" i="41"/>
  <c r="AJ49" i="41"/>
  <c r="AK49" i="41"/>
  <c r="AI39" i="41"/>
  <c r="AI40" i="41"/>
  <c r="AI41" i="41"/>
  <c r="AI42" i="41"/>
  <c r="AI43" i="41"/>
  <c r="AI44" i="41"/>
  <c r="AI45" i="41"/>
  <c r="AI46" i="41"/>
  <c r="AI47" i="41"/>
  <c r="AI48" i="41"/>
  <c r="AI49" i="41"/>
  <c r="AI38" i="41"/>
  <c r="AG38" i="41"/>
  <c r="AH38" i="41"/>
  <c r="AG39" i="41"/>
  <c r="AH39" i="41"/>
  <c r="AG40" i="41"/>
  <c r="AH40" i="41"/>
  <c r="AG41" i="41"/>
  <c r="AH41" i="41"/>
  <c r="AG42" i="41"/>
  <c r="AH42" i="41"/>
  <c r="AG43" i="41"/>
  <c r="AH43" i="41"/>
  <c r="AG44" i="41"/>
  <c r="AH44" i="41"/>
  <c r="AG45" i="41"/>
  <c r="AH45" i="41"/>
  <c r="AG46" i="41"/>
  <c r="AH46" i="41"/>
  <c r="AG47" i="41"/>
  <c r="AH47" i="41"/>
  <c r="AG48" i="41"/>
  <c r="AH48" i="41"/>
  <c r="AG49" i="41"/>
  <c r="AH49" i="41"/>
  <c r="AF39" i="41"/>
  <c r="AF40" i="41"/>
  <c r="AF41" i="41"/>
  <c r="AF42" i="41"/>
  <c r="AF43" i="41"/>
  <c r="AF44" i="41"/>
  <c r="AF45" i="41"/>
  <c r="AF46" i="41"/>
  <c r="AF47" i="41"/>
  <c r="AF48" i="41"/>
  <c r="AF49" i="41"/>
  <c r="AF38" i="41"/>
  <c r="B38" i="31"/>
  <c r="C36" i="31"/>
  <c r="AG50" i="41" l="1"/>
  <c r="AJ50" i="41"/>
  <c r="AF50" i="41"/>
  <c r="AK50" i="41"/>
  <c r="AV4" i="41"/>
  <c r="AL5" i="41"/>
  <c r="AO4" i="41"/>
  <c r="AP4" i="41" s="1"/>
  <c r="AI50" i="41"/>
  <c r="AH50" i="41"/>
  <c r="AF11" i="41"/>
  <c r="AE11" i="41"/>
  <c r="AE4" i="41"/>
  <c r="AD8" i="41"/>
  <c r="AD4" i="41"/>
  <c r="AB33" i="41"/>
  <c r="AL36" i="41" s="1"/>
  <c r="AB32" i="41"/>
  <c r="AI36" i="41" s="1"/>
  <c r="AB31" i="41"/>
  <c r="AB75" i="45"/>
  <c r="AB73" i="45"/>
  <c r="AB71" i="45"/>
  <c r="AB69" i="45"/>
  <c r="S75" i="45"/>
  <c r="R75" i="45"/>
  <c r="S74" i="45"/>
  <c r="R74" i="45"/>
  <c r="S73" i="45"/>
  <c r="R73" i="45"/>
  <c r="S72" i="45"/>
  <c r="R72" i="45"/>
  <c r="S71" i="45"/>
  <c r="R71" i="45"/>
  <c r="S70" i="45"/>
  <c r="R70" i="45"/>
  <c r="S69" i="45"/>
  <c r="R69" i="45"/>
  <c r="S68" i="45"/>
  <c r="R68" i="45"/>
  <c r="S67" i="45"/>
  <c r="R67" i="45"/>
  <c r="S66" i="45"/>
  <c r="R66" i="45"/>
  <c r="S65" i="45"/>
  <c r="R65" i="45"/>
  <c r="S64" i="45"/>
  <c r="R64" i="45"/>
  <c r="I65" i="45"/>
  <c r="J65" i="45"/>
  <c r="I66" i="45"/>
  <c r="J66" i="45"/>
  <c r="I67" i="45"/>
  <c r="J67" i="45"/>
  <c r="I68" i="45"/>
  <c r="J68" i="45"/>
  <c r="I69" i="45"/>
  <c r="J69" i="45"/>
  <c r="I70" i="45"/>
  <c r="J70" i="45"/>
  <c r="I71" i="45"/>
  <c r="J71" i="45"/>
  <c r="I72" i="45"/>
  <c r="J72" i="45"/>
  <c r="I73" i="45"/>
  <c r="J73" i="45"/>
  <c r="I74" i="45"/>
  <c r="J74" i="45"/>
  <c r="I75" i="45"/>
  <c r="J75" i="45"/>
  <c r="J64" i="45"/>
  <c r="I64" i="45"/>
  <c r="AA47" i="45"/>
  <c r="AA64" i="45" s="1"/>
  <c r="AB47" i="45"/>
  <c r="AB64" i="45" s="1"/>
  <c r="AA48" i="45"/>
  <c r="AA65" i="45" s="1"/>
  <c r="AB48" i="45"/>
  <c r="AB65" i="45" s="1"/>
  <c r="AA49" i="45"/>
  <c r="AA66" i="45" s="1"/>
  <c r="AB49" i="45"/>
  <c r="AB66" i="45" s="1"/>
  <c r="AA50" i="45"/>
  <c r="AA67" i="45" s="1"/>
  <c r="AB50" i="45"/>
  <c r="AB67" i="45" s="1"/>
  <c r="AA51" i="45"/>
  <c r="AA68" i="45" s="1"/>
  <c r="AB51" i="45"/>
  <c r="AB68" i="45" s="1"/>
  <c r="AA52" i="45"/>
  <c r="AA69" i="45" s="1"/>
  <c r="AB52" i="45"/>
  <c r="AA53" i="45"/>
  <c r="AA70" i="45" s="1"/>
  <c r="AB53" i="45"/>
  <c r="AB70" i="45" s="1"/>
  <c r="AA54" i="45"/>
  <c r="AA71" i="45" s="1"/>
  <c r="AB54" i="45"/>
  <c r="AA55" i="45"/>
  <c r="AA72" i="45" s="1"/>
  <c r="AB55" i="45"/>
  <c r="AB72" i="45" s="1"/>
  <c r="AA56" i="45"/>
  <c r="AA73" i="45" s="1"/>
  <c r="AB56" i="45"/>
  <c r="AA57" i="45"/>
  <c r="AA74" i="45" s="1"/>
  <c r="AB57" i="45"/>
  <c r="AB74" i="45" s="1"/>
  <c r="AA58" i="45"/>
  <c r="AA75" i="45" s="1"/>
  <c r="AB58" i="45"/>
  <c r="AB24" i="45"/>
  <c r="AA24" i="45"/>
  <c r="AB23" i="45"/>
  <c r="AA23" i="45"/>
  <c r="AB22" i="45"/>
  <c r="AA22" i="45"/>
  <c r="AB21" i="45"/>
  <c r="AA21" i="45"/>
  <c r="AB20" i="45"/>
  <c r="AA20" i="45"/>
  <c r="AB19" i="45"/>
  <c r="AA19" i="45"/>
  <c r="AB18" i="45"/>
  <c r="AA18" i="45"/>
  <c r="AB17" i="45"/>
  <c r="AA17" i="45"/>
  <c r="AB16" i="45"/>
  <c r="AA16" i="45"/>
  <c r="AB15" i="45"/>
  <c r="AA15" i="45"/>
  <c r="AB14" i="45"/>
  <c r="AA14" i="45"/>
  <c r="AB13" i="45"/>
  <c r="AB11" i="45" s="1"/>
  <c r="AA13" i="45"/>
  <c r="AA11" i="45" s="1"/>
  <c r="AB41" i="45"/>
  <c r="AA41" i="45"/>
  <c r="AB40" i="45"/>
  <c r="AA40" i="45"/>
  <c r="AB39" i="45"/>
  <c r="AA39" i="45"/>
  <c r="AB38" i="45"/>
  <c r="AA38" i="45"/>
  <c r="AB37" i="45"/>
  <c r="AA37" i="45"/>
  <c r="AB36" i="45"/>
  <c r="AA36" i="45"/>
  <c r="AB35" i="45"/>
  <c r="AA35" i="45"/>
  <c r="AB34" i="45"/>
  <c r="AA34" i="45"/>
  <c r="AB33" i="45"/>
  <c r="AA33" i="45"/>
  <c r="AB32" i="45"/>
  <c r="AA32" i="45"/>
  <c r="AB31" i="45"/>
  <c r="AA31" i="45"/>
  <c r="AB30" i="45"/>
  <c r="AA30" i="45"/>
  <c r="AA28" i="45" s="1"/>
  <c r="Y41" i="45"/>
  <c r="Z41" i="45" s="1"/>
  <c r="X41" i="45"/>
  <c r="W41" i="45"/>
  <c r="M41" i="45"/>
  <c r="AK80" i="41" s="1"/>
  <c r="L41" i="45"/>
  <c r="AJ80" i="41" s="1"/>
  <c r="K41" i="45"/>
  <c r="AI80" i="41" s="1"/>
  <c r="G41" i="45"/>
  <c r="H41" i="45" s="1"/>
  <c r="F41" i="45"/>
  <c r="E41" i="45"/>
  <c r="Y40" i="45"/>
  <c r="Z40" i="45" s="1"/>
  <c r="X40" i="45"/>
  <c r="W40" i="45"/>
  <c r="M40" i="45"/>
  <c r="AK79" i="41" s="1"/>
  <c r="L40" i="45"/>
  <c r="AJ79" i="41" s="1"/>
  <c r="K40" i="45"/>
  <c r="AI79" i="41" s="1"/>
  <c r="G40" i="45"/>
  <c r="H40" i="45" s="1"/>
  <c r="F40" i="45"/>
  <c r="E40" i="45"/>
  <c r="Y39" i="45"/>
  <c r="Z39" i="45" s="1"/>
  <c r="X39" i="45"/>
  <c r="W39" i="45"/>
  <c r="M39" i="45"/>
  <c r="AK78" i="41" s="1"/>
  <c r="L39" i="45"/>
  <c r="AJ78" i="41" s="1"/>
  <c r="K39" i="45"/>
  <c r="AI78" i="41" s="1"/>
  <c r="G39" i="45"/>
  <c r="H39" i="45" s="1"/>
  <c r="F39" i="45"/>
  <c r="E39" i="45"/>
  <c r="Y38" i="45"/>
  <c r="Z38" i="45" s="1"/>
  <c r="X38" i="45"/>
  <c r="W38" i="45"/>
  <c r="M38" i="45"/>
  <c r="AK77" i="41" s="1"/>
  <c r="L38" i="45"/>
  <c r="AJ77" i="41" s="1"/>
  <c r="K38" i="45"/>
  <c r="AI77" i="41" s="1"/>
  <c r="G38" i="45"/>
  <c r="H38" i="45" s="1"/>
  <c r="F38" i="45"/>
  <c r="E38" i="45"/>
  <c r="Y37" i="45"/>
  <c r="Z37" i="45" s="1"/>
  <c r="X37" i="45"/>
  <c r="W37" i="45"/>
  <c r="M37" i="45"/>
  <c r="AK76" i="41" s="1"/>
  <c r="L37" i="45"/>
  <c r="K37" i="45"/>
  <c r="AI76" i="41" s="1"/>
  <c r="G37" i="45"/>
  <c r="H37" i="45" s="1"/>
  <c r="F37" i="45"/>
  <c r="E37" i="45"/>
  <c r="Y36" i="45"/>
  <c r="Z36" i="45" s="1"/>
  <c r="X36" i="45"/>
  <c r="W36" i="45"/>
  <c r="M36" i="45"/>
  <c r="AK75" i="41" s="1"/>
  <c r="L36" i="45"/>
  <c r="AJ75" i="41" s="1"/>
  <c r="K36" i="45"/>
  <c r="AI75" i="41" s="1"/>
  <c r="G36" i="45"/>
  <c r="H36" i="45" s="1"/>
  <c r="F36" i="45"/>
  <c r="E36" i="45"/>
  <c r="Y35" i="45"/>
  <c r="Z35" i="45" s="1"/>
  <c r="X35" i="45"/>
  <c r="W35" i="45"/>
  <c r="M35" i="45"/>
  <c r="AK74" i="41" s="1"/>
  <c r="L35" i="45"/>
  <c r="AJ74" i="41" s="1"/>
  <c r="K35" i="45"/>
  <c r="AI74" i="41" s="1"/>
  <c r="G35" i="45"/>
  <c r="H35" i="45" s="1"/>
  <c r="F35" i="45"/>
  <c r="E35" i="45"/>
  <c r="Y34" i="45"/>
  <c r="X34" i="45"/>
  <c r="W34" i="45"/>
  <c r="M34" i="45"/>
  <c r="AK73" i="41" s="1"/>
  <c r="L34" i="45"/>
  <c r="AJ73" i="41" s="1"/>
  <c r="K34" i="45"/>
  <c r="AI73" i="41" s="1"/>
  <c r="G34" i="45"/>
  <c r="H34" i="45" s="1"/>
  <c r="F34" i="45"/>
  <c r="E34" i="45"/>
  <c r="Y33" i="45"/>
  <c r="Z33" i="45" s="1"/>
  <c r="X33" i="45"/>
  <c r="W33" i="45"/>
  <c r="M33" i="45"/>
  <c r="AK72" i="41" s="1"/>
  <c r="L33" i="45"/>
  <c r="AJ72" i="41" s="1"/>
  <c r="K33" i="45"/>
  <c r="AI72" i="41" s="1"/>
  <c r="G33" i="45"/>
  <c r="H33" i="45" s="1"/>
  <c r="F33" i="45"/>
  <c r="E33" i="45"/>
  <c r="Y32" i="45"/>
  <c r="Z32" i="45" s="1"/>
  <c r="X32" i="45"/>
  <c r="W32" i="45"/>
  <c r="M32" i="45"/>
  <c r="AK71" i="41" s="1"/>
  <c r="L32" i="45"/>
  <c r="AJ71" i="41" s="1"/>
  <c r="K32" i="45"/>
  <c r="AI71" i="41" s="1"/>
  <c r="G32" i="45"/>
  <c r="H32" i="45" s="1"/>
  <c r="F32" i="45"/>
  <c r="E32" i="45"/>
  <c r="Y31" i="45"/>
  <c r="Z31" i="45" s="1"/>
  <c r="X31" i="45"/>
  <c r="W31" i="45"/>
  <c r="M31" i="45"/>
  <c r="AK70" i="41" s="1"/>
  <c r="L31" i="45"/>
  <c r="AJ70" i="41" s="1"/>
  <c r="K31" i="45"/>
  <c r="AI70" i="41" s="1"/>
  <c r="G31" i="45"/>
  <c r="H31" i="45" s="1"/>
  <c r="F31" i="45"/>
  <c r="E31" i="45"/>
  <c r="Y30" i="45"/>
  <c r="Z30" i="45" s="1"/>
  <c r="X30" i="45"/>
  <c r="W30" i="45"/>
  <c r="M30" i="45"/>
  <c r="AK69" i="41" s="1"/>
  <c r="L30" i="45"/>
  <c r="AJ69" i="41" s="1"/>
  <c r="K30" i="45"/>
  <c r="AI69" i="41" s="1"/>
  <c r="G30" i="45"/>
  <c r="H30" i="45" s="1"/>
  <c r="F30" i="45"/>
  <c r="E30" i="45"/>
  <c r="V28" i="45"/>
  <c r="AH32" i="41" s="1"/>
  <c r="U28" i="45"/>
  <c r="AG32" i="41" s="1"/>
  <c r="T28" i="45"/>
  <c r="AF32" i="41" s="1"/>
  <c r="S28" i="45"/>
  <c r="R28" i="45"/>
  <c r="J28" i="45"/>
  <c r="I28" i="45"/>
  <c r="D28" i="45"/>
  <c r="C28" i="45"/>
  <c r="B28" i="45"/>
  <c r="K14" i="45"/>
  <c r="AF70" i="41" s="1"/>
  <c r="L14" i="45"/>
  <c r="AG70" i="41" s="1"/>
  <c r="M14" i="45"/>
  <c r="K15" i="45"/>
  <c r="AF71" i="41" s="1"/>
  <c r="L15" i="45"/>
  <c r="AG71" i="41" s="1"/>
  <c r="M15" i="45"/>
  <c r="AH71" i="41" s="1"/>
  <c r="K16" i="45"/>
  <c r="AF72" i="41" s="1"/>
  <c r="L16" i="45"/>
  <c r="M16" i="45"/>
  <c r="K17" i="45"/>
  <c r="AF73" i="41" s="1"/>
  <c r="L17" i="45"/>
  <c r="AG73" i="41" s="1"/>
  <c r="M17" i="45"/>
  <c r="K18" i="45"/>
  <c r="AF74" i="41" s="1"/>
  <c r="L18" i="45"/>
  <c r="AG74" i="41" s="1"/>
  <c r="K19" i="45"/>
  <c r="L19" i="45"/>
  <c r="AG75" i="41" s="1"/>
  <c r="M19" i="45"/>
  <c r="K20" i="45"/>
  <c r="AF76" i="41" s="1"/>
  <c r="L20" i="45"/>
  <c r="M20" i="45"/>
  <c r="AH76" i="41" s="1"/>
  <c r="K21" i="45"/>
  <c r="AF77" i="41" s="1"/>
  <c r="L21" i="45"/>
  <c r="O21" i="45" s="1"/>
  <c r="M21" i="45"/>
  <c r="K22" i="45"/>
  <c r="AF78" i="41" s="1"/>
  <c r="L22" i="45"/>
  <c r="AG78" i="41" s="1"/>
  <c r="M22" i="45"/>
  <c r="AH78" i="41" s="1"/>
  <c r="K23" i="45"/>
  <c r="L23" i="45"/>
  <c r="AG79" i="41" s="1"/>
  <c r="M23" i="45"/>
  <c r="AH79" i="41" s="1"/>
  <c r="K24" i="45"/>
  <c r="AF80" i="41" s="1"/>
  <c r="L24" i="45"/>
  <c r="M24" i="45"/>
  <c r="AH80" i="41" s="1"/>
  <c r="L13" i="45"/>
  <c r="M13" i="45"/>
  <c r="K13" i="45"/>
  <c r="AF69" i="41" s="1"/>
  <c r="U11" i="45"/>
  <c r="AG31" i="41" s="1"/>
  <c r="V11" i="45"/>
  <c r="Y24" i="45"/>
  <c r="Z24" i="45" s="1"/>
  <c r="X24" i="45"/>
  <c r="W24" i="45"/>
  <c r="Y23" i="45"/>
  <c r="Z23" i="45" s="1"/>
  <c r="X23" i="45"/>
  <c r="W23" i="45"/>
  <c r="Y22" i="45"/>
  <c r="Z22" i="45" s="1"/>
  <c r="X22" i="45"/>
  <c r="W22" i="45"/>
  <c r="Y21" i="45"/>
  <c r="Z21" i="45" s="1"/>
  <c r="X21" i="45"/>
  <c r="W21" i="45"/>
  <c r="Y20" i="45"/>
  <c r="Z20" i="45" s="1"/>
  <c r="X20" i="45"/>
  <c r="W20" i="45"/>
  <c r="Y19" i="45"/>
  <c r="Z19" i="45" s="1"/>
  <c r="X19" i="45"/>
  <c r="W19" i="45"/>
  <c r="Y18" i="45"/>
  <c r="Z18" i="45" s="1"/>
  <c r="X18" i="45"/>
  <c r="W18" i="45"/>
  <c r="Y17" i="45"/>
  <c r="Z17" i="45" s="1"/>
  <c r="X17" i="45"/>
  <c r="W17" i="45"/>
  <c r="Y16" i="45"/>
  <c r="Z16" i="45" s="1"/>
  <c r="X16" i="45"/>
  <c r="W16" i="45"/>
  <c r="Y15" i="45"/>
  <c r="Z15" i="45" s="1"/>
  <c r="X15" i="45"/>
  <c r="W15" i="45"/>
  <c r="Y14" i="45"/>
  <c r="Z14" i="45" s="1"/>
  <c r="X14" i="45"/>
  <c r="W14" i="45"/>
  <c r="Y13" i="45"/>
  <c r="X13" i="45"/>
  <c r="W13" i="45"/>
  <c r="T11" i="45"/>
  <c r="AF31" i="41" s="1"/>
  <c r="N19" i="45"/>
  <c r="S11" i="45"/>
  <c r="R11" i="45"/>
  <c r="G24" i="45"/>
  <c r="H24" i="45" s="1"/>
  <c r="F24" i="45"/>
  <c r="E24" i="45"/>
  <c r="G23" i="45"/>
  <c r="H23" i="45" s="1"/>
  <c r="F23" i="45"/>
  <c r="E23" i="45"/>
  <c r="G22" i="45"/>
  <c r="H22" i="45" s="1"/>
  <c r="F22" i="45"/>
  <c r="E22" i="45"/>
  <c r="G21" i="45"/>
  <c r="H21" i="45" s="1"/>
  <c r="F21" i="45"/>
  <c r="E21" i="45"/>
  <c r="G20" i="45"/>
  <c r="H20" i="45" s="1"/>
  <c r="F20" i="45"/>
  <c r="E20" i="45"/>
  <c r="G19" i="45"/>
  <c r="H19" i="45" s="1"/>
  <c r="F19" i="45"/>
  <c r="E19" i="45"/>
  <c r="G18" i="45"/>
  <c r="H18" i="45" s="1"/>
  <c r="F18" i="45"/>
  <c r="E18" i="45"/>
  <c r="G17" i="45"/>
  <c r="H17" i="45" s="1"/>
  <c r="F17" i="45"/>
  <c r="E17" i="45"/>
  <c r="G16" i="45"/>
  <c r="H16" i="45" s="1"/>
  <c r="F16" i="45"/>
  <c r="E16" i="45"/>
  <c r="G15" i="45"/>
  <c r="H15" i="45" s="1"/>
  <c r="F15" i="45"/>
  <c r="E15" i="45"/>
  <c r="G14" i="45"/>
  <c r="H14" i="45" s="1"/>
  <c r="F14" i="45"/>
  <c r="E14" i="45"/>
  <c r="G13" i="45"/>
  <c r="F13" i="45"/>
  <c r="E13" i="45"/>
  <c r="J11" i="45"/>
  <c r="I11" i="45"/>
  <c r="D11" i="45"/>
  <c r="C11" i="45"/>
  <c r="B11" i="45"/>
  <c r="X11" i="45" l="1"/>
  <c r="N17" i="45"/>
  <c r="AE8" i="41"/>
  <c r="P17" i="45"/>
  <c r="Q17" i="45" s="1"/>
  <c r="AJ81" i="41"/>
  <c r="AK81" i="41"/>
  <c r="O15" i="45"/>
  <c r="P14" i="45"/>
  <c r="Q14" i="45" s="1"/>
  <c r="O13" i="45"/>
  <c r="AH69" i="41"/>
  <c r="P21" i="45"/>
  <c r="Q21" i="45" s="1"/>
  <c r="AG77" i="41"/>
  <c r="Z34" i="45"/>
  <c r="Z28" i="45" s="1"/>
  <c r="AM8" i="41"/>
  <c r="B33" i="31"/>
  <c r="B83" i="31"/>
  <c r="AL83" i="41"/>
  <c r="AR1" i="41"/>
  <c r="B101" i="31"/>
  <c r="AL52" i="41"/>
  <c r="B60" i="31"/>
  <c r="AL67" i="41"/>
  <c r="B32" i="31"/>
  <c r="O19" i="45"/>
  <c r="AH75" i="41"/>
  <c r="O22" i="45"/>
  <c r="P18" i="45"/>
  <c r="P16" i="45"/>
  <c r="AG72" i="41"/>
  <c r="AF81" i="41"/>
  <c r="AI81" i="41"/>
  <c r="R62" i="45"/>
  <c r="B31" i="31"/>
  <c r="AF52" i="41"/>
  <c r="AF36" i="41"/>
  <c r="B58" i="31"/>
  <c r="AF67" i="41"/>
  <c r="B15" i="31"/>
  <c r="AF83" i="41"/>
  <c r="B99" i="31"/>
  <c r="AB1" i="41"/>
  <c r="P13" i="45"/>
  <c r="Q13" i="45" s="1"/>
  <c r="AG69" i="41"/>
  <c r="AG81" i="41" s="1"/>
  <c r="N13" i="45"/>
  <c r="N22" i="45"/>
  <c r="N15" i="45"/>
  <c r="N23" i="45"/>
  <c r="O23" i="45"/>
  <c r="P22" i="45"/>
  <c r="Q22" i="45" s="1"/>
  <c r="Y11" i="45"/>
  <c r="AF12" i="41" s="1"/>
  <c r="P24" i="45"/>
  <c r="Q24" i="45" s="1"/>
  <c r="AG80" i="41"/>
  <c r="P23" i="45"/>
  <c r="Q23" i="45" s="1"/>
  <c r="AF79" i="41"/>
  <c r="N21" i="45"/>
  <c r="AH77" i="41"/>
  <c r="P20" i="45"/>
  <c r="Q20" i="45" s="1"/>
  <c r="AG76" i="41"/>
  <c r="P19" i="45"/>
  <c r="Q19" i="45" s="1"/>
  <c r="AF75" i="41"/>
  <c r="O14" i="45"/>
  <c r="AH70" i="41"/>
  <c r="X28" i="45"/>
  <c r="O37" i="45"/>
  <c r="AJ76" i="41"/>
  <c r="I62" i="45"/>
  <c r="S62" i="45"/>
  <c r="AJ1" i="41"/>
  <c r="B59" i="31"/>
  <c r="AI67" i="41"/>
  <c r="B42" i="31"/>
  <c r="AI83" i="41"/>
  <c r="AI52" i="41"/>
  <c r="B100" i="31"/>
  <c r="O18" i="45"/>
  <c r="AH72" i="41"/>
  <c r="AH73" i="41"/>
  <c r="Q16" i="45"/>
  <c r="AP5" i="41"/>
  <c r="C51" i="31"/>
  <c r="AH31" i="41"/>
  <c r="N18" i="45"/>
  <c r="AA62" i="45"/>
  <c r="J62" i="45"/>
  <c r="M11" i="45"/>
  <c r="K11" i="45"/>
  <c r="L11" i="45"/>
  <c r="N14" i="45"/>
  <c r="Q18" i="45"/>
  <c r="W11" i="45"/>
  <c r="AB62" i="45"/>
  <c r="O17" i="45"/>
  <c r="W28" i="45"/>
  <c r="N39" i="45"/>
  <c r="AB28" i="45"/>
  <c r="J45" i="45"/>
  <c r="N34" i="45"/>
  <c r="N32" i="45"/>
  <c r="P35" i="45"/>
  <c r="Q35" i="45" s="1"/>
  <c r="P40" i="45"/>
  <c r="P33" i="45"/>
  <c r="Q33" i="45" s="1"/>
  <c r="O36" i="45"/>
  <c r="O32" i="45"/>
  <c r="N31" i="45"/>
  <c r="F28" i="45"/>
  <c r="N40" i="45"/>
  <c r="O40" i="45"/>
  <c r="O39" i="45"/>
  <c r="N38" i="45"/>
  <c r="N36" i="45"/>
  <c r="O35" i="45"/>
  <c r="N35" i="45"/>
  <c r="L28" i="45"/>
  <c r="O31" i="45"/>
  <c r="N30" i="45"/>
  <c r="E28" i="45"/>
  <c r="P41" i="45"/>
  <c r="Q41" i="45" s="1"/>
  <c r="P39" i="45"/>
  <c r="Q39" i="45" s="1"/>
  <c r="P38" i="45"/>
  <c r="Q38" i="45" s="1"/>
  <c r="P36" i="45"/>
  <c r="Q36" i="45" s="1"/>
  <c r="P34" i="45"/>
  <c r="Q34" i="45" s="1"/>
  <c r="P32" i="45"/>
  <c r="K28" i="45"/>
  <c r="P31" i="45"/>
  <c r="Q31" i="45" s="1"/>
  <c r="G28" i="45"/>
  <c r="H28" i="45"/>
  <c r="P37" i="45"/>
  <c r="Q37" i="45" s="1"/>
  <c r="M28" i="45"/>
  <c r="Y28" i="45"/>
  <c r="AN12" i="41" s="1"/>
  <c r="AM23" i="41" s="1"/>
  <c r="AM24" i="41" s="1"/>
  <c r="O30" i="45"/>
  <c r="Q32" i="45"/>
  <c r="N33" i="45"/>
  <c r="O34" i="45"/>
  <c r="N37" i="45"/>
  <c r="O38" i="45"/>
  <c r="Q40" i="45"/>
  <c r="N41" i="45"/>
  <c r="P30" i="45"/>
  <c r="O33" i="45"/>
  <c r="O41" i="45"/>
  <c r="P15" i="45"/>
  <c r="Q15" i="45" s="1"/>
  <c r="N16" i="45"/>
  <c r="N20" i="45"/>
  <c r="N24" i="45"/>
  <c r="O16" i="45"/>
  <c r="O20" i="45"/>
  <c r="O24" i="45"/>
  <c r="Z13" i="45"/>
  <c r="Z11" i="45"/>
  <c r="G11" i="45"/>
  <c r="F11" i="45"/>
  <c r="E11" i="45"/>
  <c r="H13" i="45"/>
  <c r="H11" i="45" s="1"/>
  <c r="F65" i="41"/>
  <c r="E65" i="41"/>
  <c r="AM12" i="41" l="1"/>
  <c r="AM16" i="41" s="1"/>
  <c r="AN8" i="41"/>
  <c r="AO8" i="41"/>
  <c r="P11" i="45"/>
  <c r="O11" i="45"/>
  <c r="AH81" i="41"/>
  <c r="Q11" i="45"/>
  <c r="N11" i="45"/>
  <c r="I45" i="45"/>
  <c r="O28" i="45"/>
  <c r="N28" i="45"/>
  <c r="P28" i="45"/>
  <c r="Q30" i="45"/>
  <c r="Q28" i="45" s="1"/>
  <c r="C85" i="41"/>
  <c r="B85" i="41"/>
  <c r="C86" i="41" l="1"/>
  <c r="D87" i="41" s="1"/>
  <c r="D88" i="41" s="1"/>
  <c r="D86" i="41"/>
  <c r="AO16" i="41"/>
  <c r="AP16" i="41" s="1"/>
  <c r="AM17" i="41"/>
  <c r="T35" i="19"/>
  <c r="J33" i="19"/>
  <c r="F34" i="19"/>
  <c r="F35" i="19"/>
  <c r="F36" i="19"/>
  <c r="F37" i="19"/>
  <c r="F38" i="19"/>
  <c r="F39" i="19"/>
  <c r="F40" i="19"/>
  <c r="F41" i="19"/>
  <c r="F42" i="19"/>
  <c r="F43" i="19"/>
  <c r="F44" i="19"/>
  <c r="F33" i="19"/>
  <c r="E34" i="19"/>
  <c r="E35" i="19"/>
  <c r="E36" i="19"/>
  <c r="E37" i="19"/>
  <c r="E38" i="19"/>
  <c r="E39" i="19"/>
  <c r="E40" i="19"/>
  <c r="E41" i="19"/>
  <c r="E42" i="19"/>
  <c r="E43" i="19"/>
  <c r="E44" i="19"/>
  <c r="E33" i="19"/>
  <c r="F21" i="3"/>
  <c r="F22" i="3"/>
  <c r="F23" i="3"/>
  <c r="F24" i="3"/>
  <c r="F25" i="3"/>
  <c r="F26" i="3"/>
  <c r="F27" i="3"/>
  <c r="F28" i="3"/>
  <c r="F29" i="3"/>
  <c r="F30" i="3"/>
  <c r="F31" i="3"/>
  <c r="G21" i="3"/>
  <c r="G22" i="3"/>
  <c r="G23" i="3"/>
  <c r="G24" i="3"/>
  <c r="G25" i="3"/>
  <c r="G15" i="3" s="1"/>
  <c r="G26" i="3"/>
  <c r="G27" i="3"/>
  <c r="G28" i="3"/>
  <c r="G29" i="3"/>
  <c r="G30" i="3"/>
  <c r="G31" i="3"/>
  <c r="C34" i="6" l="1"/>
  <c r="D20" i="8"/>
  <c r="E20" i="8"/>
  <c r="D21" i="8"/>
  <c r="E21" i="8"/>
  <c r="D22" i="8"/>
  <c r="E22" i="8"/>
  <c r="D23" i="8"/>
  <c r="E23" i="8"/>
  <c r="D24" i="8"/>
  <c r="E24" i="8"/>
  <c r="F15" i="8" s="1"/>
  <c r="D25" i="8"/>
  <c r="D26" i="8"/>
  <c r="E26" i="8"/>
  <c r="D27" i="8"/>
  <c r="E27" i="8"/>
  <c r="D28" i="8"/>
  <c r="E28" i="8"/>
  <c r="D29" i="8"/>
  <c r="E29" i="8"/>
  <c r="D30" i="8"/>
  <c r="E30" i="8"/>
  <c r="D31" i="8"/>
  <c r="E31" i="8"/>
  <c r="C21" i="8"/>
  <c r="C22" i="8"/>
  <c r="C23" i="8"/>
  <c r="C24" i="8"/>
  <c r="C25" i="8"/>
  <c r="C26" i="8"/>
  <c r="C27" i="8"/>
  <c r="C28" i="8"/>
  <c r="C29" i="8"/>
  <c r="C30" i="8"/>
  <c r="C31" i="8"/>
  <c r="C20" i="8"/>
  <c r="G20" i="3"/>
  <c r="F20" i="3"/>
  <c r="E19" i="3"/>
  <c r="D32" i="19"/>
  <c r="C32" i="19"/>
  <c r="B32" i="19"/>
  <c r="E95" i="41" l="1"/>
  <c r="D95" i="41"/>
  <c r="O11" i="41"/>
  <c r="F95" i="41"/>
  <c r="P11" i="41"/>
  <c r="F97" i="41" l="1"/>
  <c r="F96" i="41"/>
  <c r="F98" i="41" s="1"/>
  <c r="R45" i="45"/>
  <c r="S45" i="45"/>
  <c r="U34" i="19"/>
  <c r="U35" i="19"/>
  <c r="U36" i="19"/>
  <c r="U37" i="19"/>
  <c r="U38" i="19"/>
  <c r="U39" i="19"/>
  <c r="U40" i="19"/>
  <c r="U41" i="19"/>
  <c r="U42" i="19"/>
  <c r="U43" i="19"/>
  <c r="U44" i="19"/>
  <c r="U33" i="19"/>
  <c r="T34" i="19"/>
  <c r="T36" i="19"/>
  <c r="T37" i="19"/>
  <c r="T38" i="19"/>
  <c r="T39" i="19"/>
  <c r="T40" i="19"/>
  <c r="T41" i="19"/>
  <c r="T42" i="19"/>
  <c r="T43" i="19"/>
  <c r="T44" i="19"/>
  <c r="T33" i="19"/>
  <c r="S32" i="19"/>
  <c r="R32" i="19"/>
  <c r="Q32" i="19"/>
  <c r="K34" i="19"/>
  <c r="K35" i="19"/>
  <c r="K36" i="19"/>
  <c r="K37" i="19"/>
  <c r="K38" i="19"/>
  <c r="K39" i="19"/>
  <c r="K40" i="19"/>
  <c r="K41" i="19"/>
  <c r="K42" i="19"/>
  <c r="K43" i="19"/>
  <c r="K44" i="19"/>
  <c r="K33" i="19"/>
  <c r="J34" i="19"/>
  <c r="J35" i="19"/>
  <c r="J36" i="19"/>
  <c r="J37" i="19"/>
  <c r="J38" i="19"/>
  <c r="J39" i="19"/>
  <c r="J40" i="19"/>
  <c r="J41" i="19"/>
  <c r="J42" i="19"/>
  <c r="J43" i="19"/>
  <c r="J44" i="19"/>
  <c r="I32" i="19"/>
  <c r="H32" i="19"/>
  <c r="G32" i="19"/>
  <c r="D65" i="41"/>
  <c r="C62" i="41"/>
  <c r="D58" i="41"/>
  <c r="C58" i="41"/>
  <c r="F11" i="3"/>
  <c r="D19" i="3"/>
  <c r="C19" i="3"/>
  <c r="F99" i="41" l="1"/>
  <c r="D62" i="10"/>
  <c r="E11" i="3"/>
  <c r="D11" i="3"/>
  <c r="K32" i="19"/>
  <c r="U32" i="19"/>
  <c r="F32" i="19"/>
  <c r="E32" i="19"/>
  <c r="J32" i="19"/>
  <c r="F19" i="3"/>
  <c r="AB45" i="45" l="1"/>
  <c r="AA45" i="45"/>
  <c r="X39" i="41" l="1"/>
  <c r="W39" i="41"/>
  <c r="W32" i="41"/>
  <c r="V36" i="41"/>
  <c r="V32" i="41"/>
  <c r="X40" i="41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C26" i="5"/>
  <c r="D26" i="5"/>
  <c r="E26" i="5"/>
  <c r="C27" i="5"/>
  <c r="D27" i="5"/>
  <c r="E27" i="5"/>
  <c r="C28" i="5"/>
  <c r="D28" i="5"/>
  <c r="E28" i="5"/>
  <c r="C29" i="5"/>
  <c r="D29" i="5"/>
  <c r="E29" i="5"/>
  <c r="C30" i="5"/>
  <c r="D30" i="5"/>
  <c r="E30" i="5"/>
  <c r="C31" i="5"/>
  <c r="D31" i="5"/>
  <c r="E31" i="5"/>
  <c r="D20" i="5"/>
  <c r="E20" i="5"/>
  <c r="C20" i="5"/>
  <c r="C21" i="9"/>
  <c r="D21" i="9"/>
  <c r="E21" i="9"/>
  <c r="C22" i="9"/>
  <c r="D22" i="9"/>
  <c r="E22" i="9"/>
  <c r="C23" i="9"/>
  <c r="D23" i="9"/>
  <c r="E23" i="9"/>
  <c r="C24" i="9"/>
  <c r="D24" i="9"/>
  <c r="E24" i="9"/>
  <c r="F15" i="9" s="1"/>
  <c r="C25" i="9"/>
  <c r="D25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D20" i="9"/>
  <c r="E20" i="9"/>
  <c r="C20" i="9"/>
  <c r="G95" i="41" s="1"/>
  <c r="E15" i="8"/>
  <c r="H95" i="41" l="1"/>
  <c r="D64" i="45"/>
  <c r="AE38" i="41"/>
  <c r="C105" i="41"/>
  <c r="N33" i="19"/>
  <c r="X33" i="19" s="1"/>
  <c r="B75" i="45"/>
  <c r="B58" i="45" s="1"/>
  <c r="AC49" i="41"/>
  <c r="AC65" i="41" s="1"/>
  <c r="D73" i="45"/>
  <c r="D56" i="45" s="1"/>
  <c r="AE47" i="41"/>
  <c r="AE63" i="41" s="1"/>
  <c r="C114" i="41"/>
  <c r="N42" i="19"/>
  <c r="X42" i="19" s="1"/>
  <c r="C72" i="45"/>
  <c r="C55" i="45" s="1"/>
  <c r="AD46" i="41"/>
  <c r="AD62" i="41" s="1"/>
  <c r="B113" i="41"/>
  <c r="B71" i="45"/>
  <c r="B54" i="45" s="1"/>
  <c r="AC45" i="41"/>
  <c r="AC61" i="41" s="1"/>
  <c r="C69" i="45"/>
  <c r="C52" i="45" s="1"/>
  <c r="AD43" i="41"/>
  <c r="AD59" i="41" s="1"/>
  <c r="B110" i="41"/>
  <c r="B68" i="45"/>
  <c r="B51" i="45" s="1"/>
  <c r="AL42" i="41" s="1"/>
  <c r="AC42" i="41"/>
  <c r="AC58" i="41" s="1"/>
  <c r="D66" i="45"/>
  <c r="AE40" i="41"/>
  <c r="AE56" i="41" s="1"/>
  <c r="C107" i="41"/>
  <c r="N35" i="19"/>
  <c r="X35" i="19" s="1"/>
  <c r="C65" i="45"/>
  <c r="AD39" i="41"/>
  <c r="AD55" i="41" s="1"/>
  <c r="B106" i="41"/>
  <c r="C64" i="45"/>
  <c r="AD38" i="41"/>
  <c r="F38" i="41"/>
  <c r="B118" i="41" s="1"/>
  <c r="F35" i="6" s="1"/>
  <c r="B105" i="41"/>
  <c r="H85" i="41"/>
  <c r="D74" i="45"/>
  <c r="D57" i="45" s="1"/>
  <c r="AE48" i="41"/>
  <c r="AE64" i="41" s="1"/>
  <c r="C115" i="41"/>
  <c r="N43" i="19"/>
  <c r="X43" i="19" s="1"/>
  <c r="C73" i="45"/>
  <c r="C56" i="45" s="1"/>
  <c r="AD47" i="41"/>
  <c r="AD63" i="41" s="1"/>
  <c r="B114" i="41"/>
  <c r="B72" i="45"/>
  <c r="B55" i="45" s="1"/>
  <c r="AC46" i="41"/>
  <c r="AC62" i="41" s="1"/>
  <c r="D70" i="45"/>
  <c r="D53" i="45" s="1"/>
  <c r="AE44" i="41"/>
  <c r="AE60" i="41" s="1"/>
  <c r="C111" i="41"/>
  <c r="N39" i="19"/>
  <c r="X39" i="19" s="1"/>
  <c r="B69" i="45"/>
  <c r="B52" i="45" s="1"/>
  <c r="AC43" i="41"/>
  <c r="AC59" i="41" s="1"/>
  <c r="D67" i="45"/>
  <c r="AE41" i="41"/>
  <c r="AE57" i="41" s="1"/>
  <c r="C108" i="41"/>
  <c r="N36" i="19"/>
  <c r="X36" i="19" s="1"/>
  <c r="C66" i="45"/>
  <c r="AD40" i="41"/>
  <c r="AD56" i="41" s="1"/>
  <c r="B107" i="41"/>
  <c r="B65" i="45"/>
  <c r="B48" i="45" s="1"/>
  <c r="AL39" i="41" s="1"/>
  <c r="AC39" i="41"/>
  <c r="AC55" i="41" s="1"/>
  <c r="D75" i="45"/>
  <c r="D58" i="45" s="1"/>
  <c r="AE49" i="41"/>
  <c r="AE65" i="41" s="1"/>
  <c r="C116" i="41"/>
  <c r="N44" i="19"/>
  <c r="X44" i="19" s="1"/>
  <c r="C74" i="45"/>
  <c r="C57" i="45" s="1"/>
  <c r="AD48" i="41"/>
  <c r="AD64" i="41" s="1"/>
  <c r="B115" i="41"/>
  <c r="B73" i="45"/>
  <c r="B56" i="45" s="1"/>
  <c r="AC47" i="41"/>
  <c r="AC63" i="41" s="1"/>
  <c r="D71" i="45"/>
  <c r="D54" i="45" s="1"/>
  <c r="AE45" i="41"/>
  <c r="AE61" i="41" s="1"/>
  <c r="C112" i="41"/>
  <c r="N40" i="19"/>
  <c r="X40" i="19" s="1"/>
  <c r="C70" i="45"/>
  <c r="C53" i="45" s="1"/>
  <c r="AD44" i="41"/>
  <c r="AD60" i="41" s="1"/>
  <c r="B111" i="41"/>
  <c r="N37" i="19"/>
  <c r="X37" i="19" s="1"/>
  <c r="D68" i="45"/>
  <c r="D51" i="45" s="1"/>
  <c r="F15" i="5"/>
  <c r="AE42" i="41"/>
  <c r="AE58" i="41" s="1"/>
  <c r="C109" i="41"/>
  <c r="C67" i="45"/>
  <c r="AD41" i="41"/>
  <c r="AD57" i="41" s="1"/>
  <c r="B108" i="41"/>
  <c r="B66" i="45"/>
  <c r="B49" i="45" s="1"/>
  <c r="AL40" i="41" s="1"/>
  <c r="AC40" i="41"/>
  <c r="AC56" i="41" s="1"/>
  <c r="B64" i="45"/>
  <c r="B47" i="45" s="1"/>
  <c r="AL38" i="41" s="1"/>
  <c r="AC38" i="41"/>
  <c r="G85" i="41"/>
  <c r="C75" i="45"/>
  <c r="C58" i="45" s="1"/>
  <c r="AD49" i="41"/>
  <c r="AD65" i="41" s="1"/>
  <c r="B116" i="41"/>
  <c r="B74" i="45"/>
  <c r="B57" i="45" s="1"/>
  <c r="AC48" i="41"/>
  <c r="AC64" i="41" s="1"/>
  <c r="D72" i="45"/>
  <c r="D55" i="45" s="1"/>
  <c r="AE46" i="41"/>
  <c r="AE62" i="41" s="1"/>
  <c r="C113" i="41"/>
  <c r="N41" i="19"/>
  <c r="X41" i="19" s="1"/>
  <c r="C71" i="45"/>
  <c r="C54" i="45" s="1"/>
  <c r="AD45" i="41"/>
  <c r="AD61" i="41" s="1"/>
  <c r="B112" i="41"/>
  <c r="B70" i="45"/>
  <c r="B53" i="45" s="1"/>
  <c r="AC44" i="41"/>
  <c r="AC60" i="41" s="1"/>
  <c r="C68" i="45"/>
  <c r="AD42" i="41"/>
  <c r="AD58" i="41" s="1"/>
  <c r="B109" i="41"/>
  <c r="B67" i="45"/>
  <c r="B50" i="45" s="1"/>
  <c r="AL41" i="41" s="1"/>
  <c r="AC41" i="41"/>
  <c r="AC57" i="41" s="1"/>
  <c r="D65" i="45"/>
  <c r="AE39" i="41"/>
  <c r="AE55" i="41" s="1"/>
  <c r="C106" i="41"/>
  <c r="N34" i="19"/>
  <c r="X34" i="19" s="1"/>
  <c r="AE43" i="41"/>
  <c r="AE59" i="41" s="1"/>
  <c r="C110" i="41"/>
  <c r="E38" i="41"/>
  <c r="C118" i="41" s="1"/>
  <c r="H35" i="6" s="1"/>
  <c r="I85" i="41"/>
  <c r="N38" i="19"/>
  <c r="C90" i="41"/>
  <c r="P38" i="41"/>
  <c r="I95" i="41"/>
  <c r="N31" i="41"/>
  <c r="M43" i="19"/>
  <c r="M39" i="19"/>
  <c r="M35" i="19"/>
  <c r="M44" i="19"/>
  <c r="M40" i="19"/>
  <c r="M36" i="19"/>
  <c r="E20" i="43"/>
  <c r="M64" i="45" s="1"/>
  <c r="M41" i="19"/>
  <c r="M37" i="19"/>
  <c r="M42" i="19"/>
  <c r="M38" i="19"/>
  <c r="M34" i="19"/>
  <c r="W36" i="41"/>
  <c r="H29" i="8"/>
  <c r="H25" i="8"/>
  <c r="H21" i="8"/>
  <c r="H30" i="8"/>
  <c r="H26" i="8"/>
  <c r="H22" i="8"/>
  <c r="H31" i="8"/>
  <c r="H27" i="8"/>
  <c r="H23" i="8"/>
  <c r="E19" i="9"/>
  <c r="E19" i="5"/>
  <c r="L44" i="19"/>
  <c r="L40" i="19"/>
  <c r="L36" i="19"/>
  <c r="D19" i="8"/>
  <c r="N4" i="41"/>
  <c r="H28" i="8"/>
  <c r="H24" i="8"/>
  <c r="D19" i="9"/>
  <c r="M33" i="19"/>
  <c r="W33" i="19" s="1"/>
  <c r="L41" i="19"/>
  <c r="L37" i="19"/>
  <c r="E20" i="11"/>
  <c r="O4" i="41"/>
  <c r="G20" i="8"/>
  <c r="F20" i="8"/>
  <c r="E19" i="8"/>
  <c r="N8" i="41"/>
  <c r="L42" i="19"/>
  <c r="L38" i="19"/>
  <c r="E23" i="43"/>
  <c r="M67" i="45" s="1"/>
  <c r="L34" i="19"/>
  <c r="C19" i="9"/>
  <c r="C19" i="5"/>
  <c r="L33" i="19"/>
  <c r="V33" i="19" s="1"/>
  <c r="L43" i="19"/>
  <c r="L39" i="19"/>
  <c r="E24" i="43"/>
  <c r="L35" i="19"/>
  <c r="O31" i="41"/>
  <c r="O38" i="41"/>
  <c r="N35" i="41"/>
  <c r="D19" i="5"/>
  <c r="C31" i="41"/>
  <c r="D31" i="41"/>
  <c r="D38" i="41"/>
  <c r="C35" i="41"/>
  <c r="D20" i="11"/>
  <c r="B78" i="6"/>
  <c r="B40" i="6"/>
  <c r="X11" i="41" l="1"/>
  <c r="I87" i="41"/>
  <c r="I96" i="41"/>
  <c r="I98" i="41" s="1"/>
  <c r="I97" i="41"/>
  <c r="I86" i="41"/>
  <c r="AL56" i="41"/>
  <c r="AL55" i="41"/>
  <c r="D48" i="45"/>
  <c r="F65" i="45"/>
  <c r="E65" i="45"/>
  <c r="E28" i="43"/>
  <c r="AJ65" i="41"/>
  <c r="AG65" i="41"/>
  <c r="AJ57" i="41"/>
  <c r="AG57" i="41"/>
  <c r="AG60" i="41"/>
  <c r="AJ60" i="41"/>
  <c r="AK61" i="41"/>
  <c r="AH61" i="41"/>
  <c r="E31" i="43"/>
  <c r="AJ56" i="41"/>
  <c r="AG56" i="41"/>
  <c r="AH57" i="41"/>
  <c r="AK57" i="41"/>
  <c r="AF62" i="41"/>
  <c r="AI62" i="41"/>
  <c r="AG55" i="41"/>
  <c r="AJ55" i="41"/>
  <c r="AH56" i="41"/>
  <c r="AK56" i="41"/>
  <c r="AI61" i="41"/>
  <c r="AF61" i="41"/>
  <c r="O41" i="19"/>
  <c r="M50" i="45"/>
  <c r="E21" i="43"/>
  <c r="AJ58" i="41"/>
  <c r="AG58" i="41"/>
  <c r="AI64" i="41"/>
  <c r="AF64" i="41"/>
  <c r="AI56" i="41"/>
  <c r="AF56" i="41"/>
  <c r="C50" i="45"/>
  <c r="G67" i="45"/>
  <c r="H67" i="45" s="1"/>
  <c r="C117" i="41"/>
  <c r="G35" i="6" s="1"/>
  <c r="AF55" i="41"/>
  <c r="AI55" i="41"/>
  <c r="C49" i="45"/>
  <c r="G66" i="45"/>
  <c r="H66" i="45" s="1"/>
  <c r="D50" i="45"/>
  <c r="E67" i="45"/>
  <c r="F67" i="45"/>
  <c r="E30" i="43"/>
  <c r="AD54" i="41"/>
  <c r="AD50" i="41"/>
  <c r="C48" i="45"/>
  <c r="G65" i="45"/>
  <c r="H65" i="45" s="1"/>
  <c r="D49" i="45"/>
  <c r="F66" i="45"/>
  <c r="E66" i="45"/>
  <c r="E29" i="43"/>
  <c r="M47" i="45"/>
  <c r="AI57" i="41"/>
  <c r="AF57" i="41"/>
  <c r="C51" i="45"/>
  <c r="G68" i="45"/>
  <c r="AJ61" i="41"/>
  <c r="AG61" i="41"/>
  <c r="AK62" i="41"/>
  <c r="AH62" i="41"/>
  <c r="E27" i="43"/>
  <c r="AG64" i="41"/>
  <c r="AJ64" i="41"/>
  <c r="AH65" i="41"/>
  <c r="AK65" i="41"/>
  <c r="AF59" i="41"/>
  <c r="AI59" i="41"/>
  <c r="AH60" i="41"/>
  <c r="AK60" i="41"/>
  <c r="C47" i="45"/>
  <c r="G64" i="45"/>
  <c r="H64" i="45" s="1"/>
  <c r="E22" i="43"/>
  <c r="AJ59" i="41"/>
  <c r="AG59" i="41"/>
  <c r="AF65" i="41"/>
  <c r="AI65" i="41"/>
  <c r="AE54" i="41"/>
  <c r="AE50" i="41"/>
  <c r="M68" i="45"/>
  <c r="M51" i="45" s="1"/>
  <c r="F15" i="43"/>
  <c r="AK55" i="41"/>
  <c r="AH55" i="41"/>
  <c r="AL57" i="41"/>
  <c r="AI60" i="41"/>
  <c r="AF60" i="41"/>
  <c r="B117" i="41"/>
  <c r="E35" i="6" s="1"/>
  <c r="AC54" i="41"/>
  <c r="AC50" i="41"/>
  <c r="AH58" i="41"/>
  <c r="AK58" i="41"/>
  <c r="AF63" i="41"/>
  <c r="AI63" i="41"/>
  <c r="AJ63" i="41"/>
  <c r="AG63" i="41"/>
  <c r="AK64" i="41"/>
  <c r="AH64" i="41"/>
  <c r="AL58" i="41"/>
  <c r="AI58" i="41"/>
  <c r="AF58" i="41"/>
  <c r="AJ62" i="41"/>
  <c r="AG62" i="41"/>
  <c r="AK63" i="41"/>
  <c r="AH63" i="41"/>
  <c r="D47" i="45"/>
  <c r="E64" i="45"/>
  <c r="F64" i="45"/>
  <c r="X38" i="19"/>
  <c r="E25" i="43"/>
  <c r="M69" i="45" s="1"/>
  <c r="M52" i="45" s="1"/>
  <c r="AK59" i="41"/>
  <c r="AH59" i="41"/>
  <c r="AE73" i="41"/>
  <c r="AE90" i="41" s="1"/>
  <c r="AH90" i="41" s="1"/>
  <c r="F109" i="41"/>
  <c r="C25" i="43"/>
  <c r="V38" i="19"/>
  <c r="C24" i="43"/>
  <c r="V37" i="19"/>
  <c r="C23" i="43"/>
  <c r="V36" i="19"/>
  <c r="D21" i="43"/>
  <c r="L65" i="45" s="1"/>
  <c r="W34" i="19"/>
  <c r="D28" i="43"/>
  <c r="W41" i="19"/>
  <c r="D31" i="43"/>
  <c r="W44" i="19"/>
  <c r="C26" i="43"/>
  <c r="V39" i="19"/>
  <c r="C28" i="43"/>
  <c r="V41" i="19"/>
  <c r="D25" i="43"/>
  <c r="L69" i="45" s="1"/>
  <c r="L52" i="45" s="1"/>
  <c r="W38" i="19"/>
  <c r="AE69" i="41"/>
  <c r="F105" i="41"/>
  <c r="D22" i="43"/>
  <c r="L66" i="45" s="1"/>
  <c r="W35" i="19"/>
  <c r="C30" i="43"/>
  <c r="V43" i="19"/>
  <c r="C21" i="43"/>
  <c r="V34" i="19"/>
  <c r="C27" i="43"/>
  <c r="V40" i="19"/>
  <c r="D29" i="43"/>
  <c r="L73" i="45" s="1"/>
  <c r="L56" i="45" s="1"/>
  <c r="W42" i="19"/>
  <c r="D23" i="43"/>
  <c r="W36" i="19"/>
  <c r="D26" i="43"/>
  <c r="L70" i="45" s="1"/>
  <c r="L53" i="45" s="1"/>
  <c r="W39" i="19"/>
  <c r="C22" i="43"/>
  <c r="V35" i="19"/>
  <c r="AE72" i="41"/>
  <c r="AE89" i="41" s="1"/>
  <c r="F108" i="41"/>
  <c r="C31" i="43"/>
  <c r="V44" i="19"/>
  <c r="D24" i="43"/>
  <c r="W37" i="19"/>
  <c r="D27" i="43"/>
  <c r="L71" i="45" s="1"/>
  <c r="L54" i="45" s="1"/>
  <c r="W40" i="19"/>
  <c r="D30" i="43"/>
  <c r="W43" i="19"/>
  <c r="C29" i="43"/>
  <c r="V42" i="19"/>
  <c r="P44" i="19"/>
  <c r="P42" i="19"/>
  <c r="O44" i="19"/>
  <c r="O40" i="19"/>
  <c r="O42" i="19"/>
  <c r="G21" i="43"/>
  <c r="P40" i="19"/>
  <c r="O43" i="19"/>
  <c r="P41" i="19"/>
  <c r="P43" i="19"/>
  <c r="P36" i="19"/>
  <c r="O37" i="19"/>
  <c r="P39" i="19"/>
  <c r="E26" i="43"/>
  <c r="D11" i="41"/>
  <c r="C20" i="43"/>
  <c r="K64" i="45" s="1"/>
  <c r="K47" i="45" s="1"/>
  <c r="AL69" i="41" s="1"/>
  <c r="O38" i="19"/>
  <c r="D20" i="43"/>
  <c r="L64" i="45" s="1"/>
  <c r="N64" i="45" s="1"/>
  <c r="P38" i="19"/>
  <c r="O36" i="19"/>
  <c r="P37" i="19"/>
  <c r="O39" i="19"/>
  <c r="M32" i="19"/>
  <c r="B13" i="6"/>
  <c r="F22" i="43" l="1"/>
  <c r="F21" i="43"/>
  <c r="C8" i="41"/>
  <c r="D4" i="41"/>
  <c r="E19" i="43"/>
  <c r="W32" i="19"/>
  <c r="I99" i="41"/>
  <c r="D101" i="10"/>
  <c r="I88" i="41"/>
  <c r="C65" i="31"/>
  <c r="E65" i="31"/>
  <c r="E38" i="31"/>
  <c r="D38" i="31"/>
  <c r="D65" i="31"/>
  <c r="C38" i="31"/>
  <c r="F110" i="41"/>
  <c r="AC80" i="41"/>
  <c r="AC99" i="41" s="1"/>
  <c r="AF99" i="41" s="1"/>
  <c r="K75" i="45"/>
  <c r="K58" i="45" s="1"/>
  <c r="F23" i="43"/>
  <c r="L67" i="45"/>
  <c r="E39" i="31"/>
  <c r="E66" i="31"/>
  <c r="L47" i="45"/>
  <c r="P64" i="45"/>
  <c r="Q64" i="45" s="1"/>
  <c r="AC70" i="41"/>
  <c r="AC87" i="41" s="1"/>
  <c r="AF87" i="41" s="1"/>
  <c r="K65" i="45"/>
  <c r="K48" i="45" s="1"/>
  <c r="AL70" i="41" s="1"/>
  <c r="L49" i="45"/>
  <c r="AC77" i="41"/>
  <c r="AC95" i="41" s="1"/>
  <c r="AI95" i="41" s="1"/>
  <c r="K72" i="45"/>
  <c r="K55" i="45" s="1"/>
  <c r="G31" i="43"/>
  <c r="L75" i="45"/>
  <c r="L58" i="45" s="1"/>
  <c r="L48" i="45"/>
  <c r="AC73" i="41"/>
  <c r="AC90" i="41" s="1"/>
  <c r="AI90" i="41" s="1"/>
  <c r="K68" i="45"/>
  <c r="K51" i="45" s="1"/>
  <c r="AL73" i="41" s="1"/>
  <c r="AL54" i="41"/>
  <c r="AF54" i="41"/>
  <c r="AI54" i="41"/>
  <c r="AM42" i="41"/>
  <c r="AM58" i="41" s="1"/>
  <c r="G51" i="45"/>
  <c r="M74" i="45"/>
  <c r="M57" i="45" s="1"/>
  <c r="AE79" i="41"/>
  <c r="AE98" i="41" s="1"/>
  <c r="F115" i="41"/>
  <c r="AN41" i="41"/>
  <c r="AN57" i="41" s="1"/>
  <c r="E50" i="45"/>
  <c r="F50" i="45"/>
  <c r="AC78" i="41"/>
  <c r="AC97" i="41" s="1"/>
  <c r="AI97" i="41" s="1"/>
  <c r="K73" i="45"/>
  <c r="K56" i="45" s="1"/>
  <c r="AC71" i="41"/>
  <c r="AC88" i="41" s="1"/>
  <c r="AF88" i="41" s="1"/>
  <c r="K66" i="45"/>
  <c r="K49" i="45" s="1"/>
  <c r="AL71" i="41" s="1"/>
  <c r="AL88" i="41" s="1"/>
  <c r="AC76" i="41"/>
  <c r="AC94" i="41" s="1"/>
  <c r="AI94" i="41" s="1"/>
  <c r="K71" i="45"/>
  <c r="K54" i="45" s="1"/>
  <c r="AM38" i="41"/>
  <c r="G47" i="45"/>
  <c r="H47" i="45" s="1"/>
  <c r="M75" i="45"/>
  <c r="M58" i="45" s="1"/>
  <c r="AE80" i="41"/>
  <c r="AE99" i="41" s="1"/>
  <c r="F116" i="41"/>
  <c r="F85" i="41"/>
  <c r="M70" i="45"/>
  <c r="M53" i="45" s="1"/>
  <c r="H22" i="43"/>
  <c r="I22" i="43" s="1"/>
  <c r="G34" i="38" s="1"/>
  <c r="G27" i="43"/>
  <c r="AC79" i="41"/>
  <c r="AC98" i="41" s="1"/>
  <c r="AF98" i="41" s="1"/>
  <c r="K74" i="45"/>
  <c r="K57" i="45" s="1"/>
  <c r="AE74" i="41"/>
  <c r="AE92" i="41" s="1"/>
  <c r="AK92" i="41" s="1"/>
  <c r="AC75" i="41"/>
  <c r="AC93" i="41" s="1"/>
  <c r="AI93" i="41" s="1"/>
  <c r="K70" i="45"/>
  <c r="K53" i="45" s="1"/>
  <c r="F28" i="43"/>
  <c r="L72" i="45"/>
  <c r="L55" i="45" s="1"/>
  <c r="AC72" i="41"/>
  <c r="AC89" i="41" s="1"/>
  <c r="AI89" i="41" s="1"/>
  <c r="K67" i="45"/>
  <c r="K50" i="45" s="1"/>
  <c r="AL72" i="41" s="1"/>
  <c r="AC74" i="41"/>
  <c r="AC92" i="41" s="1"/>
  <c r="AI92" i="41" s="1"/>
  <c r="K69" i="45"/>
  <c r="K52" i="45" s="1"/>
  <c r="AH54" i="41"/>
  <c r="AK54" i="41"/>
  <c r="M71" i="45"/>
  <c r="M54" i="45" s="1"/>
  <c r="AE76" i="41"/>
  <c r="AE94" i="41" s="1"/>
  <c r="F112" i="41"/>
  <c r="O47" i="45"/>
  <c r="AN69" i="41"/>
  <c r="N47" i="45"/>
  <c r="D39" i="31"/>
  <c r="D66" i="31"/>
  <c r="AM40" i="41"/>
  <c r="AM56" i="41" s="1"/>
  <c r="G49" i="45"/>
  <c r="H49" i="45" s="1"/>
  <c r="AM39" i="41"/>
  <c r="AM55" i="41" s="1"/>
  <c r="G48" i="45"/>
  <c r="H48" i="45" s="1"/>
  <c r="F30" i="43"/>
  <c r="L74" i="45"/>
  <c r="L57" i="45" s="1"/>
  <c r="F24" i="43"/>
  <c r="L68" i="45"/>
  <c r="AN38" i="41"/>
  <c r="AN54" i="41" s="1"/>
  <c r="F47" i="45"/>
  <c r="E47" i="45"/>
  <c r="C39" i="31"/>
  <c r="C66" i="31"/>
  <c r="M66" i="45"/>
  <c r="AE71" i="41"/>
  <c r="AE88" i="41" s="1"/>
  <c r="F107" i="41"/>
  <c r="O64" i="45"/>
  <c r="M73" i="45"/>
  <c r="M56" i="45" s="1"/>
  <c r="AE78" i="41"/>
  <c r="AE97" i="41" s="1"/>
  <c r="F114" i="41"/>
  <c r="AN40" i="41"/>
  <c r="AN56" i="41" s="1"/>
  <c r="F49" i="45"/>
  <c r="E49" i="45"/>
  <c r="AG54" i="41"/>
  <c r="AJ54" i="41"/>
  <c r="AM41" i="41"/>
  <c r="AM57" i="41" s="1"/>
  <c r="G50" i="45"/>
  <c r="H50" i="45" s="1"/>
  <c r="M65" i="45"/>
  <c r="AE70" i="41"/>
  <c r="AE87" i="41" s="1"/>
  <c r="F106" i="41"/>
  <c r="AN72" i="41"/>
  <c r="AN89" i="41" s="1"/>
  <c r="M72" i="45"/>
  <c r="M55" i="45" s="1"/>
  <c r="AE77" i="41"/>
  <c r="AE95" i="41" s="1"/>
  <c r="F113" i="41"/>
  <c r="AN39" i="41"/>
  <c r="AN55" i="41" s="1"/>
  <c r="E48" i="45"/>
  <c r="F48" i="45"/>
  <c r="F25" i="43"/>
  <c r="H23" i="43"/>
  <c r="F35" i="38" s="1"/>
  <c r="G23" i="43"/>
  <c r="H21" i="43"/>
  <c r="I21" i="43" s="1"/>
  <c r="G33" i="38" s="1"/>
  <c r="H27" i="43"/>
  <c r="I27" i="43" s="1"/>
  <c r="G39" i="38" s="1"/>
  <c r="H24" i="43"/>
  <c r="F36" i="38" s="1"/>
  <c r="H29" i="43"/>
  <c r="I29" i="43" s="1"/>
  <c r="G41" i="38" s="1"/>
  <c r="H25" i="43"/>
  <c r="F37" i="38" s="1"/>
  <c r="H31" i="43"/>
  <c r="F43" i="38" s="1"/>
  <c r="A90" i="41"/>
  <c r="B90" i="41"/>
  <c r="AD75" i="41"/>
  <c r="AD93" i="41" s="1"/>
  <c r="E111" i="41"/>
  <c r="F29" i="43"/>
  <c r="AD78" i="41"/>
  <c r="AD97" i="41" s="1"/>
  <c r="E114" i="41"/>
  <c r="H30" i="43"/>
  <c r="F42" i="38" s="1"/>
  <c r="G29" i="43"/>
  <c r="AD73" i="41"/>
  <c r="AD90" i="41" s="1"/>
  <c r="E109" i="41"/>
  <c r="AI88" i="41"/>
  <c r="AE75" i="41"/>
  <c r="AE93" i="41" s="1"/>
  <c r="F111" i="41"/>
  <c r="H28" i="43"/>
  <c r="I28" i="43" s="1"/>
  <c r="G40" i="38" s="1"/>
  <c r="H26" i="43"/>
  <c r="F38" i="38" s="1"/>
  <c r="AF97" i="41"/>
  <c r="F27" i="43"/>
  <c r="AD76" i="41"/>
  <c r="AD94" i="41" s="1"/>
  <c r="E112" i="41"/>
  <c r="V32" i="19"/>
  <c r="AE85" i="41"/>
  <c r="G28" i="43"/>
  <c r="AD77" i="41"/>
  <c r="AD95" i="41" s="1"/>
  <c r="E113" i="41"/>
  <c r="AF89" i="41"/>
  <c r="AF92" i="41"/>
  <c r="D85" i="41"/>
  <c r="AC69" i="41"/>
  <c r="G30" i="43"/>
  <c r="AD79" i="41"/>
  <c r="AD98" i="41" s="1"/>
  <c r="E115" i="41"/>
  <c r="AH89" i="41"/>
  <c r="AK89" i="41"/>
  <c r="AD74" i="41"/>
  <c r="AD92" i="41" s="1"/>
  <c r="E110" i="41"/>
  <c r="AF95" i="41"/>
  <c r="F31" i="43"/>
  <c r="AD80" i="41"/>
  <c r="AD99" i="41" s="1"/>
  <c r="E116" i="41"/>
  <c r="AD70" i="41"/>
  <c r="AD87" i="41" s="1"/>
  <c r="E106" i="41"/>
  <c r="AF90" i="41"/>
  <c r="AK90" i="41"/>
  <c r="G20" i="43"/>
  <c r="AD69" i="41"/>
  <c r="E105" i="41"/>
  <c r="F11" i="41"/>
  <c r="E118" i="41" s="1"/>
  <c r="F36" i="6" s="1"/>
  <c r="E85" i="41"/>
  <c r="G25" i="43"/>
  <c r="AD72" i="41"/>
  <c r="AD89" i="41" s="1"/>
  <c r="E108" i="41"/>
  <c r="AF94" i="41"/>
  <c r="AI87" i="41"/>
  <c r="G22" i="43"/>
  <c r="AD71" i="41"/>
  <c r="AD88" i="41" s="1"/>
  <c r="E107" i="41"/>
  <c r="E11" i="41"/>
  <c r="F118" i="41" s="1"/>
  <c r="H36" i="6" s="1"/>
  <c r="G24" i="43"/>
  <c r="G15" i="43" s="1"/>
  <c r="I30" i="43"/>
  <c r="G42" i="38" s="1"/>
  <c r="I23" i="43"/>
  <c r="G35" i="38" s="1"/>
  <c r="F33" i="38"/>
  <c r="F34" i="38"/>
  <c r="F41" i="38"/>
  <c r="D15" i="43"/>
  <c r="C19" i="43"/>
  <c r="D11" i="43" s="1"/>
  <c r="H20" i="43"/>
  <c r="F26" i="43"/>
  <c r="G26" i="43"/>
  <c r="F20" i="43"/>
  <c r="C4" i="41"/>
  <c r="D19" i="43"/>
  <c r="E11" i="43" s="1"/>
  <c r="E15" i="43"/>
  <c r="F11" i="43"/>
  <c r="AF4" i="41"/>
  <c r="I31" i="43" l="1"/>
  <c r="G43" i="38" s="1"/>
  <c r="AL90" i="41"/>
  <c r="P65" i="45"/>
  <c r="Q65" i="45" s="1"/>
  <c r="F117" i="41"/>
  <c r="G36" i="6" s="1"/>
  <c r="I89" i="41"/>
  <c r="D62" i="6"/>
  <c r="F87" i="41"/>
  <c r="D91" i="41"/>
  <c r="F86" i="41"/>
  <c r="C91" i="41"/>
  <c r="AL87" i="41"/>
  <c r="AI99" i="41"/>
  <c r="F38" i="31"/>
  <c r="AH92" i="41"/>
  <c r="H38" i="31" s="1"/>
  <c r="H65" i="31"/>
  <c r="F65" i="31"/>
  <c r="AI98" i="41"/>
  <c r="AL89" i="41"/>
  <c r="AF93" i="41"/>
  <c r="AE81" i="41"/>
  <c r="H66" i="31" s="1"/>
  <c r="E117" i="41"/>
  <c r="E36" i="6" s="1"/>
  <c r="AH97" i="41"/>
  <c r="AK97" i="41"/>
  <c r="AK88" i="41"/>
  <c r="AH88" i="41"/>
  <c r="P66" i="45"/>
  <c r="Q66" i="45" s="1"/>
  <c r="L50" i="45"/>
  <c r="P67" i="45"/>
  <c r="Q67" i="45" s="1"/>
  <c r="O67" i="45"/>
  <c r="N67" i="45"/>
  <c r="I24" i="43"/>
  <c r="G36" i="38" s="1"/>
  <c r="AK87" i="41"/>
  <c r="AH87" i="41"/>
  <c r="M49" i="45"/>
  <c r="N66" i="45"/>
  <c r="O66" i="45"/>
  <c r="AK94" i="41"/>
  <c r="AH94" i="41"/>
  <c r="AM54" i="41"/>
  <c r="AK98" i="41"/>
  <c r="AH98" i="41"/>
  <c r="AM71" i="41"/>
  <c r="AM88" i="41" s="1"/>
  <c r="P49" i="45"/>
  <c r="AM69" i="41"/>
  <c r="P47" i="45"/>
  <c r="Q47" i="45" s="1"/>
  <c r="AH95" i="41"/>
  <c r="AK95" i="41"/>
  <c r="M48" i="45"/>
  <c r="O65" i="45"/>
  <c r="N65" i="45"/>
  <c r="AK99" i="41"/>
  <c r="AH99" i="41"/>
  <c r="L51" i="45"/>
  <c r="P68" i="45"/>
  <c r="AM70" i="41"/>
  <c r="AM87" i="41" s="1"/>
  <c r="P48" i="45"/>
  <c r="F40" i="38"/>
  <c r="F39" i="38"/>
  <c r="I26" i="43"/>
  <c r="G38" i="38" s="1"/>
  <c r="I25" i="43"/>
  <c r="G37" i="38" s="1"/>
  <c r="AG88" i="41"/>
  <c r="AJ88" i="41"/>
  <c r="AG87" i="41"/>
  <c r="AJ87" i="41"/>
  <c r="AJ92" i="41"/>
  <c r="AG92" i="41"/>
  <c r="AC81" i="41"/>
  <c r="AC85" i="41"/>
  <c r="AG93" i="41"/>
  <c r="AJ93" i="41"/>
  <c r="AG89" i="41"/>
  <c r="AJ89" i="41"/>
  <c r="AG98" i="41"/>
  <c r="AJ98" i="41"/>
  <c r="AJ95" i="41"/>
  <c r="AG95" i="41"/>
  <c r="AK85" i="41"/>
  <c r="AH85" i="41"/>
  <c r="AN85" i="41"/>
  <c r="AJ94" i="41"/>
  <c r="AG94" i="41"/>
  <c r="AK93" i="41"/>
  <c r="AH93" i="41"/>
  <c r="AG97" i="41"/>
  <c r="AJ97" i="41"/>
  <c r="F32" i="38"/>
  <c r="F31" i="38" s="1"/>
  <c r="AJ99" i="41"/>
  <c r="AG99" i="41"/>
  <c r="AG90" i="41"/>
  <c r="AJ90" i="41"/>
  <c r="G19" i="43"/>
  <c r="G11" i="43" s="1"/>
  <c r="AD85" i="41"/>
  <c r="AD81" i="41"/>
  <c r="D8" i="41"/>
  <c r="E12" i="41"/>
  <c r="H15" i="43"/>
  <c r="H19" i="43"/>
  <c r="H11" i="43" s="1"/>
  <c r="I20" i="43"/>
  <c r="F19" i="43"/>
  <c r="AD5" i="41"/>
  <c r="AG8" i="41"/>
  <c r="AE23" i="41"/>
  <c r="AE24" i="41" s="1"/>
  <c r="AG4" i="41"/>
  <c r="AH4" i="41" s="1"/>
  <c r="G21" i="5"/>
  <c r="J2" i="41"/>
  <c r="J1" i="41"/>
  <c r="Q49" i="45" l="1"/>
  <c r="F88" i="41"/>
  <c r="E91" i="41"/>
  <c r="G65" i="31"/>
  <c r="H39" i="31"/>
  <c r="G38" i="31"/>
  <c r="AM73" i="41"/>
  <c r="AM90" i="41" s="1"/>
  <c r="P51" i="45"/>
  <c r="Q48" i="45"/>
  <c r="AM72" i="41"/>
  <c r="AM89" i="41" s="1"/>
  <c r="P50" i="45"/>
  <c r="Q50" i="45" s="1"/>
  <c r="O50" i="45"/>
  <c r="N50" i="45"/>
  <c r="O48" i="45"/>
  <c r="N48" i="45"/>
  <c r="AN70" i="41"/>
  <c r="AN87" i="41" s="1"/>
  <c r="AN71" i="41"/>
  <c r="AN88" i="41" s="1"/>
  <c r="N49" i="45"/>
  <c r="O49" i="45"/>
  <c r="G32" i="38"/>
  <c r="F39" i="31"/>
  <c r="F66" i="31"/>
  <c r="G66" i="31"/>
  <c r="G39" i="31"/>
  <c r="AL85" i="41"/>
  <c r="AF85" i="41"/>
  <c r="AI85" i="41"/>
  <c r="AJ85" i="41"/>
  <c r="AM85" i="41"/>
  <c r="AG85" i="41"/>
  <c r="AH5" i="41"/>
  <c r="C24" i="31"/>
  <c r="I19" i="43"/>
  <c r="I11" i="43" s="1"/>
  <c r="I15" i="43"/>
  <c r="AE12" i="41"/>
  <c r="AE16" i="41" s="1"/>
  <c r="AG16" i="41" s="1"/>
  <c r="AH16" i="41" s="1"/>
  <c r="AF8" i="41"/>
  <c r="F31" i="41"/>
  <c r="G31" i="41" s="1"/>
  <c r="C49" i="6" s="1"/>
  <c r="C32" i="41"/>
  <c r="E31" i="41"/>
  <c r="F89" i="41" l="1"/>
  <c r="D100" i="6"/>
  <c r="D35" i="13"/>
  <c r="F91" i="41"/>
  <c r="G32" i="41"/>
  <c r="AE17" i="41"/>
  <c r="B33" i="38" l="1"/>
  <c r="B34" i="38"/>
  <c r="B35" i="38"/>
  <c r="B36" i="38"/>
  <c r="B37" i="38"/>
  <c r="B38" i="38"/>
  <c r="B39" i="38"/>
  <c r="B40" i="38"/>
  <c r="B41" i="38"/>
  <c r="B42" i="38"/>
  <c r="B43" i="38"/>
  <c r="B26" i="19" l="1"/>
  <c r="Q26" i="19" l="1"/>
  <c r="L26" i="19"/>
  <c r="G26" i="19"/>
  <c r="I26" i="19"/>
  <c r="H19" i="19"/>
  <c r="D26" i="19"/>
  <c r="C26" i="19"/>
  <c r="I19" i="19"/>
  <c r="M26" i="19"/>
  <c r="G19" i="19"/>
  <c r="S26" i="19"/>
  <c r="R26" i="19"/>
  <c r="H26" i="19"/>
  <c r="V4" i="41" l="1"/>
  <c r="S19" i="19"/>
  <c r="M19" i="19"/>
  <c r="R19" i="19"/>
  <c r="Q19" i="19"/>
  <c r="T32" i="19"/>
  <c r="T19" i="19" s="1"/>
  <c r="Y37" i="19"/>
  <c r="J19" i="19"/>
  <c r="V26" i="19"/>
  <c r="Y38" i="19"/>
  <c r="Z38" i="19"/>
  <c r="Y36" i="19"/>
  <c r="Z36" i="19"/>
  <c r="W26" i="19"/>
  <c r="Y39" i="19"/>
  <c r="Z39" i="19"/>
  <c r="Z37" i="19"/>
  <c r="X32" i="41" l="1"/>
  <c r="H20" i="5"/>
  <c r="V33" i="41" l="1"/>
  <c r="Y32" i="41"/>
  <c r="W51" i="41"/>
  <c r="W52" i="41" s="1"/>
  <c r="H32" i="38"/>
  <c r="Y36" i="41" l="1"/>
  <c r="W40" i="41"/>
  <c r="W44" i="41" s="1"/>
  <c r="W45" i="41" s="1"/>
  <c r="X36" i="41"/>
  <c r="H21" i="5"/>
  <c r="H22" i="5"/>
  <c r="H34" i="38" s="1"/>
  <c r="H23" i="5"/>
  <c r="H35" i="38" s="1"/>
  <c r="H24" i="5"/>
  <c r="H36" i="38" s="1"/>
  <c r="H25" i="5"/>
  <c r="H37" i="38" s="1"/>
  <c r="H26" i="5"/>
  <c r="H38" i="38" s="1"/>
  <c r="H27" i="5"/>
  <c r="H39" i="38" s="1"/>
  <c r="H28" i="5"/>
  <c r="H29" i="5"/>
  <c r="H41" i="38" s="1"/>
  <c r="H30" i="5"/>
  <c r="H42" i="38" s="1"/>
  <c r="H31" i="5"/>
  <c r="H40" i="38" l="1"/>
  <c r="I28" i="5"/>
  <c r="I40" i="38" s="1"/>
  <c r="D35" i="41"/>
  <c r="H19" i="5"/>
  <c r="E39" i="41"/>
  <c r="D50" i="41" s="1"/>
  <c r="D51" i="41" s="1"/>
  <c r="H43" i="38"/>
  <c r="H33" i="38"/>
  <c r="H11" i="5" l="1"/>
  <c r="H31" i="38"/>
  <c r="F35" i="41"/>
  <c r="E35" i="41"/>
  <c r="D39" i="41"/>
  <c r="D43" i="41" s="1"/>
  <c r="F43" i="41" s="1"/>
  <c r="G43" i="41" s="1"/>
  <c r="H21" i="9"/>
  <c r="D33" i="38" s="1"/>
  <c r="H22" i="9"/>
  <c r="D34" i="38" s="1"/>
  <c r="H23" i="9"/>
  <c r="H24" i="9"/>
  <c r="D36" i="38" s="1"/>
  <c r="H25" i="9"/>
  <c r="D37" i="38" s="1"/>
  <c r="H26" i="9"/>
  <c r="D38" i="38" s="1"/>
  <c r="H27" i="9"/>
  <c r="D39" i="38" s="1"/>
  <c r="H28" i="9"/>
  <c r="D40" i="38" s="1"/>
  <c r="H29" i="9"/>
  <c r="D41" i="38" s="1"/>
  <c r="J41" i="38" s="1"/>
  <c r="H30" i="9"/>
  <c r="D42" i="38" s="1"/>
  <c r="J42" i="38" s="1"/>
  <c r="H31" i="9"/>
  <c r="H15" i="9" s="1"/>
  <c r="H20" i="9"/>
  <c r="J37" i="38"/>
  <c r="C21" i="11"/>
  <c r="D21" i="11"/>
  <c r="E21" i="11"/>
  <c r="C22" i="11"/>
  <c r="D22" i="11"/>
  <c r="E22" i="11"/>
  <c r="C23" i="11"/>
  <c r="D23" i="11"/>
  <c r="E23" i="11"/>
  <c r="C24" i="11"/>
  <c r="D15" i="11" s="1"/>
  <c r="D24" i="11"/>
  <c r="E24" i="11"/>
  <c r="F15" i="11" s="1"/>
  <c r="C25" i="11"/>
  <c r="D25" i="11"/>
  <c r="E25" i="11"/>
  <c r="C26" i="11"/>
  <c r="D26" i="11"/>
  <c r="E26" i="11"/>
  <c r="C27" i="11"/>
  <c r="D27" i="11"/>
  <c r="E27" i="11"/>
  <c r="C28" i="11"/>
  <c r="D28" i="11"/>
  <c r="E28" i="11"/>
  <c r="C29" i="11"/>
  <c r="D29" i="11"/>
  <c r="E29" i="11"/>
  <c r="C30" i="11"/>
  <c r="D30" i="11"/>
  <c r="E30" i="11"/>
  <c r="C31" i="11"/>
  <c r="D31" i="11"/>
  <c r="E31" i="11"/>
  <c r="I31" i="8"/>
  <c r="G31" i="8"/>
  <c r="F31" i="8"/>
  <c r="I30" i="8"/>
  <c r="C42" i="38" s="1"/>
  <c r="G30" i="8"/>
  <c r="F30" i="8"/>
  <c r="I29" i="8"/>
  <c r="C41" i="38" s="1"/>
  <c r="G29" i="8"/>
  <c r="F29" i="8"/>
  <c r="I28" i="8"/>
  <c r="C40" i="38" s="1"/>
  <c r="G28" i="8"/>
  <c r="F28" i="8"/>
  <c r="I27" i="8"/>
  <c r="C39" i="38" s="1"/>
  <c r="G27" i="8"/>
  <c r="F27" i="8"/>
  <c r="I26" i="8"/>
  <c r="C38" i="38" s="1"/>
  <c r="G26" i="8"/>
  <c r="F26" i="8"/>
  <c r="I25" i="8"/>
  <c r="C37" i="38" s="1"/>
  <c r="G25" i="8"/>
  <c r="F25" i="8"/>
  <c r="I24" i="8"/>
  <c r="C36" i="38" s="1"/>
  <c r="G24" i="8"/>
  <c r="G15" i="8" s="1"/>
  <c r="F24" i="8"/>
  <c r="I23" i="8"/>
  <c r="C35" i="38" s="1"/>
  <c r="G23" i="8"/>
  <c r="F23" i="8"/>
  <c r="I22" i="8"/>
  <c r="C34" i="38" s="1"/>
  <c r="G22" i="8"/>
  <c r="F22" i="8"/>
  <c r="I21" i="8"/>
  <c r="C33" i="38" s="1"/>
  <c r="G21" i="8"/>
  <c r="F21" i="8"/>
  <c r="H15" i="8"/>
  <c r="E11" i="9"/>
  <c r="D11" i="9"/>
  <c r="G31" i="9"/>
  <c r="K26" i="19" s="1"/>
  <c r="F31" i="9"/>
  <c r="J26" i="19" s="1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E15" i="9"/>
  <c r="D15" i="9"/>
  <c r="G15" i="9" l="1"/>
  <c r="N58" i="41"/>
  <c r="B95" i="41"/>
  <c r="C95" i="41"/>
  <c r="P65" i="41"/>
  <c r="D44" i="41"/>
  <c r="O65" i="41"/>
  <c r="O58" i="41"/>
  <c r="N62" i="41"/>
  <c r="I25" i="9"/>
  <c r="E37" i="38" s="1"/>
  <c r="I29" i="9"/>
  <c r="E41" i="38" s="1"/>
  <c r="J39" i="38"/>
  <c r="G19" i="8"/>
  <c r="G11" i="8" s="1"/>
  <c r="I21" i="9"/>
  <c r="E33" i="38" s="1"/>
  <c r="I20" i="9"/>
  <c r="H19" i="9"/>
  <c r="G19" i="9"/>
  <c r="G11" i="9" s="1"/>
  <c r="D35" i="38"/>
  <c r="J35" i="38" s="1"/>
  <c r="O35" i="41"/>
  <c r="D19" i="11"/>
  <c r="E19" i="11"/>
  <c r="J38" i="38"/>
  <c r="J33" i="38"/>
  <c r="J40" i="38"/>
  <c r="J34" i="38"/>
  <c r="I31" i="9"/>
  <c r="J36" i="38"/>
  <c r="I23" i="9"/>
  <c r="E35" i="38" s="1"/>
  <c r="I27" i="9"/>
  <c r="E39" i="38" s="1"/>
  <c r="E26" i="19"/>
  <c r="C43" i="38"/>
  <c r="P39" i="41"/>
  <c r="F26" i="19"/>
  <c r="D32" i="38"/>
  <c r="K19" i="19"/>
  <c r="G26" i="11"/>
  <c r="D43" i="38"/>
  <c r="B25" i="38"/>
  <c r="G28" i="11"/>
  <c r="G24" i="11"/>
  <c r="G29" i="11"/>
  <c r="H28" i="11"/>
  <c r="I28" i="11" s="1"/>
  <c r="G25" i="11"/>
  <c r="H24" i="11"/>
  <c r="I24" i="11" s="1"/>
  <c r="H30" i="11"/>
  <c r="I30" i="11" s="1"/>
  <c r="H26" i="11"/>
  <c r="I26" i="11" s="1"/>
  <c r="H22" i="11"/>
  <c r="I22" i="11" s="1"/>
  <c r="F30" i="11"/>
  <c r="F26" i="11"/>
  <c r="F22" i="11"/>
  <c r="G21" i="11"/>
  <c r="F29" i="11"/>
  <c r="F21" i="11"/>
  <c r="F24" i="11"/>
  <c r="H29" i="11"/>
  <c r="I29" i="11" s="1"/>
  <c r="H25" i="11"/>
  <c r="I25" i="11" s="1"/>
  <c r="H21" i="11"/>
  <c r="I21" i="11" s="1"/>
  <c r="F28" i="11"/>
  <c r="H31" i="11"/>
  <c r="H27" i="11"/>
  <c r="I27" i="11" s="1"/>
  <c r="H23" i="11"/>
  <c r="I23" i="11" s="1"/>
  <c r="G22" i="11"/>
  <c r="F25" i="11"/>
  <c r="G30" i="11"/>
  <c r="I30" i="9"/>
  <c r="E42" i="38" s="1"/>
  <c r="I26" i="9"/>
  <c r="E38" i="38" s="1"/>
  <c r="I22" i="9"/>
  <c r="E34" i="38" s="1"/>
  <c r="I28" i="9"/>
  <c r="E40" i="38" s="1"/>
  <c r="I24" i="9"/>
  <c r="E36" i="38" s="1"/>
  <c r="G31" i="11"/>
  <c r="G27" i="11"/>
  <c r="G23" i="11"/>
  <c r="E15" i="11"/>
  <c r="F23" i="11"/>
  <c r="F27" i="11"/>
  <c r="F31" i="11"/>
  <c r="F19" i="9"/>
  <c r="F11" i="9"/>
  <c r="G15" i="11" l="1"/>
  <c r="D96" i="41"/>
  <c r="C96" i="41"/>
  <c r="D97" i="41" s="1"/>
  <c r="I15" i="9"/>
  <c r="E32" i="38"/>
  <c r="I19" i="9"/>
  <c r="D31" i="38"/>
  <c r="H11" i="9"/>
  <c r="E43" i="38"/>
  <c r="E31" i="38" s="1"/>
  <c r="J43" i="38"/>
  <c r="E8" i="41"/>
  <c r="D12" i="41"/>
  <c r="I31" i="11"/>
  <c r="I15" i="11" s="1"/>
  <c r="H15" i="11"/>
  <c r="C25" i="38"/>
  <c r="D25" i="38"/>
  <c r="D98" i="41" l="1"/>
  <c r="D34" i="10"/>
  <c r="I11" i="9"/>
  <c r="F25" i="38"/>
  <c r="E25" i="38"/>
  <c r="D18" i="38"/>
  <c r="E18" i="38"/>
  <c r="F11" i="5"/>
  <c r="E11" i="5"/>
  <c r="D11" i="5"/>
  <c r="I31" i="5"/>
  <c r="I43" i="38" s="1"/>
  <c r="G31" i="5"/>
  <c r="F31" i="5"/>
  <c r="I30" i="5"/>
  <c r="I42" i="38" s="1"/>
  <c r="G30" i="5"/>
  <c r="F30" i="5"/>
  <c r="I29" i="5"/>
  <c r="I41" i="38" s="1"/>
  <c r="G29" i="5"/>
  <c r="F29" i="5"/>
  <c r="G28" i="5"/>
  <c r="F28" i="5"/>
  <c r="I27" i="5"/>
  <c r="I39" i="38" s="1"/>
  <c r="G27" i="5"/>
  <c r="F27" i="5"/>
  <c r="I26" i="5"/>
  <c r="I38" i="38" s="1"/>
  <c r="G26" i="5"/>
  <c r="F26" i="5"/>
  <c r="I25" i="5"/>
  <c r="G25" i="5"/>
  <c r="F25" i="5"/>
  <c r="I24" i="5"/>
  <c r="I36" i="38" s="1"/>
  <c r="G24" i="5"/>
  <c r="G15" i="5" s="1"/>
  <c r="F24" i="5"/>
  <c r="I23" i="5"/>
  <c r="I35" i="38" s="1"/>
  <c r="G23" i="5"/>
  <c r="F23" i="5"/>
  <c r="I22" i="5"/>
  <c r="I34" i="38" s="1"/>
  <c r="G22" i="5"/>
  <c r="F22" i="5"/>
  <c r="I21" i="5"/>
  <c r="F21" i="5"/>
  <c r="I20" i="5"/>
  <c r="G20" i="5"/>
  <c r="F20" i="5"/>
  <c r="H15" i="5"/>
  <c r="E15" i="5"/>
  <c r="D15" i="5"/>
  <c r="I37" i="38" l="1"/>
  <c r="I19" i="5"/>
  <c r="I11" i="5" s="1"/>
  <c r="G19" i="5"/>
  <c r="G11" i="5" s="1"/>
  <c r="K35" i="38"/>
  <c r="K37" i="38"/>
  <c r="K36" i="38"/>
  <c r="U26" i="19"/>
  <c r="T26" i="19"/>
  <c r="K38" i="38"/>
  <c r="U19" i="19"/>
  <c r="I33" i="38"/>
  <c r="I32" i="38"/>
  <c r="I15" i="5"/>
  <c r="H25" i="38"/>
  <c r="H21" i="3"/>
  <c r="I25" i="3"/>
  <c r="H29" i="3"/>
  <c r="I29" i="3" s="1"/>
  <c r="H23" i="3"/>
  <c r="I23" i="3" s="1"/>
  <c r="H27" i="3"/>
  <c r="I27" i="3" s="1"/>
  <c r="H31" i="3"/>
  <c r="I31" i="3" s="1"/>
  <c r="H26" i="3"/>
  <c r="I26" i="3" s="1"/>
  <c r="H30" i="3"/>
  <c r="I30" i="3" s="1"/>
  <c r="H24" i="3"/>
  <c r="I24" i="3" s="1"/>
  <c r="H28" i="3"/>
  <c r="I28" i="3" s="1"/>
  <c r="H22" i="3"/>
  <c r="I22" i="3" s="1"/>
  <c r="E15" i="3"/>
  <c r="D15" i="3"/>
  <c r="F19" i="5"/>
  <c r="D62" i="41" l="1"/>
  <c r="I21" i="3"/>
  <c r="I31" i="38"/>
  <c r="C59" i="41"/>
  <c r="H15" i="3"/>
  <c r="E58" i="41"/>
  <c r="F58" i="41"/>
  <c r="G58" i="41" s="1"/>
  <c r="J25" i="38"/>
  <c r="H18" i="38"/>
  <c r="G59" i="41" l="1"/>
  <c r="C22" i="6"/>
  <c r="E62" i="41"/>
  <c r="D66" i="41"/>
  <c r="D70" i="41" s="1"/>
  <c r="F62" i="41"/>
  <c r="I25" i="38"/>
  <c r="I18" i="38"/>
  <c r="F70" i="41" l="1"/>
  <c r="G70" i="41" s="1"/>
  <c r="D71" i="41"/>
  <c r="B19" i="19"/>
  <c r="C19" i="19"/>
  <c r="C19" i="8" l="1"/>
  <c r="H20" i="8"/>
  <c r="W19" i="19"/>
  <c r="C20" i="11"/>
  <c r="D15" i="8"/>
  <c r="C19" i="11" l="1"/>
  <c r="D11" i="11" s="1"/>
  <c r="A95" i="41"/>
  <c r="H19" i="8"/>
  <c r="O8" i="41"/>
  <c r="P12" i="41"/>
  <c r="I20" i="8"/>
  <c r="B32" i="38"/>
  <c r="B31" i="38" s="1"/>
  <c r="B18" i="38" s="1"/>
  <c r="D11" i="8"/>
  <c r="E11" i="8"/>
  <c r="H20" i="11"/>
  <c r="E11" i="11"/>
  <c r="H11" i="8" l="1"/>
  <c r="H19" i="11"/>
  <c r="H11" i="11" s="1"/>
  <c r="O62" i="41"/>
  <c r="P66" i="41"/>
  <c r="D19" i="19" l="1"/>
  <c r="I19" i="8"/>
  <c r="I11" i="8" s="1"/>
  <c r="I20" i="11"/>
  <c r="I19" i="11" l="1"/>
  <c r="I11" i="11" s="1"/>
  <c r="F11" i="8"/>
  <c r="I15" i="8"/>
  <c r="E19" i="19"/>
  <c r="F20" i="11"/>
  <c r="F19" i="19"/>
  <c r="G20" i="11"/>
  <c r="G19" i="11" s="1"/>
  <c r="G11" i="11" s="1"/>
  <c r="F19" i="8"/>
  <c r="C32" i="38"/>
  <c r="C31" i="38" s="1"/>
  <c r="C18" i="38" l="1"/>
  <c r="F11" i="11"/>
  <c r="F19" i="11"/>
  <c r="Y40" i="19"/>
  <c r="K39" i="38" l="1"/>
  <c r="Z40" i="19"/>
  <c r="H20" i="3" l="1"/>
  <c r="I20" i="3" s="1"/>
  <c r="L32" i="19" l="1"/>
  <c r="H19" i="3"/>
  <c r="H11" i="3" s="1"/>
  <c r="E66" i="41"/>
  <c r="L19" i="19" l="1"/>
  <c r="V19" i="19" l="1"/>
  <c r="F18" i="38"/>
  <c r="J32" i="38"/>
  <c r="W8" i="41" s="1"/>
  <c r="W12" i="41" l="1"/>
  <c r="J31" i="38"/>
  <c r="J18" i="38" s="1"/>
  <c r="X12" i="41"/>
  <c r="X8" i="41" l="1"/>
  <c r="P33" i="19"/>
  <c r="O33" i="19"/>
  <c r="V8" i="41" l="1"/>
  <c r="Y8" i="41" s="1"/>
  <c r="W11" i="41"/>
  <c r="W16" i="41" s="1"/>
  <c r="Y16" i="41" s="1"/>
  <c r="W4" i="41"/>
  <c r="V5" i="41" s="1"/>
  <c r="Y33" i="19"/>
  <c r="Z33" i="19"/>
  <c r="Z16" i="41" l="1"/>
  <c r="W17" i="41"/>
  <c r="X4" i="41"/>
  <c r="Y4" i="41"/>
  <c r="Z4" i="41" s="1"/>
  <c r="C23" i="13" s="1"/>
  <c r="Z5" i="41" l="1"/>
  <c r="K32" i="38"/>
  <c r="O34" i="19" l="1"/>
  <c r="P34" i="19"/>
  <c r="D16" i="41"/>
  <c r="F8" i="41"/>
  <c r="D17" i="41" l="1"/>
  <c r="E4" i="41"/>
  <c r="F4" i="41"/>
  <c r="G4" i="41" s="1"/>
  <c r="G5" i="41" s="1"/>
  <c r="C5" i="41"/>
  <c r="Y34" i="19"/>
  <c r="Z34" i="19"/>
  <c r="C87" i="6" l="1"/>
  <c r="K33" i="38"/>
  <c r="D77" i="41"/>
  <c r="D78" i="41" s="1"/>
  <c r="P35" i="19" l="1"/>
  <c r="P32" i="19" s="1"/>
  <c r="O35" i="19"/>
  <c r="N32" i="19"/>
  <c r="D23" i="41"/>
  <c r="D24" i="41" s="1"/>
  <c r="Y35" i="19" l="1"/>
  <c r="W23" i="41"/>
  <c r="W24" i="41" s="1"/>
  <c r="Z35" i="19"/>
  <c r="K34" i="38" l="1"/>
  <c r="Z41" i="19" l="1"/>
  <c r="Y41" i="19"/>
  <c r="K40" i="38" l="1"/>
  <c r="Y42" i="19" l="1"/>
  <c r="Z42" i="19"/>
  <c r="K41" i="38" l="1"/>
  <c r="I19" i="3"/>
  <c r="I11" i="3" s="1"/>
  <c r="G19" i="3"/>
  <c r="G11" i="3" s="1"/>
  <c r="Y43" i="19" l="1"/>
  <c r="Z43" i="19"/>
  <c r="K42" i="38" l="1"/>
  <c r="N26" i="19"/>
  <c r="O26" i="19" l="1"/>
  <c r="I15" i="3"/>
  <c r="X32" i="19" l="1"/>
  <c r="Y32" i="19" s="1"/>
  <c r="Y19" i="19" s="1"/>
  <c r="Y44" i="19"/>
  <c r="Y26" i="19" s="1"/>
  <c r="N19" i="19"/>
  <c r="O32" i="19"/>
  <c r="O19" i="19" s="1"/>
  <c r="X26" i="19"/>
  <c r="Z44" i="19"/>
  <c r="Z32" i="19" s="1"/>
  <c r="B40" i="10"/>
  <c r="B13" i="10"/>
  <c r="B78" i="10"/>
  <c r="P8" i="41"/>
  <c r="P35" i="41"/>
  <c r="P62" i="41"/>
  <c r="O23" i="41"/>
  <c r="O24" i="41" s="1"/>
  <c r="P4" i="41"/>
  <c r="Q35" i="41"/>
  <c r="O77" i="41"/>
  <c r="O78" i="41" s="1"/>
  <c r="Q58" i="41"/>
  <c r="R58" i="41" s="1"/>
  <c r="O50" i="41"/>
  <c r="O51" i="41" s="1"/>
  <c r="R59" i="41" l="1"/>
  <c r="C22" i="10"/>
  <c r="X19" i="19"/>
  <c r="G31" i="38"/>
  <c r="G18" i="38" s="1"/>
  <c r="Q62" i="41"/>
  <c r="O66" i="41"/>
  <c r="O70" i="41" s="1"/>
  <c r="O39" i="41"/>
  <c r="O43" i="41" s="1"/>
  <c r="Q31" i="41"/>
  <c r="R31" i="41" s="1"/>
  <c r="N5" i="41"/>
  <c r="Q4" i="41"/>
  <c r="R4" i="41" s="1"/>
  <c r="Z19" i="19"/>
  <c r="Z26" i="19"/>
  <c r="P19" i="19"/>
  <c r="P26" i="19"/>
  <c r="G25" i="38"/>
  <c r="K43" i="38"/>
  <c r="K31" i="38" s="1"/>
  <c r="Q8" i="41"/>
  <c r="N32" i="41"/>
  <c r="O12" i="41"/>
  <c r="O16" i="41" s="1"/>
  <c r="Q16" i="41" s="1"/>
  <c r="R16" i="41" s="1"/>
  <c r="P58" i="41"/>
  <c r="P31" i="41"/>
  <c r="N59" i="41"/>
  <c r="R32" i="41" l="1"/>
  <c r="C87" i="10"/>
  <c r="R5" i="41"/>
  <c r="C49" i="10"/>
  <c r="O71" i="41"/>
  <c r="Q70" i="41"/>
  <c r="R70" i="41" s="1"/>
  <c r="O17" i="41"/>
  <c r="O44" i="41"/>
  <c r="Q43" i="41"/>
  <c r="R43" i="41" s="1"/>
  <c r="K18" i="38"/>
  <c r="K25" i="38"/>
  <c r="F68" i="45"/>
  <c r="F51" i="45"/>
  <c r="E68" i="45"/>
  <c r="E51" i="45"/>
  <c r="H68" i="45"/>
  <c r="AN42" i="41" l="1"/>
  <c r="H51" i="45"/>
  <c r="AN58" i="41" l="1"/>
  <c r="N51" i="45"/>
  <c r="Q51" i="45"/>
  <c r="O51" i="45"/>
  <c r="AN73" i="41"/>
  <c r="AN90" i="41" s="1"/>
  <c r="N68" i="45" l="1"/>
  <c r="Q68" i="45"/>
  <c r="O68" i="45"/>
  <c r="AL48" i="41" l="1"/>
  <c r="AL64" i="41" s="1"/>
  <c r="AL47" i="41"/>
  <c r="AL63" i="41" s="1"/>
  <c r="B45" i="45"/>
  <c r="AL43" i="41"/>
  <c r="B62" i="45"/>
  <c r="B76" i="45" s="1"/>
  <c r="AL44" i="41"/>
  <c r="AL60" i="41" s="1"/>
  <c r="AL76" i="41"/>
  <c r="AL94" i="41" s="1"/>
  <c r="AL45" i="41"/>
  <c r="AL61" i="41" s="1"/>
  <c r="AL46" i="41"/>
  <c r="AL62" i="41" s="1"/>
  <c r="AL49" i="41"/>
  <c r="AL65" i="41" s="1"/>
  <c r="AL80" i="41"/>
  <c r="AL99" i="41" s="1"/>
  <c r="AL75" i="41"/>
  <c r="AL93" i="41" s="1"/>
  <c r="AL59" i="41" l="1"/>
  <c r="C106" i="31" s="1"/>
  <c r="AL50" i="41"/>
  <c r="C107" i="31" s="1"/>
  <c r="AL79" i="41"/>
  <c r="AL98" i="41" s="1"/>
  <c r="K62" i="45"/>
  <c r="K76" i="45" s="1"/>
  <c r="AL74" i="41"/>
  <c r="K45" i="45"/>
  <c r="AL78" i="41"/>
  <c r="AL97" i="41" s="1"/>
  <c r="AL77" i="41"/>
  <c r="AL95" i="41" s="1"/>
  <c r="AL92" i="41" l="1"/>
  <c r="F106" i="31" s="1"/>
  <c r="AL81" i="41"/>
  <c r="F107" i="31" s="1"/>
  <c r="AN77" i="41"/>
  <c r="AN95" i="41" s="1"/>
  <c r="AN44" i="41"/>
  <c r="AN60" i="41" s="1"/>
  <c r="AN75" i="41"/>
  <c r="AN93" i="41"/>
  <c r="D62" i="45"/>
  <c r="D76" i="45" s="1"/>
  <c r="AN45" i="41"/>
  <c r="AN61" i="41" s="1"/>
  <c r="AN76" i="41"/>
  <c r="AN94" i="41" s="1"/>
  <c r="AN46" i="41"/>
  <c r="AN62" i="41" s="1"/>
  <c r="AN80" i="41" l="1"/>
  <c r="AN99" i="41" s="1"/>
  <c r="AN48" i="41"/>
  <c r="AN64" i="41" s="1"/>
  <c r="AN47" i="41"/>
  <c r="AN63" i="41" s="1"/>
  <c r="AN43" i="41"/>
  <c r="D45" i="45"/>
  <c r="AN49" i="41"/>
  <c r="AN65" i="41" s="1"/>
  <c r="AN59" i="41" l="1"/>
  <c r="E106" i="31" s="1"/>
  <c r="AN50" i="41"/>
  <c r="E107" i="31" s="1"/>
  <c r="AN79" i="41"/>
  <c r="AN98" i="41" s="1"/>
  <c r="AN78" i="41"/>
  <c r="AN97" i="41" s="1"/>
  <c r="AN74" i="41"/>
  <c r="M45" i="45"/>
  <c r="AN92" i="41" l="1"/>
  <c r="H106" i="31" s="1"/>
  <c r="AN81" i="41"/>
  <c r="H107" i="31" s="1"/>
  <c r="M62" i="45"/>
  <c r="M76" i="45" l="1"/>
  <c r="F69" i="45"/>
  <c r="F54" i="45"/>
  <c r="F70" i="45"/>
  <c r="E70" i="45"/>
  <c r="E75" i="45"/>
  <c r="F75" i="45"/>
  <c r="F72" i="45"/>
  <c r="E72" i="45"/>
  <c r="O53" i="45"/>
  <c r="N53" i="45"/>
  <c r="G54" i="45"/>
  <c r="H54" i="45" s="1"/>
  <c r="E71" i="45"/>
  <c r="F71" i="45"/>
  <c r="E74" i="45"/>
  <c r="F74" i="45"/>
  <c r="F52" i="45"/>
  <c r="E73" i="45"/>
  <c r="F73" i="45"/>
  <c r="AM49" i="41"/>
  <c r="AM65" i="41" s="1"/>
  <c r="F53" i="45"/>
  <c r="C62" i="45"/>
  <c r="C76" i="45" s="1"/>
  <c r="P52" i="45"/>
  <c r="Q52" i="45" s="1"/>
  <c r="G75" i="45"/>
  <c r="H75" i="45" s="1"/>
  <c r="G71" i="45"/>
  <c r="H71" i="45" s="1"/>
  <c r="G74" i="45"/>
  <c r="H74" i="45" s="1"/>
  <c r="G73" i="45"/>
  <c r="H73" i="45" s="1"/>
  <c r="G56" i="45"/>
  <c r="H56" i="45" s="1"/>
  <c r="E56" i="45"/>
  <c r="E54" i="45"/>
  <c r="AM76" i="41"/>
  <c r="AM94" i="41" s="1"/>
  <c r="G53" i="45"/>
  <c r="H53" i="45" s="1"/>
  <c r="G57" i="45"/>
  <c r="H57" i="45" s="1"/>
  <c r="AM44" i="41"/>
  <c r="AM60" i="41" s="1"/>
  <c r="AM43" i="41"/>
  <c r="G72" i="45"/>
  <c r="H72" i="45" s="1"/>
  <c r="G70" i="45"/>
  <c r="H70" i="45" s="1"/>
  <c r="G69" i="45"/>
  <c r="H69" i="45" s="1"/>
  <c r="E53" i="45"/>
  <c r="AM75" i="41"/>
  <c r="AM93" i="41" s="1"/>
  <c r="O70" i="45"/>
  <c r="P70" i="45"/>
  <c r="Q70" i="45" s="1"/>
  <c r="G52" i="45"/>
  <c r="H52" i="45" s="1"/>
  <c r="E69" i="45"/>
  <c r="E52" i="45"/>
  <c r="O52" i="45"/>
  <c r="N69" i="45"/>
  <c r="AM59" i="41" l="1"/>
  <c r="D106" i="31" s="1"/>
  <c r="AM50" i="41"/>
  <c r="D107" i="31" s="1"/>
  <c r="H62" i="45"/>
  <c r="H76" i="45" s="1"/>
  <c r="E55" i="45"/>
  <c r="C45" i="45"/>
  <c r="F45" i="45" s="1"/>
  <c r="F55" i="45"/>
  <c r="G55" i="45"/>
  <c r="H55" i="45" s="1"/>
  <c r="E62" i="45"/>
  <c r="E76" i="45" s="1"/>
  <c r="P69" i="45"/>
  <c r="O69" i="45"/>
  <c r="O54" i="45"/>
  <c r="N54" i="45"/>
  <c r="P54" i="45"/>
  <c r="Q54" i="45" s="1"/>
  <c r="F62" i="45"/>
  <c r="E57" i="45"/>
  <c r="AM48" i="41"/>
  <c r="AM64" i="41" s="1"/>
  <c r="F58" i="45"/>
  <c r="G58" i="45"/>
  <c r="H58" i="45" s="1"/>
  <c r="E58" i="45"/>
  <c r="G62" i="45"/>
  <c r="G76" i="45" s="1"/>
  <c r="F56" i="45"/>
  <c r="AM47" i="41"/>
  <c r="AM63" i="41" s="1"/>
  <c r="N70" i="45"/>
  <c r="AM46" i="41"/>
  <c r="AM62" i="41" s="1"/>
  <c r="F57" i="45"/>
  <c r="P53" i="45"/>
  <c r="Q53" i="45" s="1"/>
  <c r="AM45" i="41"/>
  <c r="AM61" i="41" s="1"/>
  <c r="N52" i="45"/>
  <c r="AM74" i="41"/>
  <c r="AM92" i="41" l="1"/>
  <c r="G106" i="31" s="1"/>
  <c r="AM81" i="41"/>
  <c r="G107" i="31" s="1"/>
  <c r="H45" i="45"/>
  <c r="E45" i="45"/>
  <c r="G45" i="45"/>
  <c r="N57" i="45"/>
  <c r="AM79" i="41"/>
  <c r="AM98" i="41" s="1"/>
  <c r="O57" i="45"/>
  <c r="P57" i="45"/>
  <c r="Q57" i="45" s="1"/>
  <c r="Q69" i="45"/>
  <c r="L45" i="45"/>
  <c r="O45" i="45" s="1"/>
  <c r="N71" i="45"/>
  <c r="P71" i="45"/>
  <c r="Q71" i="45" s="1"/>
  <c r="O71" i="45"/>
  <c r="O58" i="45"/>
  <c r="AM80" i="41"/>
  <c r="AM99" i="41" s="1"/>
  <c r="N58" i="45"/>
  <c r="P58" i="45"/>
  <c r="Q58" i="45" s="1"/>
  <c r="O55" i="45"/>
  <c r="P55" i="45"/>
  <c r="Q55" i="45" s="1"/>
  <c r="N55" i="45"/>
  <c r="AM77" i="41"/>
  <c r="AM95" i="41" s="1"/>
  <c r="N56" i="45"/>
  <c r="O56" i="45"/>
  <c r="AM78" i="41"/>
  <c r="AM97" i="41" s="1"/>
  <c r="P56" i="45"/>
  <c r="Q56" i="45" s="1"/>
  <c r="N45" i="45" l="1"/>
  <c r="Q45" i="45"/>
  <c r="O75" i="45"/>
  <c r="P75" i="45"/>
  <c r="Q75" i="45" s="1"/>
  <c r="N75" i="45"/>
  <c r="O74" i="45"/>
  <c r="P74" i="45"/>
  <c r="Q74" i="45" s="1"/>
  <c r="N74" i="45"/>
  <c r="O73" i="45"/>
  <c r="N73" i="45"/>
  <c r="P73" i="45"/>
  <c r="Q73" i="45" s="1"/>
  <c r="P45" i="45"/>
  <c r="L62" i="45"/>
  <c r="O72" i="45"/>
  <c r="N72" i="45"/>
  <c r="P72" i="45"/>
  <c r="Q72" i="45" s="1"/>
  <c r="P62" i="45" l="1"/>
  <c r="P76" i="45" s="1"/>
  <c r="Q62" i="45"/>
  <c r="Q76" i="45" s="1"/>
  <c r="N62" i="45"/>
  <c r="N76" i="45" s="1"/>
  <c r="O62" i="45"/>
  <c r="L76" i="45"/>
  <c r="C100" i="41"/>
  <c r="AV11" i="41"/>
  <c r="V62" i="45"/>
  <c r="V76" i="45" s="1"/>
  <c r="V45" i="45" l="1"/>
  <c r="AH33" i="41" l="1"/>
  <c r="AE32" i="41" l="1"/>
  <c r="AE31" i="41"/>
  <c r="AE33" i="41"/>
  <c r="E60" i="31" l="1"/>
  <c r="E101" i="31"/>
  <c r="E33" i="31"/>
  <c r="E31" i="31"/>
  <c r="E99" i="31"/>
  <c r="E58" i="31"/>
  <c r="E100" i="31"/>
  <c r="E59" i="31"/>
  <c r="E32" i="31"/>
  <c r="W71" i="45"/>
  <c r="X71" i="45"/>
  <c r="W69" i="45"/>
  <c r="X69" i="45"/>
  <c r="X75" i="45"/>
  <c r="W75" i="45"/>
  <c r="X70" i="45"/>
  <c r="W70" i="45"/>
  <c r="X64" i="45"/>
  <c r="B100" i="41"/>
  <c r="W55" i="45"/>
  <c r="X55" i="45"/>
  <c r="Y71" i="45"/>
  <c r="Z71" i="45" s="1"/>
  <c r="X53" i="45"/>
  <c r="W58" i="45"/>
  <c r="X58" i="45"/>
  <c r="U62" i="45"/>
  <c r="U76" i="45" s="1"/>
  <c r="X48" i="45"/>
  <c r="Y69" i="45"/>
  <c r="Z69" i="45" s="1"/>
  <c r="A100" i="41"/>
  <c r="Y58" i="45"/>
  <c r="Z58" i="45" s="1"/>
  <c r="W50" i="45"/>
  <c r="X73" i="45"/>
  <c r="W73" i="45"/>
  <c r="X72" i="45"/>
  <c r="W72" i="45"/>
  <c r="W68" i="45"/>
  <c r="X68" i="45"/>
  <c r="Y68" i="45"/>
  <c r="Z68" i="45" s="1"/>
  <c r="W65" i="45"/>
  <c r="X65" i="45"/>
  <c r="Y65" i="45"/>
  <c r="Z65" i="45" s="1"/>
  <c r="T62" i="45"/>
  <c r="T76" i="45" s="1"/>
  <c r="W64" i="45"/>
  <c r="W66" i="45"/>
  <c r="X66" i="45"/>
  <c r="Y66" i="45"/>
  <c r="Z66" i="45" s="1"/>
  <c r="W74" i="45"/>
  <c r="X74" i="45"/>
  <c r="W53" i="45"/>
  <c r="Y70" i="45"/>
  <c r="Z70" i="45"/>
  <c r="W67" i="45"/>
  <c r="X67" i="45"/>
  <c r="W49" i="45"/>
  <c r="X49" i="45"/>
  <c r="Y73" i="45"/>
  <c r="Z73" i="45"/>
  <c r="Y74" i="45"/>
  <c r="Z74" i="45" s="1"/>
  <c r="Y75" i="45"/>
  <c r="Z75" i="45" s="1"/>
  <c r="Y72" i="45"/>
  <c r="Z72" i="45" s="1"/>
  <c r="W47" i="45"/>
  <c r="Y67" i="45"/>
  <c r="Z67" i="45"/>
  <c r="W52" i="45"/>
  <c r="Y52" i="45"/>
  <c r="Z52" i="45" s="1"/>
  <c r="W48" i="45"/>
  <c r="Y49" i="45"/>
  <c r="Z49" i="45" s="1"/>
  <c r="X57" i="45"/>
  <c r="Y57" i="45"/>
  <c r="Z57" i="45" s="1"/>
  <c r="Y64" i="45"/>
  <c r="Y48" i="45"/>
  <c r="Z48" i="45" s="1"/>
  <c r="X47" i="45"/>
  <c r="X56" i="45"/>
  <c r="Y56" i="45"/>
  <c r="Z56" i="45" s="1"/>
  <c r="X50" i="45"/>
  <c r="Y50" i="45"/>
  <c r="Z50" i="45"/>
  <c r="Y55" i="45"/>
  <c r="Z55" i="45" s="1"/>
  <c r="W62" i="45" l="1"/>
  <c r="W76" i="45" s="1"/>
  <c r="X62" i="45"/>
  <c r="Y51" i="45"/>
  <c r="AT4" i="41"/>
  <c r="W51" i="45"/>
  <c r="X51" i="45"/>
  <c r="T45" i="45"/>
  <c r="AF33" i="41" s="1"/>
  <c r="Y47" i="45"/>
  <c r="Z64" i="45"/>
  <c r="Z62" i="45" s="1"/>
  <c r="Z76" i="45" s="1"/>
  <c r="Y62" i="45"/>
  <c r="Y76" i="45" s="1"/>
  <c r="Y54" i="45"/>
  <c r="Z54" i="45" s="1"/>
  <c r="W54" i="45"/>
  <c r="X54" i="45"/>
  <c r="Y53" i="45"/>
  <c r="Z53" i="45" s="1"/>
  <c r="W56" i="45"/>
  <c r="X52" i="45"/>
  <c r="U45" i="45"/>
  <c r="W57" i="45"/>
  <c r="W45" i="45" l="1"/>
  <c r="X45" i="45"/>
  <c r="AG33" i="41"/>
  <c r="Z47" i="45"/>
  <c r="Y45" i="45"/>
  <c r="AV12" i="41" s="1"/>
  <c r="AU23" i="41" s="1"/>
  <c r="AU24" i="41" s="1"/>
  <c r="AT5" i="41"/>
  <c r="AW4" i="41"/>
  <c r="AX4" i="41" s="1"/>
  <c r="AC32" i="41"/>
  <c r="AC33" i="41"/>
  <c r="AC31" i="41"/>
  <c r="Z51" i="45"/>
  <c r="AU8" i="41"/>
  <c r="Z45" i="45" l="1"/>
  <c r="C101" i="31"/>
  <c r="C33" i="31"/>
  <c r="C60" i="31"/>
  <c r="AW8" i="41"/>
  <c r="AU12" i="41"/>
  <c r="AU16" i="41" s="1"/>
  <c r="AV8" i="41"/>
  <c r="C59" i="31"/>
  <c r="C32" i="31"/>
  <c r="C100" i="31"/>
  <c r="AX5" i="41"/>
  <c r="C92" i="31"/>
  <c r="AD31" i="41"/>
  <c r="AD32" i="41"/>
  <c r="AD33" i="41"/>
  <c r="C58" i="31"/>
  <c r="C99" i="31"/>
  <c r="C31" i="31"/>
  <c r="D58" i="31" l="1"/>
  <c r="D31" i="31"/>
  <c r="D99" i="31"/>
  <c r="D60" i="31"/>
  <c r="D101" i="31"/>
  <c r="D33" i="31"/>
  <c r="D100" i="31"/>
  <c r="D59" i="31"/>
  <c r="D32" i="31"/>
  <c r="AU17" i="41"/>
  <c r="AW16" i="41"/>
  <c r="AX16" i="41" s="1"/>
</calcChain>
</file>

<file path=xl/sharedStrings.xml><?xml version="1.0" encoding="utf-8"?>
<sst xmlns="http://schemas.openxmlformats.org/spreadsheetml/2006/main" count="1232" uniqueCount="120">
  <si>
    <t>ATELIER</t>
  </si>
  <si>
    <t>MAGASINS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</si>
  <si>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</si>
  <si>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</si>
  <si>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</si>
  <si>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</si>
  <si>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</si>
  <si>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</si>
  <si>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</si>
  <si>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</si>
  <si>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</si>
  <si>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</si>
  <si>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</si>
  <si>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</si>
  <si>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N-2</t>
  </si>
  <si>
    <t>N-1</t>
  </si>
  <si>
    <t>N</t>
  </si>
  <si>
    <t>%</t>
  </si>
  <si>
    <t>MOIS</t>
  </si>
  <si>
    <t>CUMUL</t>
  </si>
  <si>
    <t>N et N-1</t>
  </si>
  <si>
    <t>MOIS par MOIS</t>
  </si>
  <si>
    <t>up/down</t>
  </si>
  <si>
    <t>q</t>
  </si>
  <si>
    <t>variation</t>
  </si>
  <si>
    <t>NEGOCE</t>
  </si>
  <si>
    <t>Valeur</t>
  </si>
  <si>
    <t>CA Objectif</t>
  </si>
  <si>
    <t>CA Réalisé</t>
  </si>
  <si>
    <t>Vert</t>
  </si>
  <si>
    <t>Orange</t>
  </si>
  <si>
    <t>Rouge</t>
  </si>
  <si>
    <t>Mois / Mois</t>
  </si>
  <si>
    <t>Cumul</t>
  </si>
  <si>
    <t>CA du mois de l'année N</t>
  </si>
  <si>
    <t>Variation entre le mois de l'année N-1 et le mois de l'année N</t>
  </si>
  <si>
    <t>CA Objectif mois/mois N</t>
  </si>
  <si>
    <t>CA mois/mois N</t>
  </si>
  <si>
    <t>Seuil</t>
  </si>
  <si>
    <t>PRODUCTION</t>
  </si>
  <si>
    <t>AURILLAC</t>
  </si>
  <si>
    <t>SAINT-FLOUR</t>
  </si>
  <si>
    <t>COMMERCE</t>
  </si>
  <si>
    <t>Heure actuelle</t>
  </si>
  <si>
    <t>Date du jour</t>
  </si>
  <si>
    <t>MOIS PAR MOIS</t>
  </si>
  <si>
    <t>TOTAL</t>
  </si>
  <si>
    <t>CA N-2</t>
  </si>
  <si>
    <t>CA N-1</t>
  </si>
  <si>
    <t>CA N</t>
  </si>
  <si>
    <t>Variation entre N et N-1 en %</t>
  </si>
  <si>
    <t>Variation entre N et N-1 en €</t>
  </si>
  <si>
    <t>liste des données</t>
  </si>
  <si>
    <t>Objectif année N</t>
  </si>
  <si>
    <t>Année N-2</t>
  </si>
  <si>
    <t>Année N-1</t>
  </si>
  <si>
    <t>Cellule</t>
  </si>
  <si>
    <t>barre de défilement Produits</t>
  </si>
  <si>
    <t>barre de défilement Commerciaux</t>
  </si>
  <si>
    <t>€</t>
  </si>
  <si>
    <t>COMMERCIAUX</t>
  </si>
  <si>
    <t xml:space="preserve">OBJECTIF </t>
  </si>
  <si>
    <t>OBJECTIF</t>
  </si>
  <si>
    <t>négoce</t>
  </si>
  <si>
    <t>production</t>
  </si>
  <si>
    <t>ECART en €</t>
  </si>
  <si>
    <t>Objectif de CA du moi de l'année N</t>
  </si>
  <si>
    <t>Graphique CA réalisé du mois / Objectif de CA du mois</t>
  </si>
  <si>
    <t>Graphique CA réalisé cumulé / Objectif de CA de l'année</t>
  </si>
  <si>
    <t>CA réalisé du mois</t>
  </si>
  <si>
    <t>Objectif CA du mois</t>
  </si>
  <si>
    <t>CALCUL synthèse commerciaux</t>
  </si>
  <si>
    <t>-</t>
  </si>
  <si>
    <t>Type de PRODUITS</t>
  </si>
  <si>
    <t>COMMERCIAL 3</t>
  </si>
  <si>
    <t>COMMISSIONS année N</t>
  </si>
  <si>
    <t>FRAIS année N</t>
  </si>
  <si>
    <t>OBJECTIF CA année N</t>
  </si>
  <si>
    <t>Rang N-2</t>
  </si>
  <si>
    <t>Rang N-1</t>
  </si>
  <si>
    <t>Rang N</t>
  </si>
  <si>
    <t>CLASSEMENT DES COMMERCIAUX</t>
  </si>
  <si>
    <t>Année N</t>
  </si>
  <si>
    <t>Classement des commerciaux (par an en CA)</t>
  </si>
  <si>
    <t>Saisies CA Distillerie Couderc et Objectifs Distillerie Couderc</t>
  </si>
  <si>
    <t xml:space="preserve">ECARTS en € </t>
  </si>
  <si>
    <t>EVOLUTION CA CUMULE ATELIER</t>
  </si>
  <si>
    <t>EVOLUTION CA CUMULE NEGOCE</t>
  </si>
  <si>
    <t>EVOLUTION CA CUMULE PRODUCTION</t>
  </si>
  <si>
    <t>EVOLUTION CA CUMULE DISTILLERIE</t>
  </si>
  <si>
    <t>EVOLUTION CA CUMULE MAGASINS</t>
  </si>
  <si>
    <t>EVOLUTION CA CUMULE AURILLAC</t>
  </si>
  <si>
    <t>EVOLUTION CA CUMULE SAINT-FLOUR</t>
  </si>
  <si>
    <t>EVOLUTION CA CUMULE COMMERCIAUX</t>
  </si>
  <si>
    <t>PROPORTION CA PAR MOIS (production)</t>
  </si>
  <si>
    <t>PROPORTION CA PAR MOIS (negoce)</t>
  </si>
  <si>
    <t>Cumul N</t>
  </si>
  <si>
    <t>Cumul N-1</t>
  </si>
  <si>
    <t>Mois N</t>
  </si>
  <si>
    <t>Mois N-1</t>
  </si>
  <si>
    <t>PROPORTION DU CA</t>
  </si>
  <si>
    <t>Mensuel</t>
  </si>
  <si>
    <t>J</t>
  </si>
  <si>
    <t>K</t>
  </si>
  <si>
    <t>L</t>
  </si>
  <si>
    <t>Indicateur</t>
  </si>
  <si>
    <t>Choisir</t>
  </si>
  <si>
    <t>CA du mois de l'année N - 1</t>
  </si>
  <si>
    <t>Contrôle</t>
  </si>
  <si>
    <t>EVOLUTION en €</t>
  </si>
  <si>
    <t>Variation CA CUMULE entre N et N - 1</t>
  </si>
  <si>
    <t>ENTREPRISE</t>
  </si>
  <si>
    <t>Commercial 1</t>
  </si>
  <si>
    <t>Commercial 2</t>
  </si>
  <si>
    <t>Boutique 1</t>
  </si>
  <si>
    <t>Boutique 2</t>
  </si>
  <si>
    <t>Entreprise</t>
  </si>
  <si>
    <t>BOUTIQUE 1</t>
  </si>
  <si>
    <t>BOUTIQUE 2</t>
  </si>
  <si>
    <t>OBJECTIFS TOTAUX DE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</si>
</sst>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€&quot;;\-#,##0\ &quot;€&quot;"/>
    <numFmt numFmtId="164" formatCode="[$-F800]dddd\,\ mmmm\ dd\,\ yyyy"/>
    <numFmt numFmtId="165" formatCode="#,##0\ _€"/>
    <numFmt numFmtId="166" formatCode="#,##0\ &quot;€&quot;"/>
    <numFmt numFmtId="167" formatCode="[$-F400]h:mm:ss\ AM/PM"/>
  </numFmts>
  <fonts count="7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9" tint="-0.249977111117893"/>
      <name val="Britannic Bold"/>
      <family val="2"/>
    </font>
    <font>
      <b/>
      <sz val="12"/>
      <color theme="9" tint="-0.249977111117893"/>
      <name val="Britannic Bold"/>
      <family val="2"/>
    </font>
    <font>
      <b/>
      <sz val="14"/>
      <color theme="9" tint="-0.249977111117893"/>
      <name val="Britannic Bold"/>
      <family val="2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ritannic Bold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002060"/>
      <name val="Times New Roman"/>
      <family val="1"/>
    </font>
    <font>
      <b/>
      <sz val="14"/>
      <color rgb="FF002060"/>
      <name val="Calibri"/>
      <family val="2"/>
      <scheme val="minor"/>
    </font>
    <font>
      <sz val="10"/>
      <color theme="1"/>
      <name val="Wingdings 3"/>
      <family val="1"/>
      <charset val="2"/>
    </font>
    <font>
      <b/>
      <sz val="16"/>
      <color theme="1"/>
      <name val="Times New Roman"/>
      <family val="1"/>
    </font>
    <font>
      <sz val="11"/>
      <color theme="1"/>
      <name val="Wingdings 3"/>
      <family val="1"/>
      <charset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ED7F10"/>
      <name val="Britannic Bold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Britannic Bold"/>
      <family val="2"/>
    </font>
    <font>
      <b/>
      <sz val="10.5"/>
      <color theme="1"/>
      <name val="Times New Roman"/>
      <family val="1"/>
    </font>
    <font>
      <b/>
      <sz val="10.5"/>
      <name val="Times New Roman"/>
      <family val="1"/>
    </font>
    <font>
      <sz val="10.5"/>
      <color theme="1"/>
      <name val="Calibri"/>
      <family val="2"/>
      <scheme val="minor"/>
    </font>
    <font>
      <sz val="10.5"/>
      <name val="Times New Roman"/>
      <family val="1"/>
    </font>
    <font>
      <b/>
      <sz val="10.5"/>
      <color theme="1"/>
      <name val="Calibri"/>
      <family val="2"/>
      <scheme val="minor"/>
    </font>
    <font>
      <sz val="10.5"/>
      <color theme="1"/>
      <name val="Times New Roman"/>
      <family val="1"/>
    </font>
    <font>
      <b/>
      <sz val="10.5"/>
      <color theme="1"/>
      <name val="Britannic Bold"/>
      <family val="2"/>
    </font>
    <font>
      <sz val="10.5"/>
      <color theme="1"/>
      <name val="Britannic Bold"/>
      <family val="2"/>
    </font>
    <font>
      <sz val="10.5"/>
      <name val="Calibri"/>
      <family val="2"/>
      <scheme val="minor"/>
    </font>
    <font>
      <sz val="10.5"/>
      <color theme="1"/>
      <name val="Wingdings 3"/>
      <family val="1"/>
      <charset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Wingdings"/>
      <charset val="2"/>
    </font>
    <font>
      <b/>
      <sz val="11"/>
      <name val="Wingdings"/>
      <charset val="2"/>
    </font>
    <font>
      <b/>
      <sz val="20"/>
      <color theme="1"/>
      <name val="Wingdings"/>
      <charset val="2"/>
    </font>
    <font>
      <b/>
      <sz val="14"/>
      <color theme="1"/>
      <name val="Wingdings"/>
      <charset val="2"/>
    </font>
    <font>
      <b/>
      <sz val="16"/>
      <color theme="1"/>
      <name val="Wingdings"/>
      <charset val="2"/>
    </font>
    <font>
      <b/>
      <sz val="18"/>
      <color theme="1"/>
      <name val="Wingdings"/>
      <charset val="2"/>
    </font>
    <font>
      <b/>
      <sz val="10"/>
      <name val="Calibri"/>
      <family val="2"/>
      <scheme val="minor"/>
    </font>
    <font>
      <b/>
      <sz val="18"/>
      <name val="Wingdings"/>
      <charset val="2"/>
    </font>
    <font>
      <sz val="14"/>
      <color theme="1"/>
      <name val="Wingdings"/>
      <charset val="2"/>
    </font>
    <font>
      <sz val="16"/>
      <color theme="1"/>
      <name val="Wingdings"/>
      <charset val="2"/>
    </font>
    <font>
      <b/>
      <sz val="12"/>
      <color theme="1"/>
      <name val="Wingdings"/>
      <charset val="2"/>
    </font>
    <font>
      <b/>
      <i/>
      <sz val="11"/>
      <color theme="1"/>
      <name val="Times New Roman"/>
      <family val="1"/>
    </font>
    <font>
      <b/>
      <i/>
      <sz val="10.5"/>
      <name val="Times New Roman"/>
      <family val="1"/>
    </font>
    <font>
      <b/>
      <i/>
      <sz val="10.5"/>
      <color theme="1"/>
      <name val="Times New Roman"/>
      <family val="1"/>
    </font>
    <font>
      <b/>
      <i/>
      <sz val="10.5"/>
      <color theme="1"/>
      <name val="Britannic Bold"/>
      <family val="2"/>
    </font>
    <font>
      <b/>
      <i/>
      <sz val="11"/>
      <color theme="1"/>
      <name val="Britannic Bold"/>
      <family val="2"/>
    </font>
    <font>
      <i/>
      <sz val="10.5"/>
      <color theme="1"/>
      <name val="Times New Roman"/>
      <family val="1"/>
    </font>
    <font>
      <b/>
      <sz val="10.5"/>
      <color rgb="FF7030A0"/>
      <name val="Times New Roman"/>
      <family val="1"/>
    </font>
    <font>
      <sz val="10"/>
      <color rgb="FFFF0000"/>
      <name val="Calibri"/>
      <family val="2"/>
      <scheme val="minor"/>
    </font>
    <font>
      <b/>
      <i/>
      <sz val="10.5"/>
      <color rgb="FF7030A0"/>
      <name val="Times New Roman"/>
      <family val="1"/>
    </font>
    <font>
      <i/>
      <sz val="10.5"/>
      <color theme="1"/>
      <name val="Calibri"/>
      <family val="2"/>
      <scheme val="minor"/>
    </font>
    <font>
      <i/>
      <sz val="10.5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D7F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ED7F10"/>
      </left>
      <right/>
      <top style="thick">
        <color rgb="FFED7F10"/>
      </top>
      <bottom/>
      <diagonal/>
    </border>
    <border>
      <left/>
      <right style="thick">
        <color rgb="FFED7F10"/>
      </right>
      <top style="thick">
        <color rgb="FFED7F10"/>
      </top>
      <bottom/>
      <diagonal/>
    </border>
    <border>
      <left style="thick">
        <color rgb="FFED7F10"/>
      </left>
      <right/>
      <top/>
      <bottom style="thick">
        <color rgb="FFED7F10"/>
      </bottom>
      <diagonal/>
    </border>
    <border>
      <left/>
      <right style="thick">
        <color rgb="FFED7F10"/>
      </right>
      <top/>
      <bottom style="thick">
        <color rgb="FFED7F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970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0" fontId="0" fillId="0" borderId="0" xfId="0" applyNumberFormat="1"/>
    <xf numFmtId="0" fontId="9" fillId="0" borderId="0" xfId="0" applyFont="1"/>
    <xf numFmtId="165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/>
    <xf numFmtId="0" fontId="9" fillId="0" borderId="0" xfId="0" applyFont="1" applyAlignment="1"/>
    <xf numFmtId="0" fontId="8" fillId="0" borderId="14" xfId="0" applyFont="1" applyBorder="1" applyAlignment="1">
      <alignment horizontal="center" vertical="center"/>
    </xf>
    <xf numFmtId="165" fontId="12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/>
    <xf numFmtId="10" fontId="0" fillId="0" borderId="0" xfId="0" applyNumberFormat="1"/>
    <xf numFmtId="0" fontId="9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5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/>
    <xf numFmtId="0" fontId="9" fillId="0" borderId="0" xfId="0" applyFont="1" applyAlignment="1"/>
    <xf numFmtId="0" fontId="8" fillId="0" borderId="14" xfId="0" applyFont="1" applyBorder="1" applyAlignment="1">
      <alignment horizontal="center" vertical="center"/>
    </xf>
    <xf numFmtId="165" fontId="12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65" fontId="16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0" xfId="0" applyFont="1"/>
    <xf numFmtId="0" fontId="18" fillId="0" borderId="0" xfId="0" applyFont="1" applyAlignment="1">
      <alignment vertical="center"/>
    </xf>
    <xf numFmtId="167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9" fillId="0" borderId="27" xfId="0" applyFont="1" applyBorder="1"/>
    <xf numFmtId="0" fontId="9" fillId="0" borderId="26" xfId="0" applyFont="1" applyBorder="1"/>
    <xf numFmtId="0" fontId="9" fillId="0" borderId="0" xfId="0" applyFont="1" applyBorder="1"/>
    <xf numFmtId="0" fontId="19" fillId="0" borderId="14" xfId="0" applyFont="1" applyBorder="1"/>
    <xf numFmtId="0" fontId="9" fillId="0" borderId="23" xfId="0" applyFont="1" applyBorder="1"/>
    <xf numFmtId="0" fontId="19" fillId="0" borderId="33" xfId="0" applyFont="1" applyBorder="1"/>
    <xf numFmtId="0" fontId="9" fillId="0" borderId="14" xfId="0" applyFont="1" applyBorder="1"/>
    <xf numFmtId="0" fontId="19" fillId="0" borderId="19" xfId="0" applyFont="1" applyFill="1" applyBorder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0" fontId="8" fillId="0" borderId="0" xfId="0" applyFont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0" fontId="19" fillId="0" borderId="14" xfId="0" applyNumberFormat="1" applyFont="1" applyBorder="1"/>
    <xf numFmtId="166" fontId="9" fillId="0" borderId="34" xfId="0" applyNumberFormat="1" applyFont="1" applyBorder="1"/>
    <xf numFmtId="10" fontId="9" fillId="0" borderId="34" xfId="0" applyNumberFormat="1" applyFont="1" applyBorder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66" fontId="9" fillId="0" borderId="30" xfId="0" applyNumberFormat="1" applyFont="1" applyBorder="1"/>
    <xf numFmtId="166" fontId="9" fillId="0" borderId="4" xfId="0" applyNumberFormat="1" applyFont="1" applyBorder="1"/>
    <xf numFmtId="0" fontId="19" fillId="0" borderId="19" xfId="0" applyFont="1" applyBorder="1"/>
    <xf numFmtId="0" fontId="19" fillId="0" borderId="3" xfId="0" applyFont="1" applyBorder="1" applyAlignment="1">
      <alignment horizontal="left" vertical="center"/>
    </xf>
    <xf numFmtId="10" fontId="9" fillId="0" borderId="32" xfId="0" applyNumberFormat="1" applyFont="1" applyBorder="1" applyAlignment="1">
      <alignment horizontal="right" vertical="center"/>
    </xf>
    <xf numFmtId="0" fontId="19" fillId="0" borderId="28" xfId="0" applyFont="1" applyBorder="1" applyAlignment="1">
      <alignment horizontal="left" vertical="center"/>
    </xf>
    <xf numFmtId="0" fontId="19" fillId="0" borderId="28" xfId="0" applyFont="1" applyBorder="1" applyAlignment="1">
      <alignment horizontal="left"/>
    </xf>
    <xf numFmtId="0" fontId="19" fillId="0" borderId="4" xfId="0" applyFont="1" applyBorder="1"/>
    <xf numFmtId="10" fontId="9" fillId="0" borderId="26" xfId="0" applyNumberFormat="1" applyFont="1" applyBorder="1"/>
    <xf numFmtId="166" fontId="9" fillId="0" borderId="29" xfId="0" applyNumberFormat="1" applyFont="1" applyBorder="1"/>
    <xf numFmtId="166" fontId="9" fillId="0" borderId="3" xfId="0" applyNumberFormat="1" applyFont="1" applyBorder="1"/>
    <xf numFmtId="10" fontId="10" fillId="0" borderId="27" xfId="0" applyNumberFormat="1" applyFont="1" applyBorder="1" applyAlignment="1">
      <alignment horizontal="right" vertical="center"/>
    </xf>
    <xf numFmtId="0" fontId="0" fillId="0" borderId="0" xfId="0"/>
    <xf numFmtId="0" fontId="6" fillId="0" borderId="0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165" fontId="16" fillId="0" borderId="0" xfId="0" applyNumberFormat="1" applyFont="1" applyBorder="1" applyAlignment="1">
      <alignment vertical="center"/>
    </xf>
    <xf numFmtId="10" fontId="9" fillId="0" borderId="0" xfId="0" applyNumberFormat="1" applyFont="1" applyBorder="1" applyAlignment="1">
      <alignment horizontal="right" vertical="center"/>
    </xf>
    <xf numFmtId="10" fontId="10" fillId="0" borderId="0" xfId="0" applyNumberFormat="1" applyFont="1" applyBorder="1" applyAlignment="1">
      <alignment horizontal="right" vertical="center"/>
    </xf>
    <xf numFmtId="10" fontId="9" fillId="0" borderId="0" xfId="0" applyNumberFormat="1" applyFont="1" applyBorder="1"/>
    <xf numFmtId="0" fontId="9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5" fontId="12" fillId="4" borderId="14" xfId="0" applyNumberFormat="1" applyFont="1" applyFill="1" applyBorder="1" applyAlignment="1">
      <alignment horizontal="center" vertical="center"/>
    </xf>
    <xf numFmtId="165" fontId="23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0" fontId="9" fillId="0" borderId="14" xfId="0" applyNumberFormat="1" applyFont="1" applyBorder="1"/>
    <xf numFmtId="10" fontId="0" fillId="0" borderId="14" xfId="0" applyNumberFormat="1" applyFont="1" applyBorder="1"/>
    <xf numFmtId="166" fontId="0" fillId="0" borderId="34" xfId="0" applyNumberFormat="1" applyFont="1" applyBorder="1"/>
    <xf numFmtId="10" fontId="0" fillId="0" borderId="34" xfId="0" applyNumberFormat="1" applyFont="1" applyBorder="1"/>
    <xf numFmtId="166" fontId="0" fillId="0" borderId="29" xfId="0" applyNumberFormat="1" applyFont="1" applyBorder="1"/>
    <xf numFmtId="166" fontId="0" fillId="0" borderId="3" xfId="0" applyNumberFormat="1" applyFont="1" applyBorder="1"/>
    <xf numFmtId="166" fontId="0" fillId="0" borderId="30" xfId="0" applyNumberFormat="1" applyFont="1" applyBorder="1"/>
    <xf numFmtId="166" fontId="0" fillId="0" borderId="4" xfId="0" applyNumberFormat="1" applyFont="1" applyBorder="1"/>
    <xf numFmtId="0" fontId="0" fillId="0" borderId="14" xfId="0" applyFont="1" applyBorder="1"/>
    <xf numFmtId="10" fontId="0" fillId="0" borderId="32" xfId="0" applyNumberFormat="1" applyFont="1" applyBorder="1" applyAlignment="1">
      <alignment horizontal="right" vertical="center"/>
    </xf>
    <xf numFmtId="10" fontId="0" fillId="0" borderId="27" xfId="0" applyNumberFormat="1" applyFont="1" applyBorder="1" applyAlignment="1">
      <alignment horizontal="right" vertical="center"/>
    </xf>
    <xf numFmtId="10" fontId="0" fillId="0" borderId="26" xfId="0" applyNumberFormat="1" applyFont="1" applyBorder="1"/>
    <xf numFmtId="0" fontId="6" fillId="0" borderId="14" xfId="0" applyFont="1" applyBorder="1" applyAlignment="1">
      <alignment horizontal="center" vertical="center"/>
    </xf>
    <xf numFmtId="166" fontId="0" fillId="0" borderId="35" xfId="0" applyNumberFormat="1" applyFont="1" applyBorder="1"/>
    <xf numFmtId="10" fontId="0" fillId="0" borderId="35" xfId="0" applyNumberFormat="1" applyFont="1" applyBorder="1"/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/>
    </xf>
    <xf numFmtId="0" fontId="6" fillId="0" borderId="4" xfId="0" applyFont="1" applyBorder="1"/>
    <xf numFmtId="10" fontId="0" fillId="0" borderId="32" xfId="0" applyNumberFormat="1" applyFont="1" applyBorder="1" applyAlignment="1">
      <alignment horizontal="center" vertical="center"/>
    </xf>
    <xf numFmtId="10" fontId="0" fillId="0" borderId="27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/>
    </xf>
    <xf numFmtId="10" fontId="0" fillId="0" borderId="26" xfId="0" applyNumberFormat="1" applyFont="1" applyBorder="1" applyAlignment="1">
      <alignment horizontal="center" vertical="center"/>
    </xf>
    <xf numFmtId="166" fontId="0" fillId="0" borderId="0" xfId="0" applyNumberFormat="1" applyFont="1" applyBorder="1"/>
    <xf numFmtId="0" fontId="6" fillId="0" borderId="3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6" fillId="5" borderId="34" xfId="0" applyFont="1" applyFill="1" applyBorder="1"/>
    <xf numFmtId="0" fontId="6" fillId="5" borderId="14" xfId="0" applyFont="1" applyFill="1" applyBorder="1"/>
    <xf numFmtId="0" fontId="0" fillId="0" borderId="21" xfId="0" applyBorder="1"/>
    <xf numFmtId="0" fontId="0" fillId="0" borderId="0" xfId="0" applyFont="1" applyBorder="1"/>
    <xf numFmtId="0" fontId="0" fillId="0" borderId="37" xfId="0" applyBorder="1"/>
    <xf numFmtId="0" fontId="0" fillId="0" borderId="22" xfId="0" applyBorder="1"/>
    <xf numFmtId="0" fontId="0" fillId="0" borderId="36" xfId="0" applyBorder="1"/>
    <xf numFmtId="0" fontId="0" fillId="0" borderId="36" xfId="0" applyFont="1" applyBorder="1"/>
    <xf numFmtId="0" fontId="0" fillId="0" borderId="40" xfId="0" applyBorder="1"/>
    <xf numFmtId="166" fontId="9" fillId="0" borderId="35" xfId="0" applyNumberFormat="1" applyFont="1" applyBorder="1"/>
    <xf numFmtId="10" fontId="9" fillId="0" borderId="35" xfId="0" applyNumberFormat="1" applyFont="1" applyBorder="1"/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/>
    <xf numFmtId="0" fontId="9" fillId="0" borderId="37" xfId="0" applyFont="1" applyBorder="1"/>
    <xf numFmtId="0" fontId="19" fillId="0" borderId="37" xfId="0" applyFont="1" applyBorder="1" applyAlignment="1">
      <alignment horizontal="left" vertical="center"/>
    </xf>
    <xf numFmtId="0" fontId="19" fillId="0" borderId="37" xfId="0" applyFont="1" applyBorder="1" applyAlignment="1">
      <alignment horizontal="left"/>
    </xf>
    <xf numFmtId="0" fontId="19" fillId="0" borderId="37" xfId="0" applyFont="1" applyBorder="1"/>
    <xf numFmtId="0" fontId="9" fillId="5" borderId="14" xfId="0" applyFont="1" applyFill="1" applyBorder="1"/>
    <xf numFmtId="0" fontId="9" fillId="5" borderId="21" xfId="0" applyFont="1" applyFill="1" applyBorder="1"/>
    <xf numFmtId="0" fontId="9" fillId="5" borderId="37" xfId="0" applyFont="1" applyFill="1" applyBorder="1"/>
    <xf numFmtId="0" fontId="9" fillId="0" borderId="32" xfId="0" applyFont="1" applyBorder="1"/>
    <xf numFmtId="0" fontId="9" fillId="0" borderId="3" xfId="0" applyFont="1" applyBorder="1"/>
    <xf numFmtId="0" fontId="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2" fillId="0" borderId="0" xfId="0" applyNumberFormat="1" applyFont="1" applyFill="1" applyBorder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28" fillId="0" borderId="0" xfId="1"/>
    <xf numFmtId="0" fontId="27" fillId="0" borderId="0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horizontal="center" vertical="center" wrapText="1"/>
    </xf>
    <xf numFmtId="3" fontId="17" fillId="0" borderId="41" xfId="0" applyNumberFormat="1" applyFont="1" applyBorder="1" applyAlignment="1">
      <alignment horizontal="right" vertical="center"/>
    </xf>
    <xf numFmtId="166" fontId="17" fillId="0" borderId="41" xfId="0" applyNumberFormat="1" applyFont="1" applyBorder="1" applyAlignment="1">
      <alignment horizontal="right" vertical="center"/>
    </xf>
    <xf numFmtId="3" fontId="17" fillId="0" borderId="60" xfId="0" applyNumberFormat="1" applyFont="1" applyBorder="1" applyAlignment="1">
      <alignment horizontal="right" vertical="center"/>
    </xf>
    <xf numFmtId="166" fontId="17" fillId="0" borderId="60" xfId="0" applyNumberFormat="1" applyFont="1" applyBorder="1" applyAlignment="1">
      <alignment horizontal="right" vertical="center"/>
    </xf>
    <xf numFmtId="3" fontId="17" fillId="0" borderId="49" xfId="0" applyNumberFormat="1" applyFont="1" applyBorder="1" applyAlignment="1">
      <alignment horizontal="right" vertical="center"/>
    </xf>
    <xf numFmtId="3" fontId="17" fillId="0" borderId="61" xfId="0" applyNumberFormat="1" applyFont="1" applyBorder="1" applyAlignment="1">
      <alignment horizontal="right" vertical="center"/>
    </xf>
    <xf numFmtId="10" fontId="6" fillId="0" borderId="3" xfId="0" applyNumberFormat="1" applyFont="1" applyBorder="1" applyAlignment="1">
      <alignment horizontal="right" vertical="center"/>
    </xf>
    <xf numFmtId="10" fontId="6" fillId="0" borderId="28" xfId="0" applyNumberFormat="1" applyFont="1" applyBorder="1" applyAlignment="1">
      <alignment horizontal="right" vertical="center"/>
    </xf>
    <xf numFmtId="10" fontId="6" fillId="0" borderId="4" xfId="0" applyNumberFormat="1" applyFont="1" applyBorder="1" applyAlignment="1">
      <alignment horizontal="right" vertical="center"/>
    </xf>
    <xf numFmtId="10" fontId="17" fillId="5" borderId="21" xfId="0" applyNumberFormat="1" applyFont="1" applyFill="1" applyBorder="1" applyAlignment="1">
      <alignment horizontal="right" vertical="center"/>
    </xf>
    <xf numFmtId="3" fontId="17" fillId="0" borderId="48" xfId="0" applyNumberFormat="1" applyFont="1" applyBorder="1" applyAlignment="1">
      <alignment horizontal="right" vertical="center"/>
    </xf>
    <xf numFmtId="3" fontId="17" fillId="0" borderId="46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9" fillId="0" borderId="4" xfId="0" applyFont="1" applyBorder="1" applyAlignment="1">
      <alignment horizontal="left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3" fontId="9" fillId="0" borderId="45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60" xfId="0" applyNumberFormat="1" applyFont="1" applyBorder="1" applyAlignment="1">
      <alignment horizontal="center" vertical="center"/>
    </xf>
    <xf numFmtId="3" fontId="9" fillId="0" borderId="52" xfId="0" applyNumberFormat="1" applyFont="1" applyBorder="1" applyAlignment="1">
      <alignment horizontal="center" vertical="center"/>
    </xf>
    <xf numFmtId="165" fontId="13" fillId="0" borderId="0" xfId="0" applyNumberFormat="1" applyFont="1" applyFill="1" applyBorder="1" applyAlignment="1">
      <alignment vertical="center"/>
    </xf>
    <xf numFmtId="165" fontId="9" fillId="0" borderId="0" xfId="0" applyNumberFormat="1" applyFont="1" applyAlignment="1">
      <alignment horizontal="right" vertical="center"/>
    </xf>
    <xf numFmtId="9" fontId="9" fillId="0" borderId="0" xfId="0" applyNumberFormat="1" applyFont="1" applyAlignment="1">
      <alignment horizontal="right" vertical="center"/>
    </xf>
    <xf numFmtId="0" fontId="10" fillId="0" borderId="0" xfId="0" applyFont="1" applyBorder="1"/>
    <xf numFmtId="0" fontId="10" fillId="0" borderId="0" xfId="0" applyFont="1"/>
    <xf numFmtId="165" fontId="13" fillId="4" borderId="14" xfId="0" applyNumberFormat="1" applyFont="1" applyFill="1" applyBorder="1" applyAlignment="1">
      <alignment horizontal="center" vertical="center"/>
    </xf>
    <xf numFmtId="166" fontId="18" fillId="0" borderId="1" xfId="0" applyNumberFormat="1" applyFont="1" applyFill="1" applyBorder="1" applyAlignment="1">
      <alignment vertical="center"/>
    </xf>
    <xf numFmtId="166" fontId="18" fillId="0" borderId="14" xfId="0" applyNumberFormat="1" applyFont="1" applyFill="1" applyBorder="1" applyAlignment="1">
      <alignment vertical="center"/>
    </xf>
    <xf numFmtId="166" fontId="9" fillId="0" borderId="1" xfId="0" applyNumberFormat="1" applyFont="1" applyBorder="1"/>
    <xf numFmtId="166" fontId="9" fillId="0" borderId="14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40" xfId="0" applyNumberFormat="1" applyFont="1" applyBorder="1" applyAlignment="1">
      <alignment horizontal="center" vertical="center"/>
    </xf>
    <xf numFmtId="166" fontId="0" fillId="0" borderId="34" xfId="0" applyNumberFormat="1" applyBorder="1" applyAlignment="1">
      <alignment horizontal="center" vertical="center"/>
    </xf>
    <xf numFmtId="166" fontId="9" fillId="0" borderId="3" xfId="0" applyNumberFormat="1" applyFont="1" applyFill="1" applyBorder="1"/>
    <xf numFmtId="166" fontId="9" fillId="0" borderId="28" xfId="0" applyNumberFormat="1" applyFont="1" applyFill="1" applyBorder="1"/>
    <xf numFmtId="166" fontId="9" fillId="0" borderId="4" xfId="0" applyNumberFormat="1" applyFont="1" applyFill="1" applyBorder="1"/>
    <xf numFmtId="166" fontId="9" fillId="0" borderId="29" xfId="0" applyNumberFormat="1" applyFont="1" applyFill="1" applyBorder="1"/>
    <xf numFmtId="166" fontId="9" fillId="0" borderId="31" xfId="0" applyNumberFormat="1" applyFont="1" applyFill="1" applyBorder="1"/>
    <xf numFmtId="166" fontId="9" fillId="0" borderId="30" xfId="0" applyNumberFormat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66" fontId="0" fillId="0" borderId="0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6" fillId="0" borderId="0" xfId="0" applyFont="1"/>
    <xf numFmtId="165" fontId="0" fillId="0" borderId="0" xfId="0" applyNumberFormat="1" applyFont="1"/>
    <xf numFmtId="0" fontId="0" fillId="0" borderId="0" xfId="0" applyFont="1" applyAlignment="1">
      <alignment horizontal="right" vertical="center"/>
    </xf>
    <xf numFmtId="166" fontId="0" fillId="0" borderId="0" xfId="0" applyNumberFormat="1" applyFont="1"/>
    <xf numFmtId="0" fontId="30" fillId="0" borderId="0" xfId="0" applyFont="1" applyBorder="1" applyAlignment="1">
      <alignment vertical="center"/>
    </xf>
    <xf numFmtId="167" fontId="30" fillId="0" borderId="0" xfId="0" applyNumberFormat="1" applyFont="1" applyBorder="1" applyAlignment="1">
      <alignment horizontal="center" vertical="center"/>
    </xf>
    <xf numFmtId="164" fontId="30" fillId="0" borderId="0" xfId="0" applyNumberFormat="1" applyFont="1" applyBorder="1" applyAlignment="1">
      <alignment horizontal="center" vertical="center"/>
    </xf>
    <xf numFmtId="10" fontId="0" fillId="0" borderId="0" xfId="0" applyNumberFormat="1" applyFont="1" applyBorder="1"/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166" fontId="0" fillId="0" borderId="0" xfId="0" applyNumberFormat="1" applyFont="1" applyAlignment="1">
      <alignment horizontal="center" vertical="center"/>
    </xf>
    <xf numFmtId="165" fontId="32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0" fontId="0" fillId="0" borderId="0" xfId="0" applyNumberFormat="1" applyFont="1" applyBorder="1" applyAlignment="1">
      <alignment horizontal="right" vertical="center"/>
    </xf>
    <xf numFmtId="10" fontId="31" fillId="0" borderId="0" xfId="0" applyNumberFormat="1" applyFont="1" applyBorder="1" applyAlignment="1">
      <alignment horizontal="right" vertical="center"/>
    </xf>
    <xf numFmtId="0" fontId="35" fillId="0" borderId="0" xfId="0" applyFont="1"/>
    <xf numFmtId="166" fontId="35" fillId="0" borderId="0" xfId="0" applyNumberFormat="1" applyFont="1"/>
    <xf numFmtId="0" fontId="35" fillId="0" borderId="0" xfId="0" applyFont="1" applyBorder="1"/>
    <xf numFmtId="0" fontId="34" fillId="0" borderId="5" xfId="0" applyFont="1" applyFill="1" applyBorder="1" applyAlignment="1">
      <alignment horizontal="left" vertical="center"/>
    </xf>
    <xf numFmtId="0" fontId="37" fillId="0" borderId="0" xfId="0" applyFont="1" applyBorder="1" applyAlignment="1">
      <alignment horizontal="left"/>
    </xf>
    <xf numFmtId="10" fontId="38" fillId="0" borderId="0" xfId="0" applyNumberFormat="1" applyFont="1" applyBorder="1" applyAlignment="1">
      <alignment horizontal="right" vertical="center"/>
    </xf>
    <xf numFmtId="0" fontId="34" fillId="0" borderId="6" xfId="0" applyFont="1" applyFill="1" applyBorder="1" applyAlignment="1">
      <alignment horizontal="left" vertical="center"/>
    </xf>
    <xf numFmtId="0" fontId="37" fillId="0" borderId="0" xfId="0" applyFont="1" applyBorder="1"/>
    <xf numFmtId="10" fontId="35" fillId="0" borderId="0" xfId="0" applyNumberFormat="1" applyFont="1" applyBorder="1"/>
    <xf numFmtId="0" fontId="35" fillId="0" borderId="0" xfId="0" applyNumberFormat="1" applyFont="1" applyBorder="1"/>
    <xf numFmtId="0" fontId="37" fillId="0" borderId="0" xfId="0" applyFont="1" applyBorder="1" applyAlignment="1">
      <alignment horizontal="left" vertical="center"/>
    </xf>
    <xf numFmtId="10" fontId="35" fillId="0" borderId="0" xfId="0" applyNumberFormat="1" applyFont="1" applyBorder="1" applyAlignment="1">
      <alignment horizontal="right" vertical="center"/>
    </xf>
    <xf numFmtId="9" fontId="35" fillId="0" borderId="0" xfId="0" applyNumberFormat="1" applyFont="1" applyBorder="1"/>
    <xf numFmtId="0" fontId="34" fillId="0" borderId="20" xfId="0" applyFont="1" applyFill="1" applyBorder="1" applyAlignment="1">
      <alignment horizontal="left" vertical="center"/>
    </xf>
    <xf numFmtId="166" fontId="38" fillId="0" borderId="13" xfId="0" applyNumberFormat="1" applyFont="1" applyBorder="1" applyAlignment="1">
      <alignment horizontal="center"/>
    </xf>
    <xf numFmtId="165" fontId="33" fillId="4" borderId="14" xfId="0" applyNumberFormat="1" applyFont="1" applyFill="1" applyBorder="1" applyAlignment="1">
      <alignment horizontal="center" vertical="center"/>
    </xf>
    <xf numFmtId="165" fontId="33" fillId="0" borderId="14" xfId="0" applyNumberFormat="1" applyFont="1" applyBorder="1" applyAlignment="1">
      <alignment horizontal="center" vertical="center"/>
    </xf>
    <xf numFmtId="10" fontId="38" fillId="0" borderId="29" xfId="0" applyNumberFormat="1" applyFont="1" applyFill="1" applyBorder="1"/>
    <xf numFmtId="10" fontId="38" fillId="0" borderId="31" xfId="0" applyNumberFormat="1" applyFont="1" applyFill="1" applyBorder="1"/>
    <xf numFmtId="166" fontId="38" fillId="0" borderId="13" xfId="0" applyNumberFormat="1" applyFont="1" applyBorder="1" applyAlignment="1">
      <alignment horizontal="center" vertical="center"/>
    </xf>
    <xf numFmtId="0" fontId="37" fillId="0" borderId="0" xfId="0" applyFont="1"/>
    <xf numFmtId="165" fontId="35" fillId="0" borderId="0" xfId="0" applyNumberFormat="1" applyFont="1"/>
    <xf numFmtId="0" fontId="35" fillId="0" borderId="0" xfId="0" applyFont="1" applyAlignment="1">
      <alignment horizontal="right" vertical="center"/>
    </xf>
    <xf numFmtId="0" fontId="37" fillId="0" borderId="0" xfId="0" applyFont="1" applyBorder="1" applyAlignment="1">
      <alignment horizontal="center" vertical="center"/>
    </xf>
    <xf numFmtId="166" fontId="35" fillId="0" borderId="0" xfId="0" applyNumberFormat="1" applyFont="1" applyBorder="1"/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horizontal="center" vertical="center"/>
    </xf>
    <xf numFmtId="165" fontId="40" fillId="0" borderId="0" xfId="0" applyNumberFormat="1" applyFont="1" applyBorder="1" applyAlignment="1">
      <alignment horizontal="center" vertical="center"/>
    </xf>
    <xf numFmtId="165" fontId="3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Border="1"/>
    <xf numFmtId="0" fontId="35" fillId="0" borderId="0" xfId="0" applyNumberFormat="1" applyFont="1"/>
    <xf numFmtId="0" fontId="41" fillId="0" borderId="0" xfId="0" applyFont="1" applyBorder="1" applyAlignment="1">
      <alignment vertical="center"/>
    </xf>
    <xf numFmtId="167" fontId="41" fillId="0" borderId="0" xfId="0" applyNumberFormat="1" applyFont="1" applyBorder="1" applyAlignment="1">
      <alignment horizontal="center" vertical="center"/>
    </xf>
    <xf numFmtId="164" fontId="41" fillId="0" borderId="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/>
    <xf numFmtId="0" fontId="35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0" fontId="38" fillId="0" borderId="3" xfId="0" applyNumberFormat="1" applyFont="1" applyFill="1" applyBorder="1"/>
    <xf numFmtId="10" fontId="38" fillId="0" borderId="28" xfId="0" applyNumberFormat="1" applyFont="1" applyFill="1" applyBorder="1"/>
    <xf numFmtId="5" fontId="38" fillId="0" borderId="5" xfId="0" applyNumberFormat="1" applyFont="1" applyFill="1" applyBorder="1" applyAlignment="1">
      <alignment horizontal="right" vertical="center"/>
    </xf>
    <xf numFmtId="5" fontId="38" fillId="0" borderId="6" xfId="0" applyNumberFormat="1" applyFont="1" applyFill="1" applyBorder="1" applyAlignment="1">
      <alignment horizontal="right" vertical="center"/>
    </xf>
    <xf numFmtId="0" fontId="42" fillId="0" borderId="0" xfId="0" applyFont="1" applyBorder="1" applyAlignment="1">
      <alignment horizontal="center"/>
    </xf>
    <xf numFmtId="166" fontId="35" fillId="0" borderId="0" xfId="0" applyNumberFormat="1" applyFont="1" applyBorder="1" applyAlignment="1">
      <alignment horizontal="right" vertical="center"/>
    </xf>
    <xf numFmtId="0" fontId="43" fillId="0" borderId="0" xfId="0" applyFont="1"/>
    <xf numFmtId="0" fontId="44" fillId="0" borderId="0" xfId="0" applyFont="1" applyFill="1" applyBorder="1" applyAlignment="1">
      <alignment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3" xfId="0" applyFont="1" applyFill="1" applyBorder="1" applyAlignment="1">
      <alignment horizontal="left"/>
    </xf>
    <xf numFmtId="166" fontId="43" fillId="0" borderId="43" xfId="0" applyNumberFormat="1" applyFont="1" applyFill="1" applyBorder="1" applyAlignment="1">
      <alignment horizontal="right" vertical="center"/>
    </xf>
    <xf numFmtId="10" fontId="43" fillId="0" borderId="43" xfId="0" applyNumberFormat="1" applyFont="1" applyFill="1" applyBorder="1" applyAlignment="1">
      <alignment horizontal="right" vertical="center"/>
    </xf>
    <xf numFmtId="166" fontId="46" fillId="0" borderId="43" xfId="0" applyNumberFormat="1" applyFont="1" applyFill="1" applyBorder="1" applyAlignment="1">
      <alignment horizontal="right" vertical="center"/>
    </xf>
    <xf numFmtId="166" fontId="46" fillId="0" borderId="44" xfId="0" applyNumberFormat="1" applyFont="1" applyFill="1" applyBorder="1" applyAlignment="1">
      <alignment horizontal="right" vertical="center"/>
    </xf>
    <xf numFmtId="166" fontId="43" fillId="0" borderId="7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center" vertical="center"/>
    </xf>
    <xf numFmtId="0" fontId="44" fillId="0" borderId="28" xfId="0" applyFont="1" applyFill="1" applyBorder="1" applyAlignment="1">
      <alignment horizontal="left"/>
    </xf>
    <xf numFmtId="166" fontId="43" fillId="0" borderId="41" xfId="0" applyNumberFormat="1" applyFont="1" applyFill="1" applyBorder="1" applyAlignment="1">
      <alignment horizontal="right" vertical="center"/>
    </xf>
    <xf numFmtId="10" fontId="43" fillId="0" borderId="41" xfId="0" applyNumberFormat="1" applyFont="1" applyFill="1" applyBorder="1" applyAlignment="1">
      <alignment horizontal="right" vertical="center"/>
    </xf>
    <xf numFmtId="166" fontId="46" fillId="0" borderId="41" xfId="0" applyNumberFormat="1" applyFont="1" applyFill="1" applyBorder="1" applyAlignment="1">
      <alignment horizontal="right" vertical="center"/>
    </xf>
    <xf numFmtId="166" fontId="46" fillId="0" borderId="45" xfId="0" applyNumberFormat="1" applyFont="1" applyFill="1" applyBorder="1" applyAlignment="1">
      <alignment horizontal="right" vertical="center"/>
    </xf>
    <xf numFmtId="166" fontId="46" fillId="0" borderId="50" xfId="0" applyNumberFormat="1" applyFont="1" applyFill="1" applyBorder="1" applyAlignment="1">
      <alignment horizontal="right" vertical="center"/>
    </xf>
    <xf numFmtId="166" fontId="43" fillId="0" borderId="8" xfId="0" applyNumberFormat="1" applyFont="1" applyFill="1" applyBorder="1" applyAlignment="1">
      <alignment horizontal="right" vertical="center"/>
    </xf>
    <xf numFmtId="0" fontId="44" fillId="0" borderId="4" xfId="0" applyFont="1" applyFill="1" applyBorder="1" applyAlignment="1">
      <alignment horizontal="left"/>
    </xf>
    <xf numFmtId="166" fontId="43" fillId="0" borderId="60" xfId="0" applyNumberFormat="1" applyFont="1" applyFill="1" applyBorder="1" applyAlignment="1">
      <alignment horizontal="right" vertical="center"/>
    </xf>
    <xf numFmtId="10" fontId="43" fillId="0" borderId="60" xfId="0" applyNumberFormat="1" applyFont="1" applyFill="1" applyBorder="1" applyAlignment="1">
      <alignment horizontal="right" vertical="center"/>
    </xf>
    <xf numFmtId="166" fontId="46" fillId="0" borderId="60" xfId="0" applyNumberFormat="1" applyFont="1" applyFill="1" applyBorder="1" applyAlignment="1">
      <alignment horizontal="right" vertical="center"/>
    </xf>
    <xf numFmtId="166" fontId="46" fillId="0" borderId="52" xfId="0" applyNumberFormat="1" applyFont="1" applyFill="1" applyBorder="1" applyAlignment="1">
      <alignment horizontal="right" vertical="center"/>
    </xf>
    <xf numFmtId="166" fontId="46" fillId="0" borderId="67" xfId="0" applyNumberFormat="1" applyFont="1" applyFill="1" applyBorder="1" applyAlignment="1">
      <alignment horizontal="right" vertical="center"/>
    </xf>
    <xf numFmtId="166" fontId="43" fillId="0" borderId="9" xfId="0" applyNumberFormat="1" applyFont="1" applyFill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165" fontId="39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166" fontId="43" fillId="0" borderId="54" xfId="0" applyNumberFormat="1" applyFont="1" applyFill="1" applyBorder="1" applyAlignment="1">
      <alignment horizontal="right" vertical="center"/>
    </xf>
    <xf numFmtId="166" fontId="43" fillId="0" borderId="49" xfId="0" applyNumberFormat="1" applyFont="1" applyFill="1" applyBorder="1" applyAlignment="1">
      <alignment horizontal="right" vertical="center"/>
    </xf>
    <xf numFmtId="166" fontId="43" fillId="0" borderId="61" xfId="0" applyNumberFormat="1" applyFont="1" applyFill="1" applyBorder="1" applyAlignment="1">
      <alignment horizontal="right" vertical="center"/>
    </xf>
    <xf numFmtId="10" fontId="36" fillId="0" borderId="3" xfId="0" applyNumberFormat="1" applyFont="1" applyFill="1" applyBorder="1"/>
    <xf numFmtId="10" fontId="36" fillId="0" borderId="28" xfId="0" applyNumberFormat="1" applyFont="1" applyFill="1" applyBorder="1"/>
    <xf numFmtId="0" fontId="1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1" fillId="0" borderId="0" xfId="0" applyFont="1" applyAlignment="1"/>
    <xf numFmtId="0" fontId="47" fillId="0" borderId="0" xfId="0" applyFont="1" applyFill="1" applyBorder="1" applyAlignment="1"/>
    <xf numFmtId="10" fontId="4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167" fontId="18" fillId="0" borderId="0" xfId="0" applyNumberFormat="1" applyFont="1" applyBorder="1" applyAlignment="1">
      <alignment horizontal="right" vertical="center"/>
    </xf>
    <xf numFmtId="164" fontId="18" fillId="0" borderId="0" xfId="0" applyNumberFormat="1" applyFont="1" applyBorder="1" applyAlignment="1">
      <alignment horizontal="right" vertical="center"/>
    </xf>
    <xf numFmtId="165" fontId="13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9" fontId="10" fillId="0" borderId="0" xfId="0" applyNumberFormat="1" applyFont="1" applyAlignment="1">
      <alignment horizontal="right" vertical="center"/>
    </xf>
    <xf numFmtId="166" fontId="9" fillId="0" borderId="0" xfId="0" applyNumberFormat="1" applyFont="1" applyBorder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13" fillId="0" borderId="0" xfId="0" applyFont="1" applyBorder="1" applyAlignment="1">
      <alignment horizontal="center" vertical="center"/>
    </xf>
    <xf numFmtId="10" fontId="19" fillId="0" borderId="0" xfId="0" applyNumberFormat="1" applyFont="1" applyBorder="1"/>
    <xf numFmtId="165" fontId="13" fillId="4" borderId="5" xfId="0" applyNumberFormat="1" applyFont="1" applyFill="1" applyBorder="1" applyAlignment="1">
      <alignment horizontal="center" vertical="center"/>
    </xf>
    <xf numFmtId="165" fontId="13" fillId="4" borderId="7" xfId="0" applyNumberFormat="1" applyFont="1" applyFill="1" applyBorder="1" applyAlignment="1">
      <alignment horizontal="center" vertical="center"/>
    </xf>
    <xf numFmtId="165" fontId="13" fillId="4" borderId="3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10" fontId="9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5" fontId="13" fillId="4" borderId="9" xfId="0" applyNumberFormat="1" applyFont="1" applyFill="1" applyBorder="1" applyAlignment="1">
      <alignment horizontal="center" vertical="center"/>
    </xf>
    <xf numFmtId="165" fontId="13" fillId="4" borderId="4" xfId="0" applyNumberFormat="1" applyFont="1" applyFill="1" applyBorder="1" applyAlignment="1">
      <alignment horizontal="center" vertical="center"/>
    </xf>
    <xf numFmtId="9" fontId="13" fillId="4" borderId="26" xfId="0" applyNumberFormat="1" applyFont="1" applyFill="1" applyBorder="1" applyAlignment="1">
      <alignment horizontal="center" vertical="center"/>
    </xf>
    <xf numFmtId="165" fontId="13" fillId="4" borderId="20" xfId="0" applyNumberFormat="1" applyFont="1" applyFill="1" applyBorder="1" applyAlignment="1">
      <alignment horizontal="center" vertical="center"/>
    </xf>
    <xf numFmtId="9" fontId="13" fillId="4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5" fontId="10" fillId="0" borderId="1" xfId="0" applyNumberFormat="1" applyFont="1" applyBorder="1" applyAlignment="1">
      <alignment horizontal="right" vertical="center"/>
    </xf>
    <xf numFmtId="165" fontId="10" fillId="0" borderId="14" xfId="0" applyNumberFormat="1" applyFont="1" applyBorder="1" applyAlignment="1">
      <alignment horizontal="right" vertical="center"/>
    </xf>
    <xf numFmtId="165" fontId="10" fillId="0" borderId="24" xfId="0" applyNumberFormat="1" applyFont="1" applyBorder="1" applyAlignment="1">
      <alignment horizontal="right" vertical="center"/>
    </xf>
    <xf numFmtId="9" fontId="10" fillId="0" borderId="1" xfId="0" applyNumberFormat="1" applyFont="1" applyBorder="1" applyAlignment="1">
      <alignment horizontal="right" vertical="center"/>
    </xf>
    <xf numFmtId="9" fontId="9" fillId="0" borderId="14" xfId="0" applyNumberFormat="1" applyFont="1" applyBorder="1" applyAlignment="1">
      <alignment horizontal="right" vertical="center"/>
    </xf>
    <xf numFmtId="9" fontId="10" fillId="0" borderId="14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 wrapText="1"/>
    </xf>
    <xf numFmtId="166" fontId="9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/>
    </xf>
    <xf numFmtId="9" fontId="13" fillId="4" borderId="2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0" fontId="9" fillId="0" borderId="0" xfId="0" applyNumberFormat="1" applyFont="1" applyBorder="1" applyAlignment="1">
      <alignment vertical="center"/>
    </xf>
    <xf numFmtId="10" fontId="10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10" fontId="10" fillId="0" borderId="0" xfId="0" applyNumberFormat="1" applyFont="1" applyBorder="1" applyAlignment="1">
      <alignment vertical="center" wrapText="1"/>
    </xf>
    <xf numFmtId="10" fontId="9" fillId="0" borderId="0" xfId="0" applyNumberFormat="1" applyFont="1" applyBorder="1" applyAlignment="1"/>
    <xf numFmtId="0" fontId="9" fillId="0" borderId="0" xfId="0" applyNumberFormat="1" applyFont="1" applyBorder="1"/>
    <xf numFmtId="0" fontId="9" fillId="0" borderId="0" xfId="0" applyFont="1" applyBorder="1" applyAlignment="1"/>
    <xf numFmtId="165" fontId="13" fillId="4" borderId="11" xfId="0" applyNumberFormat="1" applyFont="1" applyFill="1" applyBorder="1" applyAlignment="1">
      <alignment horizontal="center" vertical="center"/>
    </xf>
    <xf numFmtId="165" fontId="13" fillId="4" borderId="6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165" fontId="14" fillId="4" borderId="33" xfId="0" applyNumberFormat="1" applyFont="1" applyFill="1" applyBorder="1" applyAlignment="1">
      <alignment horizontal="right" vertical="center"/>
    </xf>
    <xf numFmtId="165" fontId="14" fillId="4" borderId="63" xfId="0" applyNumberFormat="1" applyFont="1" applyFill="1" applyBorder="1" applyAlignment="1">
      <alignment horizontal="right" vertical="center"/>
    </xf>
    <xf numFmtId="165" fontId="14" fillId="4" borderId="23" xfId="0" applyNumberFormat="1" applyFont="1" applyFill="1" applyBorder="1" applyAlignment="1">
      <alignment horizontal="right" vertical="center"/>
    </xf>
    <xf numFmtId="9" fontId="14" fillId="4" borderId="33" xfId="0" applyNumberFormat="1" applyFont="1" applyFill="1" applyBorder="1" applyAlignment="1">
      <alignment horizontal="right" vertical="center"/>
    </xf>
    <xf numFmtId="9" fontId="14" fillId="4" borderId="39" xfId="0" applyNumberFormat="1" applyFont="1" applyFill="1" applyBorder="1" applyAlignment="1">
      <alignment horizontal="right" vertical="center"/>
    </xf>
    <xf numFmtId="165" fontId="14" fillId="4" borderId="38" xfId="0" applyNumberFormat="1" applyFont="1" applyFill="1" applyBorder="1" applyAlignment="1">
      <alignment horizontal="right" vertical="center"/>
    </xf>
    <xf numFmtId="165" fontId="14" fillId="4" borderId="39" xfId="0" applyNumberFormat="1" applyFont="1" applyFill="1" applyBorder="1" applyAlignment="1">
      <alignment horizontal="right" vertical="center"/>
    </xf>
    <xf numFmtId="165" fontId="14" fillId="4" borderId="0" xfId="0" applyNumberFormat="1" applyFont="1" applyFill="1" applyBorder="1" applyAlignment="1">
      <alignment horizontal="right" vertical="center"/>
    </xf>
    <xf numFmtId="9" fontId="14" fillId="4" borderId="38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10" fillId="0" borderId="5" xfId="0" applyNumberFormat="1" applyFont="1" applyFill="1" applyBorder="1" applyAlignment="1">
      <alignment horizontal="right" vertical="center"/>
    </xf>
    <xf numFmtId="165" fontId="10" fillId="0" borderId="3" xfId="0" applyNumberFormat="1" applyFont="1" applyFill="1" applyBorder="1" applyAlignment="1">
      <alignment horizontal="right" vertical="center"/>
    </xf>
    <xf numFmtId="9" fontId="10" fillId="0" borderId="5" xfId="0" applyNumberFormat="1" applyFont="1" applyFill="1" applyBorder="1" applyAlignment="1">
      <alignment horizontal="right" vertical="center"/>
    </xf>
    <xf numFmtId="165" fontId="10" fillId="0" borderId="29" xfId="0" applyNumberFormat="1" applyFont="1" applyFill="1" applyBorder="1" applyAlignment="1">
      <alignment horizontal="right" vertical="center"/>
    </xf>
    <xf numFmtId="165" fontId="10" fillId="0" borderId="25" xfId="0" applyNumberFormat="1" applyFont="1" applyFill="1" applyBorder="1" applyAlignment="1">
      <alignment horizontal="right" vertical="center"/>
    </xf>
    <xf numFmtId="9" fontId="10" fillId="0" borderId="29" xfId="0" applyNumberFormat="1" applyFont="1" applyFill="1" applyBorder="1" applyAlignment="1">
      <alignment horizontal="right" vertical="center"/>
    </xf>
    <xf numFmtId="9" fontId="10" fillId="0" borderId="25" xfId="0" applyNumberFormat="1" applyFont="1" applyFill="1" applyBorder="1" applyAlignment="1">
      <alignment horizontal="right" vertical="center"/>
    </xf>
    <xf numFmtId="165" fontId="10" fillId="0" borderId="7" xfId="0" applyNumberFormat="1" applyFont="1" applyFill="1" applyBorder="1" applyAlignment="1">
      <alignment horizontal="right" vertical="center"/>
    </xf>
    <xf numFmtId="165" fontId="10" fillId="0" borderId="43" xfId="0" applyNumberFormat="1" applyFont="1" applyFill="1" applyBorder="1" applyAlignment="1">
      <alignment horizontal="right" vertical="center"/>
    </xf>
    <xf numFmtId="165" fontId="10" fillId="0" borderId="44" xfId="0" applyNumberFormat="1" applyFont="1" applyFill="1" applyBorder="1" applyAlignment="1">
      <alignment horizontal="right" vertical="center"/>
    </xf>
    <xf numFmtId="165" fontId="10" fillId="0" borderId="6" xfId="0" applyNumberFormat="1" applyFont="1" applyFill="1" applyBorder="1" applyAlignment="1">
      <alignment horizontal="right" vertical="center"/>
    </xf>
    <xf numFmtId="165" fontId="10" fillId="0" borderId="28" xfId="0" applyNumberFormat="1" applyFont="1" applyFill="1" applyBorder="1" applyAlignment="1">
      <alignment horizontal="right" vertical="center"/>
    </xf>
    <xf numFmtId="165" fontId="10" fillId="0" borderId="31" xfId="0" applyNumberFormat="1" applyFont="1" applyFill="1" applyBorder="1" applyAlignment="1">
      <alignment horizontal="right" vertical="center"/>
    </xf>
    <xf numFmtId="9" fontId="10" fillId="0" borderId="6" xfId="0" applyNumberFormat="1" applyFont="1" applyFill="1" applyBorder="1" applyAlignment="1">
      <alignment horizontal="right" vertical="center"/>
    </xf>
    <xf numFmtId="165" fontId="10" fillId="0" borderId="27" xfId="0" applyNumberFormat="1" applyFont="1" applyFill="1" applyBorder="1" applyAlignment="1">
      <alignment horizontal="right" vertical="center"/>
    </xf>
    <xf numFmtId="9" fontId="10" fillId="0" borderId="31" xfId="0" applyNumberFormat="1" applyFont="1" applyFill="1" applyBorder="1" applyAlignment="1">
      <alignment horizontal="right" vertical="center"/>
    </xf>
    <xf numFmtId="9" fontId="10" fillId="0" borderId="27" xfId="0" applyNumberFormat="1" applyFont="1" applyFill="1" applyBorder="1" applyAlignment="1">
      <alignment horizontal="right" vertical="center"/>
    </xf>
    <xf numFmtId="165" fontId="10" fillId="0" borderId="8" xfId="0" applyNumberFormat="1" applyFont="1" applyFill="1" applyBorder="1" applyAlignment="1">
      <alignment horizontal="right" vertical="center"/>
    </xf>
    <xf numFmtId="165" fontId="10" fillId="0" borderId="41" xfId="0" applyNumberFormat="1" applyFont="1" applyFill="1" applyBorder="1" applyAlignment="1">
      <alignment horizontal="right" vertical="center"/>
    </xf>
    <xf numFmtId="165" fontId="10" fillId="0" borderId="45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165" fontId="10" fillId="0" borderId="20" xfId="0" applyNumberFormat="1" applyFont="1" applyFill="1" applyBorder="1" applyAlignment="1">
      <alignment horizontal="right" vertical="center"/>
    </xf>
    <xf numFmtId="165" fontId="10" fillId="0" borderId="4" xfId="0" applyNumberFormat="1" applyFont="1" applyFill="1" applyBorder="1" applyAlignment="1">
      <alignment horizontal="right" vertical="center"/>
    </xf>
    <xf numFmtId="165" fontId="10" fillId="0" borderId="30" xfId="0" applyNumberFormat="1" applyFont="1" applyFill="1" applyBorder="1" applyAlignment="1">
      <alignment horizontal="right" vertical="center"/>
    </xf>
    <xf numFmtId="9" fontId="10" fillId="0" borderId="20" xfId="0" applyNumberFormat="1" applyFont="1" applyFill="1" applyBorder="1" applyAlignment="1">
      <alignment horizontal="right" vertical="center"/>
    </xf>
    <xf numFmtId="165" fontId="10" fillId="0" borderId="26" xfId="0" applyNumberFormat="1" applyFont="1" applyFill="1" applyBorder="1" applyAlignment="1">
      <alignment horizontal="right" vertical="center"/>
    </xf>
    <xf numFmtId="9" fontId="10" fillId="0" borderId="30" xfId="0" applyNumberFormat="1" applyFont="1" applyFill="1" applyBorder="1" applyAlignment="1">
      <alignment horizontal="right" vertical="center"/>
    </xf>
    <xf numFmtId="9" fontId="10" fillId="0" borderId="26" xfId="0" applyNumberFormat="1" applyFont="1" applyFill="1" applyBorder="1" applyAlignment="1">
      <alignment horizontal="right" vertical="center"/>
    </xf>
    <xf numFmtId="165" fontId="10" fillId="0" borderId="9" xfId="0" applyNumberFormat="1" applyFont="1" applyFill="1" applyBorder="1" applyAlignment="1">
      <alignment horizontal="right" vertical="center"/>
    </xf>
    <xf numFmtId="165" fontId="10" fillId="0" borderId="60" xfId="0" applyNumberFormat="1" applyFont="1" applyFill="1" applyBorder="1" applyAlignment="1">
      <alignment horizontal="right" vertical="center"/>
    </xf>
    <xf numFmtId="165" fontId="10" fillId="0" borderId="5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66" fontId="9" fillId="0" borderId="5" xfId="0" applyNumberFormat="1" applyFont="1" applyBorder="1"/>
    <xf numFmtId="166" fontId="9" fillId="0" borderId="20" xfId="0" applyNumberFormat="1" applyFont="1" applyBorder="1"/>
    <xf numFmtId="0" fontId="9" fillId="0" borderId="4" xfId="0" applyFont="1" applyBorder="1"/>
    <xf numFmtId="166" fontId="0" fillId="0" borderId="5" xfId="0" applyNumberFormat="1" applyFont="1" applyBorder="1"/>
    <xf numFmtId="166" fontId="0" fillId="0" borderId="20" xfId="0" applyNumberFormat="1" applyFont="1" applyBorder="1"/>
    <xf numFmtId="0" fontId="0" fillId="0" borderId="4" xfId="0" applyFont="1" applyBorder="1"/>
    <xf numFmtId="0" fontId="9" fillId="0" borderId="34" xfId="0" applyFont="1" applyBorder="1"/>
    <xf numFmtId="0" fontId="0" fillId="0" borderId="0" xfId="0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165" fontId="19" fillId="5" borderId="10" xfId="0" applyNumberFormat="1" applyFont="1" applyFill="1" applyBorder="1" applyAlignment="1">
      <alignment horizontal="center" vertical="center"/>
    </xf>
    <xf numFmtId="165" fontId="19" fillId="0" borderId="3" xfId="0" applyNumberFormat="1" applyFont="1" applyBorder="1" applyAlignment="1">
      <alignment horizontal="left" vertical="center"/>
    </xf>
    <xf numFmtId="165" fontId="19" fillId="0" borderId="1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10" fontId="9" fillId="0" borderId="69" xfId="0" applyNumberFormat="1" applyFont="1" applyBorder="1" applyAlignment="1">
      <alignment horizontal="center" vertical="center"/>
    </xf>
    <xf numFmtId="10" fontId="9" fillId="0" borderId="68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9" fillId="0" borderId="4" xfId="0" applyNumberFormat="1" applyFont="1" applyBorder="1" applyAlignment="1">
      <alignment horizontal="center" vertical="center"/>
    </xf>
    <xf numFmtId="0" fontId="0" fillId="0" borderId="9" xfId="0" applyBorder="1"/>
    <xf numFmtId="10" fontId="0" fillId="0" borderId="60" xfId="0" applyNumberFormat="1" applyBorder="1"/>
    <xf numFmtId="0" fontId="0" fillId="0" borderId="70" xfId="0" applyBorder="1"/>
    <xf numFmtId="10" fontId="0" fillId="0" borderId="46" xfId="0" applyNumberFormat="1" applyFont="1" applyBorder="1"/>
    <xf numFmtId="0" fontId="8" fillId="0" borderId="6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10" fontId="17" fillId="0" borderId="27" xfId="0" applyNumberFormat="1" applyFont="1" applyBorder="1" applyAlignment="1">
      <alignment horizontal="right" vertical="center"/>
    </xf>
    <xf numFmtId="10" fontId="17" fillId="0" borderId="26" xfId="0" applyNumberFormat="1" applyFont="1" applyBorder="1" applyAlignment="1">
      <alignment horizontal="right" vertical="center"/>
    </xf>
    <xf numFmtId="10" fontId="17" fillId="0" borderId="28" xfId="0" applyNumberFormat="1" applyFont="1" applyBorder="1" applyAlignment="1">
      <alignment horizontal="right" vertical="center"/>
    </xf>
    <xf numFmtId="10" fontId="17" fillId="0" borderId="4" xfId="0" applyNumberFormat="1" applyFont="1" applyBorder="1" applyAlignment="1">
      <alignment horizontal="right" vertical="center"/>
    </xf>
    <xf numFmtId="0" fontId="8" fillId="0" borderId="71" xfId="0" applyFont="1" applyBorder="1" applyAlignment="1">
      <alignment horizontal="left" vertical="center"/>
    </xf>
    <xf numFmtId="10" fontId="17" fillId="0" borderId="68" xfId="0" applyNumberFormat="1" applyFont="1" applyBorder="1" applyAlignment="1">
      <alignment horizontal="right" vertical="center"/>
    </xf>
    <xf numFmtId="10" fontId="17" fillId="0" borderId="3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10" fontId="0" fillId="0" borderId="4" xfId="0" applyNumberFormat="1" applyFont="1" applyBorder="1"/>
    <xf numFmtId="0" fontId="8" fillId="0" borderId="69" xfId="0" applyFont="1" applyBorder="1" applyAlignment="1">
      <alignment horizontal="left" vertical="center"/>
    </xf>
    <xf numFmtId="10" fontId="0" fillId="0" borderId="72" xfId="0" applyNumberFormat="1" applyFont="1" applyBorder="1"/>
    <xf numFmtId="10" fontId="0" fillId="0" borderId="67" xfId="0" applyNumberFormat="1" applyBorder="1"/>
    <xf numFmtId="0" fontId="8" fillId="0" borderId="73" xfId="0" applyFont="1" applyBorder="1" applyAlignment="1">
      <alignment horizontal="left" vertical="center"/>
    </xf>
    <xf numFmtId="10" fontId="17" fillId="0" borderId="62" xfId="0" applyNumberFormat="1" applyFont="1" applyBorder="1" applyAlignment="1">
      <alignment horizontal="right" vertical="center"/>
    </xf>
    <xf numFmtId="10" fontId="17" fillId="0" borderId="65" xfId="0" applyNumberFormat="1" applyFont="1" applyBorder="1" applyAlignment="1">
      <alignment horizontal="right" vertical="center"/>
    </xf>
    <xf numFmtId="10" fontId="0" fillId="0" borderId="3" xfId="0" applyNumberFormat="1" applyFont="1" applyBorder="1"/>
    <xf numFmtId="10" fontId="0" fillId="0" borderId="25" xfId="0" applyNumberFormat="1" applyFont="1" applyBorder="1"/>
    <xf numFmtId="0" fontId="0" fillId="0" borderId="5" xfId="0" applyFill="1" applyBorder="1"/>
    <xf numFmtId="0" fontId="0" fillId="0" borderId="20" xfId="0" applyFont="1" applyFill="1" applyBorder="1"/>
    <xf numFmtId="0" fontId="48" fillId="0" borderId="37" xfId="0" applyFont="1" applyBorder="1"/>
    <xf numFmtId="0" fontId="51" fillId="0" borderId="37" xfId="0" applyFont="1" applyBorder="1"/>
    <xf numFmtId="0" fontId="51" fillId="0" borderId="37" xfId="0" applyFont="1" applyBorder="1" applyAlignment="1">
      <alignment horizontal="left"/>
    </xf>
    <xf numFmtId="0" fontId="52" fillId="0" borderId="37" xfId="0" applyFont="1" applyBorder="1" applyAlignment="1">
      <alignment horizontal="left"/>
    </xf>
    <xf numFmtId="0" fontId="49" fillId="8" borderId="0" xfId="0" applyFont="1" applyFill="1" applyAlignment="1">
      <alignment horizontal="center" vertical="center"/>
    </xf>
    <xf numFmtId="0" fontId="49" fillId="9" borderId="0" xfId="0" applyFont="1" applyFill="1" applyAlignment="1">
      <alignment horizontal="center" vertical="center"/>
    </xf>
    <xf numFmtId="0" fontId="49" fillId="10" borderId="0" xfId="0" applyFont="1" applyFill="1" applyAlignment="1">
      <alignment horizontal="center" vertical="center"/>
    </xf>
    <xf numFmtId="0" fontId="0" fillId="0" borderId="0" xfId="0" applyFill="1"/>
    <xf numFmtId="0" fontId="53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6" fontId="43" fillId="0" borderId="44" xfId="0" applyNumberFormat="1" applyFont="1" applyFill="1" applyBorder="1" applyAlignment="1">
      <alignment horizontal="right" vertical="center"/>
    </xf>
    <xf numFmtId="166" fontId="43" fillId="0" borderId="46" xfId="0" applyNumberFormat="1" applyFont="1" applyFill="1" applyBorder="1" applyAlignment="1">
      <alignment horizontal="right" vertical="center"/>
    </xf>
    <xf numFmtId="10" fontId="43" fillId="0" borderId="46" xfId="0" applyNumberFormat="1" applyFont="1" applyFill="1" applyBorder="1" applyAlignment="1">
      <alignment horizontal="right" vertical="center"/>
    </xf>
    <xf numFmtId="166" fontId="45" fillId="0" borderId="43" xfId="0" applyNumberFormat="1" applyFont="1" applyFill="1" applyBorder="1" applyAlignment="1">
      <alignment horizontal="right" vertical="center"/>
    </xf>
    <xf numFmtId="166" fontId="45" fillId="0" borderId="44" xfId="0" applyNumberFormat="1" applyFont="1" applyFill="1" applyBorder="1" applyAlignment="1">
      <alignment horizontal="right" vertical="center"/>
    </xf>
    <xf numFmtId="0" fontId="44" fillId="0" borderId="60" xfId="0" applyFont="1" applyFill="1" applyBorder="1" applyAlignment="1">
      <alignment horizontal="center" vertical="center" wrapText="1"/>
    </xf>
    <xf numFmtId="166" fontId="44" fillId="0" borderId="60" xfId="0" applyNumberFormat="1" applyFont="1" applyFill="1" applyBorder="1" applyAlignment="1">
      <alignment horizontal="center" vertical="center" wrapText="1"/>
    </xf>
    <xf numFmtId="10" fontId="44" fillId="0" borderId="60" xfId="0" applyNumberFormat="1" applyFont="1" applyFill="1" applyBorder="1" applyAlignment="1">
      <alignment horizontal="center" vertical="center" wrapText="1"/>
    </xf>
    <xf numFmtId="166" fontId="45" fillId="0" borderId="60" xfId="0" applyNumberFormat="1" applyFont="1" applyFill="1" applyBorder="1" applyAlignment="1">
      <alignment horizontal="center" vertical="center" wrapText="1"/>
    </xf>
    <xf numFmtId="166" fontId="45" fillId="0" borderId="52" xfId="0" applyNumberFormat="1" applyFont="1" applyFill="1" applyBorder="1" applyAlignment="1">
      <alignment horizontal="center" vertical="center" wrapText="1"/>
    </xf>
    <xf numFmtId="166" fontId="45" fillId="0" borderId="54" xfId="0" applyNumberFormat="1" applyFont="1" applyFill="1" applyBorder="1" applyAlignment="1">
      <alignment horizontal="right" vertical="center"/>
    </xf>
    <xf numFmtId="0" fontId="44" fillId="0" borderId="61" xfId="0" applyFont="1" applyFill="1" applyBorder="1" applyAlignment="1">
      <alignment horizontal="center" vertical="center" wrapText="1"/>
    </xf>
    <xf numFmtId="166" fontId="44" fillId="0" borderId="7" xfId="0" applyNumberFormat="1" applyFont="1" applyFill="1" applyBorder="1" applyAlignment="1">
      <alignment horizontal="right" vertical="center"/>
    </xf>
    <xf numFmtId="166" fontId="44" fillId="0" borderId="43" xfId="0" applyNumberFormat="1" applyFont="1" applyFill="1" applyBorder="1" applyAlignment="1">
      <alignment horizontal="right" vertical="center"/>
    </xf>
    <xf numFmtId="10" fontId="44" fillId="0" borderId="43" xfId="0" applyNumberFormat="1" applyFont="1" applyFill="1" applyBorder="1" applyAlignment="1">
      <alignment horizontal="right" vertical="center"/>
    </xf>
    <xf numFmtId="166" fontId="44" fillId="0" borderId="54" xfId="0" applyNumberFormat="1" applyFont="1" applyFill="1" applyBorder="1" applyAlignment="1">
      <alignment horizontal="right" vertical="center"/>
    </xf>
    <xf numFmtId="166" fontId="46" fillId="0" borderId="46" xfId="0" applyNumberFormat="1" applyFont="1" applyFill="1" applyBorder="1" applyAlignment="1">
      <alignment horizontal="right" vertical="center"/>
    </xf>
    <xf numFmtId="166" fontId="46" fillId="0" borderId="72" xfId="0" applyNumberFormat="1" applyFont="1" applyFill="1" applyBorder="1" applyAlignment="1">
      <alignment horizontal="right" vertical="center"/>
    </xf>
    <xf numFmtId="166" fontId="44" fillId="0" borderId="9" xfId="0" applyNumberFormat="1" applyFont="1" applyFill="1" applyBorder="1" applyAlignment="1">
      <alignment horizontal="center" vertical="center" wrapText="1"/>
    </xf>
    <xf numFmtId="0" fontId="44" fillId="0" borderId="74" xfId="0" applyFont="1" applyFill="1" applyBorder="1" applyAlignment="1">
      <alignment horizontal="center" vertical="center" wrapText="1"/>
    </xf>
    <xf numFmtId="0" fontId="44" fillId="0" borderId="75" xfId="0" applyFont="1" applyFill="1" applyBorder="1" applyAlignment="1">
      <alignment horizontal="center" vertical="center" wrapText="1"/>
    </xf>
    <xf numFmtId="166" fontId="44" fillId="0" borderId="75" xfId="0" applyNumberFormat="1" applyFont="1" applyFill="1" applyBorder="1" applyAlignment="1">
      <alignment horizontal="center" vertical="center" wrapText="1"/>
    </xf>
    <xf numFmtId="10" fontId="44" fillId="0" borderId="75" xfId="0" applyNumberFormat="1" applyFont="1" applyFill="1" applyBorder="1" applyAlignment="1">
      <alignment horizontal="center" vertical="center" wrapText="1"/>
    </xf>
    <xf numFmtId="166" fontId="45" fillId="0" borderId="75" xfId="0" applyNumberFormat="1" applyFont="1" applyFill="1" applyBorder="1" applyAlignment="1">
      <alignment horizontal="center" vertical="center" wrapText="1"/>
    </xf>
    <xf numFmtId="166" fontId="45" fillId="0" borderId="55" xfId="0" applyNumberFormat="1" applyFont="1" applyFill="1" applyBorder="1" applyAlignment="1">
      <alignment horizontal="center" vertical="center" wrapText="1"/>
    </xf>
    <xf numFmtId="166" fontId="43" fillId="0" borderId="48" xfId="0" applyNumberFormat="1" applyFont="1" applyFill="1" applyBorder="1" applyAlignment="1">
      <alignment horizontal="right" vertical="center"/>
    </xf>
    <xf numFmtId="166" fontId="43" fillId="0" borderId="47" xfId="0" applyNumberFormat="1" applyFont="1" applyFill="1" applyBorder="1" applyAlignment="1">
      <alignment horizontal="right" vertical="center"/>
    </xf>
    <xf numFmtId="166" fontId="43" fillId="0" borderId="16" xfId="0" applyNumberFormat="1" applyFont="1" applyFill="1" applyBorder="1" applyAlignment="1">
      <alignment horizontal="right" vertical="center"/>
    </xf>
    <xf numFmtId="166" fontId="43" fillId="0" borderId="17" xfId="0" applyNumberFormat="1" applyFont="1" applyFill="1" applyBorder="1" applyAlignment="1">
      <alignment horizontal="right" vertical="center"/>
    </xf>
    <xf numFmtId="10" fontId="45" fillId="0" borderId="43" xfId="0" applyNumberFormat="1" applyFont="1" applyFill="1" applyBorder="1" applyAlignment="1">
      <alignment horizontal="right" vertical="center"/>
    </xf>
    <xf numFmtId="166" fontId="43" fillId="0" borderId="48" xfId="0" applyNumberFormat="1" applyFont="1" applyFill="1" applyBorder="1" applyAlignment="1">
      <alignment vertical="center"/>
    </xf>
    <xf numFmtId="166" fontId="43" fillId="0" borderId="46" xfId="0" applyNumberFormat="1" applyFont="1" applyFill="1" applyBorder="1" applyAlignment="1">
      <alignment vertical="center"/>
    </xf>
    <xf numFmtId="10" fontId="43" fillId="0" borderId="46" xfId="0" applyNumberFormat="1" applyFont="1" applyFill="1" applyBorder="1" applyAlignment="1">
      <alignment vertical="center"/>
    </xf>
    <xf numFmtId="166" fontId="46" fillId="0" borderId="46" xfId="0" applyNumberFormat="1" applyFont="1" applyFill="1" applyBorder="1" applyAlignment="1">
      <alignment vertical="center"/>
    </xf>
    <xf numFmtId="166" fontId="46" fillId="0" borderId="72" xfId="0" applyNumberFormat="1" applyFont="1" applyFill="1" applyBorder="1" applyAlignment="1">
      <alignment vertical="center"/>
    </xf>
    <xf numFmtId="166" fontId="43" fillId="0" borderId="7" xfId="0" applyNumberFormat="1" applyFont="1" applyFill="1" applyBorder="1" applyAlignment="1">
      <alignment vertical="center"/>
    </xf>
    <xf numFmtId="166" fontId="43" fillId="0" borderId="43" xfId="0" applyNumberFormat="1" applyFont="1" applyFill="1" applyBorder="1" applyAlignment="1">
      <alignment vertical="center"/>
    </xf>
    <xf numFmtId="10" fontId="43" fillId="0" borderId="43" xfId="0" applyNumberFormat="1" applyFont="1" applyFill="1" applyBorder="1" applyAlignment="1">
      <alignment vertical="center"/>
    </xf>
    <xf numFmtId="166" fontId="46" fillId="0" borderId="43" xfId="0" applyNumberFormat="1" applyFont="1" applyFill="1" applyBorder="1" applyAlignment="1">
      <alignment vertical="center"/>
    </xf>
    <xf numFmtId="166" fontId="46" fillId="0" borderId="44" xfId="0" applyNumberFormat="1" applyFont="1" applyFill="1" applyBorder="1" applyAlignment="1">
      <alignment vertical="center"/>
    </xf>
    <xf numFmtId="166" fontId="46" fillId="0" borderId="54" xfId="0" applyNumberFormat="1" applyFont="1" applyFill="1" applyBorder="1" applyAlignment="1">
      <alignment vertical="center"/>
    </xf>
    <xf numFmtId="166" fontId="43" fillId="0" borderId="44" xfId="0" applyNumberFormat="1" applyFont="1" applyFill="1" applyBorder="1" applyAlignment="1">
      <alignment vertical="center"/>
    </xf>
    <xf numFmtId="166" fontId="43" fillId="0" borderId="49" xfId="0" applyNumberFormat="1" applyFont="1" applyFill="1" applyBorder="1" applyAlignment="1">
      <alignment vertical="center"/>
    </xf>
    <xf numFmtId="166" fontId="43" fillId="0" borderId="41" xfId="0" applyNumberFormat="1" applyFont="1" applyFill="1" applyBorder="1" applyAlignment="1">
      <alignment vertical="center"/>
    </xf>
    <xf numFmtId="10" fontId="43" fillId="0" borderId="41" xfId="0" applyNumberFormat="1" applyFont="1" applyFill="1" applyBorder="1" applyAlignment="1">
      <alignment vertical="center"/>
    </xf>
    <xf numFmtId="166" fontId="46" fillId="0" borderId="41" xfId="0" applyNumberFormat="1" applyFont="1" applyFill="1" applyBorder="1" applyAlignment="1">
      <alignment vertical="center"/>
    </xf>
    <xf numFmtId="166" fontId="46" fillId="0" borderId="50" xfId="0" applyNumberFormat="1" applyFont="1" applyFill="1" applyBorder="1" applyAlignment="1">
      <alignment vertical="center"/>
    </xf>
    <xf numFmtId="166" fontId="43" fillId="0" borderId="8" xfId="0" applyNumberFormat="1" applyFont="1" applyFill="1" applyBorder="1" applyAlignment="1">
      <alignment vertical="center"/>
    </xf>
    <xf numFmtId="166" fontId="46" fillId="0" borderId="45" xfId="0" applyNumberFormat="1" applyFont="1" applyFill="1" applyBorder="1" applyAlignment="1">
      <alignment vertical="center"/>
    </xf>
    <xf numFmtId="166" fontId="46" fillId="0" borderId="49" xfId="0" applyNumberFormat="1" applyFont="1" applyFill="1" applyBorder="1" applyAlignment="1">
      <alignment vertical="center"/>
    </xf>
    <xf numFmtId="166" fontId="43" fillId="0" borderId="47" xfId="0" applyNumberFormat="1" applyFont="1" applyFill="1" applyBorder="1" applyAlignment="1">
      <alignment vertical="center"/>
    </xf>
    <xf numFmtId="166" fontId="43" fillId="0" borderId="61" xfId="0" applyNumberFormat="1" applyFont="1" applyFill="1" applyBorder="1" applyAlignment="1">
      <alignment vertical="center"/>
    </xf>
    <xf numFmtId="166" fontId="43" fillId="0" borderId="60" xfId="0" applyNumberFormat="1" applyFont="1" applyFill="1" applyBorder="1" applyAlignment="1">
      <alignment vertical="center"/>
    </xf>
    <xf numFmtId="10" fontId="43" fillId="0" borderId="60" xfId="0" applyNumberFormat="1" applyFont="1" applyFill="1" applyBorder="1" applyAlignment="1">
      <alignment vertical="center"/>
    </xf>
    <xf numFmtId="166" fontId="46" fillId="0" borderId="60" xfId="0" applyNumberFormat="1" applyFont="1" applyFill="1" applyBorder="1" applyAlignment="1">
      <alignment vertical="center"/>
    </xf>
    <xf numFmtId="166" fontId="46" fillId="0" borderId="67" xfId="0" applyNumberFormat="1" applyFont="1" applyFill="1" applyBorder="1" applyAlignment="1">
      <alignment vertical="center"/>
    </xf>
    <xf numFmtId="166" fontId="43" fillId="0" borderId="9" xfId="0" applyNumberFormat="1" applyFont="1" applyFill="1" applyBorder="1" applyAlignment="1">
      <alignment vertical="center"/>
    </xf>
    <xf numFmtId="166" fontId="46" fillId="0" borderId="52" xfId="0" applyNumberFormat="1" applyFont="1" applyFill="1" applyBorder="1" applyAlignment="1">
      <alignment vertical="center"/>
    </xf>
    <xf numFmtId="166" fontId="46" fillId="0" borderId="61" xfId="0" applyNumberFormat="1" applyFont="1" applyFill="1" applyBorder="1" applyAlignment="1">
      <alignment vertical="center"/>
    </xf>
    <xf numFmtId="166" fontId="43" fillId="0" borderId="16" xfId="0" applyNumberFormat="1" applyFont="1" applyFill="1" applyBorder="1" applyAlignment="1">
      <alignment vertical="center"/>
    </xf>
    <xf numFmtId="166" fontId="43" fillId="0" borderId="17" xfId="0" applyNumberFormat="1" applyFont="1" applyFill="1" applyBorder="1" applyAlignment="1">
      <alignment vertical="center"/>
    </xf>
    <xf numFmtId="0" fontId="44" fillId="0" borderId="62" xfId="0" applyFont="1" applyFill="1" applyBorder="1" applyAlignment="1">
      <alignment horizontal="left"/>
    </xf>
    <xf numFmtId="166" fontId="43" fillId="0" borderId="78" xfId="0" applyNumberFormat="1" applyFont="1" applyFill="1" applyBorder="1" applyAlignment="1">
      <alignment horizontal="right" vertical="center"/>
    </xf>
    <xf numFmtId="166" fontId="43" fillId="0" borderId="75" xfId="0" applyNumberFormat="1" applyFont="1" applyFill="1" applyBorder="1" applyAlignment="1">
      <alignment horizontal="right" vertical="center"/>
    </xf>
    <xf numFmtId="10" fontId="43" fillId="0" borderId="75" xfId="0" applyNumberFormat="1" applyFont="1" applyFill="1" applyBorder="1" applyAlignment="1">
      <alignment horizontal="right" vertical="center"/>
    </xf>
    <xf numFmtId="0" fontId="44" fillId="13" borderId="14" xfId="0" applyFont="1" applyFill="1" applyBorder="1" applyAlignment="1">
      <alignment horizontal="center" vertical="center"/>
    </xf>
    <xf numFmtId="166" fontId="43" fillId="13" borderId="2" xfId="0" applyNumberFormat="1" applyFont="1" applyFill="1" applyBorder="1"/>
    <xf numFmtId="166" fontId="43" fillId="13" borderId="12" xfId="0" applyNumberFormat="1" applyFont="1" applyFill="1" applyBorder="1"/>
    <xf numFmtId="9" fontId="43" fillId="13" borderId="12" xfId="0" applyNumberFormat="1" applyFont="1" applyFill="1" applyBorder="1"/>
    <xf numFmtId="166" fontId="43" fillId="13" borderId="13" xfId="0" applyNumberFormat="1" applyFont="1" applyFill="1" applyBorder="1"/>
    <xf numFmtId="166" fontId="43" fillId="13" borderId="42" xfId="0" applyNumberFormat="1" applyFont="1" applyFill="1" applyBorder="1"/>
    <xf numFmtId="166" fontId="17" fillId="0" borderId="50" xfId="0" applyNumberFormat="1" applyFont="1" applyBorder="1" applyAlignment="1">
      <alignment horizontal="right" vertical="center"/>
    </xf>
    <xf numFmtId="166" fontId="17" fillId="0" borderId="67" xfId="0" applyNumberFormat="1" applyFont="1" applyBorder="1" applyAlignment="1">
      <alignment horizontal="right" vertical="center"/>
    </xf>
    <xf numFmtId="166" fontId="17" fillId="0" borderId="32" xfId="0" applyNumberFormat="1" applyFont="1" applyBorder="1" applyAlignment="1">
      <alignment horizontal="right" vertical="center"/>
    </xf>
    <xf numFmtId="166" fontId="17" fillId="0" borderId="27" xfId="0" applyNumberFormat="1" applyFont="1" applyBorder="1" applyAlignment="1">
      <alignment horizontal="right" vertical="center"/>
    </xf>
    <xf numFmtId="166" fontId="17" fillId="0" borderId="26" xfId="0" applyNumberFormat="1" applyFont="1" applyBorder="1" applyAlignment="1">
      <alignment horizontal="right" vertical="center"/>
    </xf>
    <xf numFmtId="166" fontId="17" fillId="0" borderId="43" xfId="0" applyNumberFormat="1" applyFont="1" applyBorder="1" applyAlignment="1">
      <alignment horizontal="right" vertical="center"/>
    </xf>
    <xf numFmtId="10" fontId="8" fillId="0" borderId="0" xfId="0" applyNumberFormat="1" applyFont="1" applyAlignment="1">
      <alignment vertical="center"/>
    </xf>
    <xf numFmtId="0" fontId="9" fillId="5" borderId="33" xfId="0" applyFont="1" applyFill="1" applyBorder="1"/>
    <xf numFmtId="10" fontId="19" fillId="0" borderId="5" xfId="0" applyNumberFormat="1" applyFont="1" applyBorder="1" applyAlignment="1">
      <alignment horizontal="left" vertical="center"/>
    </xf>
    <xf numFmtId="10" fontId="19" fillId="0" borderId="6" xfId="0" applyNumberFormat="1" applyFont="1" applyBorder="1" applyAlignment="1">
      <alignment horizontal="left" vertical="center"/>
    </xf>
    <xf numFmtId="10" fontId="19" fillId="0" borderId="20" xfId="0" applyNumberFormat="1" applyFont="1" applyBorder="1" applyAlignment="1">
      <alignment horizontal="left" vertical="center"/>
    </xf>
    <xf numFmtId="0" fontId="19" fillId="0" borderId="63" xfId="0" applyFont="1" applyBorder="1" applyAlignment="1">
      <alignment horizontal="center" vertical="center"/>
    </xf>
    <xf numFmtId="0" fontId="9" fillId="0" borderId="0" xfId="0" applyFont="1" applyFill="1" applyBorder="1"/>
    <xf numFmtId="10" fontId="19" fillId="0" borderId="0" xfId="0" applyNumberFormat="1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/>
    </xf>
    <xf numFmtId="166" fontId="17" fillId="0" borderId="41" xfId="0" applyNumberFormat="1" applyFont="1" applyFill="1" applyBorder="1" applyAlignment="1">
      <alignment horizontal="right" vertical="center"/>
    </xf>
    <xf numFmtId="166" fontId="17" fillId="0" borderId="60" xfId="0" applyNumberFormat="1" applyFont="1" applyFill="1" applyBorder="1" applyAlignment="1">
      <alignment horizontal="right" vertical="center"/>
    </xf>
    <xf numFmtId="0" fontId="47" fillId="0" borderId="6" xfId="0" applyFont="1" applyFill="1" applyBorder="1" applyAlignment="1">
      <alignment horizontal="left"/>
    </xf>
    <xf numFmtId="0" fontId="44" fillId="0" borderId="6" xfId="0" applyFont="1" applyFill="1" applyBorder="1" applyAlignment="1">
      <alignment horizontal="left"/>
    </xf>
    <xf numFmtId="0" fontId="44" fillId="0" borderId="20" xfId="0" applyFont="1" applyFill="1" applyBorder="1" applyAlignment="1">
      <alignment horizontal="left"/>
    </xf>
    <xf numFmtId="166" fontId="17" fillId="0" borderId="8" xfId="0" applyNumberFormat="1" applyFont="1" applyFill="1" applyBorder="1" applyAlignment="1">
      <alignment horizontal="right" vertical="center"/>
    </xf>
    <xf numFmtId="166" fontId="17" fillId="0" borderId="45" xfId="0" applyNumberFormat="1" applyFont="1" applyFill="1" applyBorder="1" applyAlignment="1">
      <alignment horizontal="right" vertical="center"/>
    </xf>
    <xf numFmtId="166" fontId="17" fillId="0" borderId="9" xfId="0" applyNumberFormat="1" applyFont="1" applyFill="1" applyBorder="1" applyAlignment="1">
      <alignment horizontal="right" vertical="center"/>
    </xf>
    <xf numFmtId="166" fontId="17" fillId="0" borderId="52" xfId="0" applyNumberFormat="1" applyFont="1" applyFill="1" applyBorder="1" applyAlignment="1">
      <alignment horizontal="right" vertical="center"/>
    </xf>
    <xf numFmtId="0" fontId="47" fillId="0" borderId="5" xfId="0" applyFont="1" applyFill="1" applyBorder="1" applyAlignment="1">
      <alignment horizontal="left"/>
    </xf>
    <xf numFmtId="166" fontId="17" fillId="0" borderId="7" xfId="0" applyNumberFormat="1" applyFont="1" applyFill="1" applyBorder="1" applyAlignment="1">
      <alignment horizontal="right" vertical="center"/>
    </xf>
    <xf numFmtId="166" fontId="17" fillId="0" borderId="43" xfId="0" applyNumberFormat="1" applyFont="1" applyFill="1" applyBorder="1" applyAlignment="1">
      <alignment horizontal="right" vertical="center"/>
    </xf>
    <xf numFmtId="166" fontId="17" fillId="0" borderId="44" xfId="0" applyNumberFormat="1" applyFont="1" applyFill="1" applyBorder="1" applyAlignment="1">
      <alignment horizontal="right" vertical="center"/>
    </xf>
    <xf numFmtId="166" fontId="17" fillId="0" borderId="53" xfId="0" applyNumberFormat="1" applyFont="1" applyFill="1" applyBorder="1" applyAlignment="1">
      <alignment horizontal="right" vertical="center"/>
    </xf>
    <xf numFmtId="3" fontId="17" fillId="0" borderId="75" xfId="0" applyNumberFormat="1" applyFont="1" applyFill="1" applyBorder="1" applyAlignment="1">
      <alignment horizontal="center" vertical="center"/>
    </xf>
    <xf numFmtId="166" fontId="17" fillId="0" borderId="75" xfId="0" applyNumberFormat="1" applyFont="1" applyFill="1" applyBorder="1" applyAlignment="1">
      <alignment horizontal="center" vertical="center"/>
    </xf>
    <xf numFmtId="3" fontId="17" fillId="0" borderId="55" xfId="0" applyNumberFormat="1" applyFont="1" applyFill="1" applyBorder="1" applyAlignment="1">
      <alignment horizontal="center" vertical="center"/>
    </xf>
    <xf numFmtId="166" fontId="17" fillId="0" borderId="50" xfId="0" applyNumberFormat="1" applyFont="1" applyFill="1" applyBorder="1" applyAlignment="1">
      <alignment horizontal="right" vertical="center"/>
    </xf>
    <xf numFmtId="166" fontId="17" fillId="0" borderId="67" xfId="0" applyNumberFormat="1" applyFont="1" applyFill="1" applyBorder="1" applyAlignment="1">
      <alignment horizontal="right" vertical="center"/>
    </xf>
    <xf numFmtId="10" fontId="17" fillId="0" borderId="0" xfId="0" applyNumberFormat="1" applyFont="1" applyBorder="1" applyAlignment="1">
      <alignment horizontal="right" vertical="center"/>
    </xf>
    <xf numFmtId="10" fontId="17" fillId="0" borderId="43" xfId="0" applyNumberFormat="1" applyFont="1" applyFill="1" applyBorder="1" applyAlignment="1">
      <alignment horizontal="right" vertical="center"/>
    </xf>
    <xf numFmtId="3" fontId="17" fillId="0" borderId="74" xfId="0" applyNumberFormat="1" applyFont="1" applyFill="1" applyBorder="1" applyAlignment="1">
      <alignment horizontal="center" vertical="center"/>
    </xf>
    <xf numFmtId="10" fontId="17" fillId="0" borderId="54" xfId="0" applyNumberFormat="1" applyFont="1" applyFill="1" applyBorder="1" applyAlignment="1">
      <alignment horizontal="right" vertical="center"/>
    </xf>
    <xf numFmtId="10" fontId="17" fillId="0" borderId="41" xfId="0" applyNumberFormat="1" applyFont="1" applyFill="1" applyBorder="1" applyAlignment="1">
      <alignment horizontal="right" vertical="center"/>
    </xf>
    <xf numFmtId="10" fontId="17" fillId="0" borderId="45" xfId="0" applyNumberFormat="1" applyFont="1" applyFill="1" applyBorder="1" applyAlignment="1">
      <alignment horizontal="right" vertical="center"/>
    </xf>
    <xf numFmtId="10" fontId="17" fillId="0" borderId="60" xfId="0" applyNumberFormat="1" applyFont="1" applyFill="1" applyBorder="1" applyAlignment="1">
      <alignment horizontal="right" vertical="center"/>
    </xf>
    <xf numFmtId="10" fontId="17" fillId="0" borderId="52" xfId="0" applyNumberFormat="1" applyFont="1" applyFill="1" applyBorder="1" applyAlignment="1">
      <alignment horizontal="right" vertical="center"/>
    </xf>
    <xf numFmtId="10" fontId="17" fillId="0" borderId="44" xfId="0" applyNumberFormat="1" applyFont="1" applyFill="1" applyBorder="1" applyAlignment="1">
      <alignment horizontal="right" vertical="center"/>
    </xf>
    <xf numFmtId="0" fontId="0" fillId="0" borderId="77" xfId="0" applyBorder="1" applyAlignment="1">
      <alignment horizontal="center" vertical="center"/>
    </xf>
    <xf numFmtId="166" fontId="44" fillId="0" borderId="80" xfId="0" applyNumberFormat="1" applyFont="1" applyFill="1" applyBorder="1" applyAlignment="1">
      <alignment horizontal="center" vertical="center"/>
    </xf>
    <xf numFmtId="166" fontId="17" fillId="0" borderId="80" xfId="0" applyNumberFormat="1" applyFont="1" applyFill="1" applyBorder="1" applyAlignment="1">
      <alignment horizontal="center" vertical="center"/>
    </xf>
    <xf numFmtId="3" fontId="17" fillId="0" borderId="81" xfId="0" applyNumberFormat="1" applyFont="1" applyFill="1" applyBorder="1" applyAlignment="1">
      <alignment horizontal="center" vertical="center"/>
    </xf>
    <xf numFmtId="10" fontId="17" fillId="0" borderId="49" xfId="0" applyNumberFormat="1" applyFont="1" applyFill="1" applyBorder="1" applyAlignment="1">
      <alignment horizontal="right" vertical="center"/>
    </xf>
    <xf numFmtId="10" fontId="17" fillId="0" borderId="7" xfId="0" applyNumberFormat="1" applyFont="1" applyFill="1" applyBorder="1" applyAlignment="1">
      <alignment horizontal="right" vertical="center"/>
    </xf>
    <xf numFmtId="10" fontId="17" fillId="0" borderId="8" xfId="0" applyNumberFormat="1" applyFont="1" applyFill="1" applyBorder="1" applyAlignment="1">
      <alignment horizontal="right" vertical="center"/>
    </xf>
    <xf numFmtId="10" fontId="17" fillId="0" borderId="9" xfId="0" applyNumberFormat="1" applyFont="1" applyFill="1" applyBorder="1" applyAlignment="1">
      <alignment horizontal="right" vertical="center"/>
    </xf>
    <xf numFmtId="10" fontId="17" fillId="0" borderId="0" xfId="0" applyNumberFormat="1" applyFont="1" applyFill="1" applyBorder="1" applyAlignment="1">
      <alignment horizontal="right" vertical="center"/>
    </xf>
    <xf numFmtId="0" fontId="44" fillId="0" borderId="0" xfId="0" applyFont="1" applyFill="1" applyBorder="1" applyAlignment="1">
      <alignment horizontal="left"/>
    </xf>
    <xf numFmtId="166" fontId="0" fillId="0" borderId="0" xfId="0" applyNumberFormat="1"/>
    <xf numFmtId="10" fontId="9" fillId="0" borderId="12" xfId="0" applyNumberFormat="1" applyFont="1" applyBorder="1"/>
    <xf numFmtId="10" fontId="9" fillId="0" borderId="42" xfId="0" applyNumberFormat="1" applyFont="1" applyBorder="1"/>
    <xf numFmtId="10" fontId="9" fillId="0" borderId="18" xfId="0" applyNumberFormat="1" applyFont="1" applyBorder="1"/>
    <xf numFmtId="10" fontId="19" fillId="0" borderId="0" xfId="0" applyNumberFormat="1" applyFont="1" applyBorder="1" applyAlignment="1">
      <alignment horizontal="right" vertical="center"/>
    </xf>
    <xf numFmtId="0" fontId="54" fillId="0" borderId="23" xfId="0" applyFont="1" applyFill="1" applyBorder="1" applyAlignment="1">
      <alignment horizontal="left"/>
    </xf>
    <xf numFmtId="10" fontId="9" fillId="0" borderId="63" xfId="0" applyNumberFormat="1" applyFont="1" applyFill="1" applyBorder="1" applyAlignment="1">
      <alignment horizontal="right" vertical="center"/>
    </xf>
    <xf numFmtId="10" fontId="9" fillId="0" borderId="51" xfId="0" applyNumberFormat="1" applyFont="1" applyFill="1" applyBorder="1" applyAlignment="1">
      <alignment horizontal="right" vertical="center"/>
    </xf>
    <xf numFmtId="10" fontId="9" fillId="0" borderId="64" xfId="0" applyNumberFormat="1" applyFont="1" applyFill="1" applyBorder="1" applyAlignment="1">
      <alignment horizontal="right" vertical="center"/>
    </xf>
    <xf numFmtId="10" fontId="9" fillId="0" borderId="82" xfId="0" applyNumberFormat="1" applyFont="1" applyFill="1" applyBorder="1" applyAlignment="1">
      <alignment horizontal="right" vertical="center"/>
    </xf>
    <xf numFmtId="3" fontId="19" fillId="0" borderId="9" xfId="0" applyNumberFormat="1" applyFont="1" applyFill="1" applyBorder="1" applyAlignment="1">
      <alignment horizontal="center" vertical="center"/>
    </xf>
    <xf numFmtId="166" fontId="19" fillId="0" borderId="60" xfId="0" applyNumberFormat="1" applyFont="1" applyFill="1" applyBorder="1" applyAlignment="1">
      <alignment horizontal="center" vertical="center"/>
    </xf>
    <xf numFmtId="3" fontId="19" fillId="0" borderId="52" xfId="0" applyNumberFormat="1" applyFont="1" applyFill="1" applyBorder="1" applyAlignment="1">
      <alignment horizontal="center" vertical="center"/>
    </xf>
    <xf numFmtId="3" fontId="19" fillId="0" borderId="6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44" fillId="0" borderId="75" xfId="0" applyNumberFormat="1" applyFont="1" applyFill="1" applyBorder="1" applyAlignment="1">
      <alignment horizontal="center" vertical="center"/>
    </xf>
    <xf numFmtId="166" fontId="44" fillId="0" borderId="83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166" fontId="44" fillId="0" borderId="84" xfId="0" applyNumberFormat="1" applyFont="1" applyFill="1" applyBorder="1" applyAlignment="1">
      <alignment horizontal="center" vertical="center"/>
    </xf>
    <xf numFmtId="3" fontId="17" fillId="0" borderId="77" xfId="0" applyNumberFormat="1" applyFont="1" applyFill="1" applyBorder="1" applyAlignment="1">
      <alignment horizontal="center" vertical="center"/>
    </xf>
    <xf numFmtId="10" fontId="17" fillId="0" borderId="61" xfId="0" applyNumberFormat="1" applyFont="1" applyFill="1" applyBorder="1" applyAlignment="1">
      <alignment horizontal="right" vertical="center"/>
    </xf>
    <xf numFmtId="3" fontId="17" fillId="0" borderId="78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6" fontId="44" fillId="0" borderId="16" xfId="0" applyNumberFormat="1" applyFont="1" applyFill="1" applyBorder="1" applyAlignment="1">
      <alignment horizontal="center" vertical="center"/>
    </xf>
    <xf numFmtId="166" fontId="44" fillId="0" borderId="17" xfId="0" applyNumberFormat="1" applyFont="1" applyFill="1" applyBorder="1" applyAlignment="1">
      <alignment horizontal="center" vertical="center"/>
    </xf>
    <xf numFmtId="10" fontId="9" fillId="0" borderId="2" xfId="0" applyNumberFormat="1" applyFont="1" applyBorder="1"/>
    <xf numFmtId="10" fontId="9" fillId="0" borderId="1" xfId="0" applyNumberFormat="1" applyFont="1" applyBorder="1"/>
    <xf numFmtId="10" fontId="9" fillId="0" borderId="13" xfId="0" applyNumberFormat="1" applyFont="1" applyBorder="1"/>
    <xf numFmtId="10" fontId="8" fillId="0" borderId="0" xfId="0" applyNumberFormat="1" applyFont="1" applyFill="1" applyBorder="1" applyAlignment="1">
      <alignment horizontal="left"/>
    </xf>
    <xf numFmtId="0" fontId="55" fillId="0" borderId="0" xfId="0" applyFont="1" applyAlignment="1">
      <alignment horizontal="center" vertical="center"/>
    </xf>
    <xf numFmtId="10" fontId="9" fillId="0" borderId="24" xfId="0" applyNumberFormat="1" applyFont="1" applyBorder="1"/>
    <xf numFmtId="10" fontId="9" fillId="0" borderId="0" xfId="0" applyNumberFormat="1" applyFont="1"/>
    <xf numFmtId="1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1" xfId="0" applyFont="1" applyBorder="1"/>
    <xf numFmtId="165" fontId="20" fillId="0" borderId="0" xfId="0" applyNumberFormat="1" applyFont="1" applyFill="1" applyBorder="1" applyAlignment="1">
      <alignment vertical="center"/>
    </xf>
    <xf numFmtId="0" fontId="56" fillId="0" borderId="37" xfId="0" applyFont="1" applyBorder="1"/>
    <xf numFmtId="0" fontId="56" fillId="0" borderId="37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8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37" xfId="0" applyFont="1" applyBorder="1"/>
    <xf numFmtId="166" fontId="34" fillId="14" borderId="23" xfId="0" applyNumberFormat="1" applyFont="1" applyFill="1" applyBorder="1" applyAlignment="1">
      <alignment vertical="center"/>
    </xf>
    <xf numFmtId="166" fontId="34" fillId="4" borderId="1" xfId="0" applyNumberFormat="1" applyFont="1" applyFill="1" applyBorder="1" applyAlignment="1">
      <alignment vertical="center"/>
    </xf>
    <xf numFmtId="0" fontId="63" fillId="4" borderId="17" xfId="0" applyFont="1" applyFill="1" applyBorder="1" applyAlignment="1">
      <alignment horizontal="center" vertical="center" wrapText="1"/>
    </xf>
    <xf numFmtId="166" fontId="64" fillId="0" borderId="17" xfId="0" applyNumberFormat="1" applyFont="1" applyBorder="1" applyAlignment="1">
      <alignment horizontal="center"/>
    </xf>
    <xf numFmtId="166" fontId="34" fillId="4" borderId="2" xfId="0" applyNumberFormat="1" applyFont="1" applyFill="1" applyBorder="1" applyAlignment="1">
      <alignment vertical="center"/>
    </xf>
    <xf numFmtId="5" fontId="36" fillId="0" borderId="106" xfId="0" applyNumberFormat="1" applyFont="1" applyFill="1" applyBorder="1" applyAlignment="1">
      <alignment horizontal="right" vertical="center"/>
    </xf>
    <xf numFmtId="5" fontId="36" fillId="0" borderId="100" xfId="0" applyNumberFormat="1" applyFont="1" applyFill="1" applyBorder="1" applyAlignment="1">
      <alignment horizontal="right" vertical="center"/>
    </xf>
    <xf numFmtId="10" fontId="36" fillId="0" borderId="115" xfId="0" applyNumberFormat="1" applyFont="1" applyFill="1" applyBorder="1"/>
    <xf numFmtId="5" fontId="36" fillId="0" borderId="101" xfId="0" applyNumberFormat="1" applyFont="1" applyFill="1" applyBorder="1" applyAlignment="1">
      <alignment horizontal="right" vertical="center"/>
    </xf>
    <xf numFmtId="166" fontId="36" fillId="0" borderId="42" xfId="0" applyNumberFormat="1" applyFont="1" applyFill="1" applyBorder="1" applyAlignment="1">
      <alignment horizontal="center" vertical="center" wrapText="1"/>
    </xf>
    <xf numFmtId="166" fontId="60" fillId="0" borderId="88" xfId="0" applyNumberFormat="1" applyFont="1" applyFill="1" applyBorder="1" applyAlignment="1">
      <alignment horizontal="right" vertical="center"/>
    </xf>
    <xf numFmtId="166" fontId="60" fillId="0" borderId="3" xfId="0" applyNumberFormat="1" applyFont="1" applyFill="1" applyBorder="1" applyAlignment="1">
      <alignment horizontal="right" vertical="center"/>
    </xf>
    <xf numFmtId="166" fontId="60" fillId="0" borderId="29" xfId="0" applyNumberFormat="1" applyFont="1" applyFill="1" applyBorder="1" applyAlignment="1">
      <alignment horizontal="right" vertical="center"/>
    </xf>
    <xf numFmtId="166" fontId="60" fillId="0" borderId="90" xfId="0" applyNumberFormat="1" applyFont="1" applyFill="1" applyBorder="1" applyAlignment="1">
      <alignment horizontal="right" vertical="center"/>
    </xf>
    <xf numFmtId="166" fontId="60" fillId="0" borderId="28" xfId="0" applyNumberFormat="1" applyFont="1" applyFill="1" applyBorder="1" applyAlignment="1">
      <alignment horizontal="right" vertical="center"/>
    </xf>
    <xf numFmtId="166" fontId="60" fillId="0" borderId="31" xfId="0" applyNumberFormat="1" applyFont="1" applyFill="1" applyBorder="1" applyAlignment="1">
      <alignment horizontal="right" vertical="center"/>
    </xf>
    <xf numFmtId="166" fontId="60" fillId="0" borderId="92" xfId="0" applyNumberFormat="1" applyFont="1" applyFill="1" applyBorder="1" applyAlignment="1">
      <alignment horizontal="right" vertical="center"/>
    </xf>
    <xf numFmtId="166" fontId="60" fillId="0" borderId="115" xfId="0" applyNumberFormat="1" applyFont="1" applyFill="1" applyBorder="1" applyAlignment="1">
      <alignment horizontal="right" vertical="center"/>
    </xf>
    <xf numFmtId="166" fontId="60" fillId="0" borderId="116" xfId="0" applyNumberFormat="1" applyFont="1" applyFill="1" applyBorder="1" applyAlignment="1">
      <alignment horizontal="right" vertical="center"/>
    </xf>
    <xf numFmtId="0" fontId="11" fillId="14" borderId="98" xfId="0" applyFont="1" applyFill="1" applyBorder="1" applyAlignment="1">
      <alignment horizontal="center" vertical="center"/>
    </xf>
    <xf numFmtId="0" fontId="11" fillId="14" borderId="110" xfId="0" applyFont="1" applyFill="1" applyBorder="1" applyAlignment="1">
      <alignment horizontal="center" vertical="center"/>
    </xf>
    <xf numFmtId="0" fontId="11" fillId="14" borderId="111" xfId="0" applyFont="1" applyFill="1" applyBorder="1" applyAlignment="1">
      <alignment horizontal="center" vertical="center"/>
    </xf>
    <xf numFmtId="165" fontId="11" fillId="14" borderId="113" xfId="0" applyNumberFormat="1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center" vertical="center"/>
    </xf>
    <xf numFmtId="0" fontId="11" fillId="14" borderId="4" xfId="0" applyFont="1" applyFill="1" applyBorder="1" applyAlignment="1">
      <alignment horizontal="center" vertical="center"/>
    </xf>
    <xf numFmtId="0" fontId="11" fillId="14" borderId="26" xfId="0" applyFont="1" applyFill="1" applyBorder="1" applyAlignment="1">
      <alignment horizontal="center" vertical="center"/>
    </xf>
    <xf numFmtId="0" fontId="11" fillId="14" borderId="85" xfId="0" applyFont="1" applyFill="1" applyBorder="1" applyAlignment="1">
      <alignment horizontal="center" vertical="center"/>
    </xf>
    <xf numFmtId="166" fontId="65" fillId="14" borderId="114" xfId="0" applyNumberFormat="1" applyFont="1" applyFill="1" applyBorder="1" applyAlignment="1">
      <alignment vertical="center"/>
    </xf>
    <xf numFmtId="166" fontId="65" fillId="14" borderId="63" xfId="0" applyNumberFormat="1" applyFont="1" applyFill="1" applyBorder="1" applyAlignment="1">
      <alignment vertical="center"/>
    </xf>
    <xf numFmtId="166" fontId="65" fillId="14" borderId="23" xfId="0" applyNumberFormat="1" applyFont="1" applyFill="1" applyBorder="1" applyAlignment="1">
      <alignment vertical="center"/>
    </xf>
    <xf numFmtId="10" fontId="34" fillId="14" borderId="33" xfId="0" applyNumberFormat="1" applyFont="1" applyFill="1" applyBorder="1" applyAlignment="1">
      <alignment vertical="center"/>
    </xf>
    <xf numFmtId="166" fontId="34" fillId="14" borderId="87" xfId="0" applyNumberFormat="1" applyFont="1" applyFill="1" applyBorder="1" applyAlignment="1">
      <alignment vertical="center"/>
    </xf>
    <xf numFmtId="166" fontId="34" fillId="4" borderId="42" xfId="0" applyNumberFormat="1" applyFont="1" applyFill="1" applyBorder="1" applyAlignment="1">
      <alignment vertical="center"/>
    </xf>
    <xf numFmtId="166" fontId="61" fillId="4" borderId="19" xfId="0" applyNumberFormat="1" applyFont="1" applyFill="1" applyBorder="1" applyAlignment="1">
      <alignment vertical="center"/>
    </xf>
    <xf numFmtId="0" fontId="62" fillId="4" borderId="76" xfId="0" applyFont="1" applyFill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/>
    </xf>
    <xf numFmtId="166" fontId="61" fillId="0" borderId="25" xfId="0" applyNumberFormat="1" applyFont="1" applyFill="1" applyBorder="1" applyAlignment="1">
      <alignment horizontal="right" vertical="center"/>
    </xf>
    <xf numFmtId="166" fontId="61" fillId="0" borderId="29" xfId="0" applyNumberFormat="1" applyFont="1" applyFill="1" applyBorder="1" applyAlignment="1">
      <alignment horizontal="right" vertical="center"/>
    </xf>
    <xf numFmtId="166" fontId="61" fillId="0" borderId="3" xfId="0" applyNumberFormat="1" applyFont="1" applyFill="1" applyBorder="1" applyAlignment="1">
      <alignment horizontal="right" vertical="center"/>
    </xf>
    <xf numFmtId="166" fontId="61" fillId="0" borderId="27" xfId="0" applyNumberFormat="1" applyFont="1" applyFill="1" applyBorder="1" applyAlignment="1">
      <alignment horizontal="right" vertical="center"/>
    </xf>
    <xf numFmtId="166" fontId="61" fillId="0" borderId="31" xfId="0" applyNumberFormat="1" applyFont="1" applyFill="1" applyBorder="1" applyAlignment="1">
      <alignment horizontal="right" vertical="center"/>
    </xf>
    <xf numFmtId="166" fontId="61" fillId="0" borderId="28" xfId="0" applyNumberFormat="1" applyFont="1" applyFill="1" applyBorder="1" applyAlignment="1">
      <alignment horizontal="right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/>
    </xf>
    <xf numFmtId="0" fontId="33" fillId="0" borderId="20" xfId="0" applyFont="1" applyFill="1" applyBorder="1" applyAlignment="1">
      <alignment horizontal="left" vertical="center"/>
    </xf>
    <xf numFmtId="166" fontId="41" fillId="0" borderId="48" xfId="0" applyNumberFormat="1" applyFont="1" applyFill="1" applyBorder="1"/>
    <xf numFmtId="166" fontId="41" fillId="0" borderId="49" xfId="0" applyNumberFormat="1" applyFont="1" applyFill="1" applyBorder="1"/>
    <xf numFmtId="166" fontId="41" fillId="0" borderId="61" xfId="0" applyNumberFormat="1" applyFont="1" applyFill="1" applyBorder="1"/>
    <xf numFmtId="166" fontId="61" fillId="0" borderId="105" xfId="0" applyNumberFormat="1" applyFont="1" applyFill="1" applyBorder="1" applyAlignment="1">
      <alignment horizontal="right" vertical="center"/>
    </xf>
    <xf numFmtId="5" fontId="38" fillId="0" borderId="89" xfId="0" applyNumberFormat="1" applyFont="1" applyFill="1" applyBorder="1" applyAlignment="1">
      <alignment horizontal="right" vertical="center"/>
    </xf>
    <xf numFmtId="166" fontId="61" fillId="0" borderId="107" xfId="0" applyNumberFormat="1" applyFont="1" applyFill="1" applyBorder="1" applyAlignment="1">
      <alignment horizontal="right" vertical="center"/>
    </xf>
    <xf numFmtId="5" fontId="38" fillId="0" borderId="91" xfId="0" applyNumberFormat="1" applyFont="1" applyFill="1" applyBorder="1" applyAlignment="1">
      <alignment horizontal="right" vertical="center"/>
    </xf>
    <xf numFmtId="166" fontId="61" fillId="0" borderId="108" xfId="0" applyNumberFormat="1" applyFont="1" applyFill="1" applyBorder="1" applyAlignment="1">
      <alignment horizontal="right" vertical="center"/>
    </xf>
    <xf numFmtId="166" fontId="61" fillId="0" borderId="116" xfId="0" applyNumberFormat="1" applyFont="1" applyFill="1" applyBorder="1" applyAlignment="1">
      <alignment horizontal="right" vertical="center"/>
    </xf>
    <xf numFmtId="166" fontId="61" fillId="0" borderId="115" xfId="0" applyNumberFormat="1" applyFont="1" applyFill="1" applyBorder="1" applyAlignment="1">
      <alignment horizontal="right" vertical="center"/>
    </xf>
    <xf numFmtId="10" fontId="38" fillId="0" borderId="116" xfId="0" applyNumberFormat="1" applyFont="1" applyFill="1" applyBorder="1"/>
    <xf numFmtId="5" fontId="38" fillId="0" borderId="93" xfId="0" applyNumberFormat="1" applyFont="1" applyFill="1" applyBorder="1" applyAlignment="1">
      <alignment horizontal="right" vertical="center"/>
    </xf>
    <xf numFmtId="166" fontId="36" fillId="0" borderId="76" xfId="0" applyNumberFormat="1" applyFont="1" applyFill="1" applyBorder="1" applyAlignment="1">
      <alignment horizontal="center" vertical="center" wrapText="1"/>
    </xf>
    <xf numFmtId="166" fontId="35" fillId="0" borderId="103" xfId="0" applyNumberFormat="1" applyFont="1" applyBorder="1" applyAlignment="1">
      <alignment horizontal="center" vertical="center"/>
    </xf>
    <xf numFmtId="166" fontId="35" fillId="0" borderId="121" xfId="0" applyNumberFormat="1" applyFont="1" applyBorder="1" applyAlignment="1">
      <alignment horizontal="center" vertical="center"/>
    </xf>
    <xf numFmtId="166" fontId="0" fillId="0" borderId="97" xfId="0" applyNumberFormat="1" applyFont="1" applyBorder="1" applyAlignment="1">
      <alignment horizontal="center" vertical="center"/>
    </xf>
    <xf numFmtId="10" fontId="34" fillId="14" borderId="14" xfId="0" applyNumberFormat="1" applyFont="1" applyFill="1" applyBorder="1" applyAlignment="1">
      <alignment vertical="center"/>
    </xf>
    <xf numFmtId="0" fontId="11" fillId="14" borderId="123" xfId="0" applyFont="1" applyFill="1" applyBorder="1" applyAlignment="1">
      <alignment horizontal="center" vertical="center"/>
    </xf>
    <xf numFmtId="10" fontId="34" fillId="14" borderId="64" xfId="0" applyNumberFormat="1" applyFont="1" applyFill="1" applyBorder="1" applyAlignment="1">
      <alignment vertical="center"/>
    </xf>
    <xf numFmtId="0" fontId="39" fillId="14" borderId="94" xfId="0" applyFont="1" applyFill="1" applyBorder="1" applyAlignment="1">
      <alignment horizontal="center" vertical="center"/>
    </xf>
    <xf numFmtId="0" fontId="39" fillId="14" borderId="117" xfId="0" applyFont="1" applyFill="1" applyBorder="1" applyAlignment="1">
      <alignment horizontal="center" vertical="center"/>
    </xf>
    <xf numFmtId="0" fontId="39" fillId="14" borderId="95" xfId="0" applyFont="1" applyFill="1" applyBorder="1" applyAlignment="1">
      <alignment horizontal="center" vertical="center"/>
    </xf>
    <xf numFmtId="0" fontId="39" fillId="14" borderId="16" xfId="0" applyFont="1" applyFill="1" applyBorder="1" applyAlignment="1">
      <alignment horizontal="center" vertical="center"/>
    </xf>
    <xf numFmtId="0" fontId="39" fillId="14" borderId="79" xfId="0" applyFont="1" applyFill="1" applyBorder="1" applyAlignment="1">
      <alignment horizontal="center" vertical="center"/>
    </xf>
    <xf numFmtId="0" fontId="39" fillId="14" borderId="118" xfId="0" applyFont="1" applyFill="1" applyBorder="1" applyAlignment="1">
      <alignment horizontal="center" vertical="center"/>
    </xf>
    <xf numFmtId="0" fontId="63" fillId="4" borderId="44" xfId="0" applyFont="1" applyFill="1" applyBorder="1" applyAlignment="1">
      <alignment horizontal="center" vertical="center" wrapText="1"/>
    </xf>
    <xf numFmtId="166" fontId="38" fillId="0" borderId="52" xfId="0" applyNumberFormat="1" applyFont="1" applyBorder="1" applyAlignment="1">
      <alignment horizontal="center"/>
    </xf>
    <xf numFmtId="166" fontId="38" fillId="0" borderId="17" xfId="0" applyNumberFormat="1" applyFont="1" applyBorder="1" applyAlignment="1">
      <alignment horizontal="center"/>
    </xf>
    <xf numFmtId="0" fontId="62" fillId="4" borderId="88" xfId="0" applyFont="1" applyFill="1" applyBorder="1" applyAlignment="1">
      <alignment horizontal="center" vertical="center" wrapText="1"/>
    </xf>
    <xf numFmtId="0" fontId="62" fillId="4" borderId="124" xfId="0" applyFont="1" applyFill="1" applyBorder="1" applyAlignment="1">
      <alignment horizontal="center" vertical="center" wrapText="1"/>
    </xf>
    <xf numFmtId="0" fontId="62" fillId="4" borderId="70" xfId="0" applyFont="1" applyFill="1" applyBorder="1" applyAlignment="1">
      <alignment horizontal="center" vertical="center" wrapText="1"/>
    </xf>
    <xf numFmtId="0" fontId="63" fillId="4" borderId="47" xfId="0" applyFont="1" applyFill="1" applyBorder="1" applyAlignment="1">
      <alignment horizontal="center" vertical="center" wrapText="1"/>
    </xf>
    <xf numFmtId="0" fontId="39" fillId="14" borderId="104" xfId="0" applyFont="1" applyFill="1" applyBorder="1" applyAlignment="1">
      <alignment horizontal="center" vertical="center"/>
    </xf>
    <xf numFmtId="166" fontId="0" fillId="0" borderId="120" xfId="0" applyNumberFormat="1" applyFont="1" applyBorder="1" applyAlignment="1">
      <alignment horizontal="center" vertical="center"/>
    </xf>
    <xf numFmtId="5" fontId="38" fillId="0" borderId="125" xfId="0" applyNumberFormat="1" applyFont="1" applyFill="1" applyBorder="1" applyAlignment="1">
      <alignment horizontal="right" vertical="center"/>
    </xf>
    <xf numFmtId="0" fontId="62" fillId="4" borderId="48" xfId="0" applyFont="1" applyFill="1" applyBorder="1" applyAlignment="1">
      <alignment horizontal="center" vertical="center" wrapText="1"/>
    </xf>
    <xf numFmtId="166" fontId="36" fillId="0" borderId="9" xfId="0" applyNumberFormat="1" applyFont="1" applyFill="1" applyBorder="1" applyAlignment="1">
      <alignment horizontal="center" vertical="center" wrapText="1"/>
    </xf>
    <xf numFmtId="0" fontId="11" fillId="14" borderId="11" xfId="0" applyFont="1" applyFill="1" applyBorder="1" applyAlignment="1">
      <alignment horizontal="center" vertical="center"/>
    </xf>
    <xf numFmtId="0" fontId="11" fillId="14" borderId="62" xfId="0" applyFont="1" applyFill="1" applyBorder="1" applyAlignment="1">
      <alignment horizontal="center" vertical="center"/>
    </xf>
    <xf numFmtId="0" fontId="11" fillId="14" borderId="65" xfId="0" applyFont="1" applyFill="1" applyBorder="1" applyAlignment="1">
      <alignment horizontal="center" vertical="center"/>
    </xf>
    <xf numFmtId="166" fontId="34" fillId="14" borderId="38" xfId="0" applyNumberFormat="1" applyFont="1" applyFill="1" applyBorder="1" applyAlignment="1">
      <alignment vertical="center"/>
    </xf>
    <xf numFmtId="166" fontId="35" fillId="0" borderId="97" xfId="0" applyNumberFormat="1" applyFont="1" applyBorder="1" applyAlignment="1">
      <alignment horizontal="center" vertical="center"/>
    </xf>
    <xf numFmtId="165" fontId="11" fillId="14" borderId="126" xfId="0" applyNumberFormat="1" applyFont="1" applyFill="1" applyBorder="1" applyAlignment="1">
      <alignment horizontal="center" vertical="center"/>
    </xf>
    <xf numFmtId="5" fontId="38" fillId="0" borderId="106" xfId="0" applyNumberFormat="1" applyFont="1" applyFill="1" applyBorder="1" applyAlignment="1">
      <alignment horizontal="right" vertical="center"/>
    </xf>
    <xf numFmtId="5" fontId="38" fillId="0" borderId="100" xfId="0" applyNumberFormat="1" applyFont="1" applyFill="1" applyBorder="1" applyAlignment="1">
      <alignment horizontal="right" vertical="center"/>
    </xf>
    <xf numFmtId="10" fontId="38" fillId="0" borderId="115" xfId="0" applyNumberFormat="1" applyFont="1" applyFill="1" applyBorder="1"/>
    <xf numFmtId="5" fontId="38" fillId="0" borderId="101" xfId="0" applyNumberFormat="1" applyFont="1" applyFill="1" applyBorder="1" applyAlignment="1">
      <alignment horizontal="right" vertical="center"/>
    </xf>
    <xf numFmtId="166" fontId="65" fillId="14" borderId="86" xfId="0" applyNumberFormat="1" applyFont="1" applyFill="1" applyBorder="1" applyAlignment="1">
      <alignment vertical="center"/>
    </xf>
    <xf numFmtId="166" fontId="65" fillId="14" borderId="33" xfId="0" applyNumberFormat="1" applyFont="1" applyFill="1" applyBorder="1" applyAlignment="1">
      <alignment vertical="center"/>
    </xf>
    <xf numFmtId="166" fontId="65" fillId="14" borderId="38" xfId="0" applyNumberFormat="1" applyFont="1" applyFill="1" applyBorder="1" applyAlignment="1">
      <alignment vertical="center"/>
    </xf>
    <xf numFmtId="166" fontId="61" fillId="0" borderId="88" xfId="0" applyNumberFormat="1" applyFont="1" applyFill="1" applyBorder="1" applyAlignment="1">
      <alignment horizontal="right" vertical="center"/>
    </xf>
    <xf numFmtId="166" fontId="61" fillId="0" borderId="90" xfId="0" applyNumberFormat="1" applyFont="1" applyFill="1" applyBorder="1" applyAlignment="1">
      <alignment horizontal="right" vertical="center"/>
    </xf>
    <xf numFmtId="166" fontId="61" fillId="0" borderId="92" xfId="0" applyNumberFormat="1" applyFont="1" applyFill="1" applyBorder="1" applyAlignment="1">
      <alignment horizontal="right" vertical="center"/>
    </xf>
    <xf numFmtId="166" fontId="61" fillId="0" borderId="109" xfId="0" applyNumberFormat="1" applyFont="1" applyFill="1" applyBorder="1" applyAlignment="1">
      <alignment horizontal="right" vertical="center"/>
    </xf>
    <xf numFmtId="166" fontId="34" fillId="14" borderId="1" xfId="0" applyNumberFormat="1" applyFont="1" applyFill="1" applyBorder="1" applyAlignment="1">
      <alignment vertical="center"/>
    </xf>
    <xf numFmtId="166" fontId="61" fillId="4" borderId="13" xfId="0" applyNumberFormat="1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39" fillId="4" borderId="42" xfId="0" applyFont="1" applyFill="1" applyBorder="1" applyAlignment="1">
      <alignment horizontal="center" vertical="center" wrapText="1"/>
    </xf>
    <xf numFmtId="166" fontId="34" fillId="4" borderId="24" xfId="0" applyNumberFormat="1" applyFont="1" applyFill="1" applyBorder="1" applyAlignment="1">
      <alignment vertical="center"/>
    </xf>
    <xf numFmtId="166" fontId="64" fillId="0" borderId="13" xfId="0" applyNumberFormat="1" applyFont="1" applyBorder="1" applyAlignment="1">
      <alignment horizontal="center" vertical="center"/>
    </xf>
    <xf numFmtId="166" fontId="38" fillId="0" borderId="42" xfId="0" applyNumberFormat="1" applyFont="1" applyFill="1" applyBorder="1" applyAlignment="1">
      <alignment horizontal="center" vertical="center" wrapText="1"/>
    </xf>
    <xf numFmtId="166" fontId="67" fillId="0" borderId="96" xfId="0" applyNumberFormat="1" applyFont="1" applyBorder="1" applyAlignment="1">
      <alignment horizontal="center" vertical="center"/>
    </xf>
    <xf numFmtId="165" fontId="67" fillId="0" borderId="119" xfId="0" applyNumberFormat="1" applyFont="1" applyFill="1" applyBorder="1" applyAlignment="1">
      <alignment horizontal="center" vertical="center"/>
    </xf>
    <xf numFmtId="166" fontId="67" fillId="0" borderId="120" xfId="0" applyNumberFormat="1" applyFont="1" applyFill="1" applyBorder="1" applyAlignment="1">
      <alignment horizontal="center" vertical="center"/>
    </xf>
    <xf numFmtId="166" fontId="67" fillId="0" borderId="119" xfId="0" applyNumberFormat="1" applyFont="1" applyFill="1" applyBorder="1" applyAlignment="1">
      <alignment horizontal="center" vertical="center"/>
    </xf>
    <xf numFmtId="166" fontId="67" fillId="0" borderId="102" xfId="0" applyNumberFormat="1" applyFont="1" applyBorder="1" applyAlignment="1">
      <alignment horizontal="center" vertical="center"/>
    </xf>
    <xf numFmtId="165" fontId="67" fillId="0" borderId="122" xfId="0" applyNumberFormat="1" applyFont="1" applyFill="1" applyBorder="1" applyAlignment="1">
      <alignment horizontal="center" vertical="center"/>
    </xf>
    <xf numFmtId="166" fontId="67" fillId="0" borderId="122" xfId="0" applyNumberFormat="1" applyFont="1" applyFill="1" applyBorder="1" applyAlignment="1">
      <alignment horizontal="center" vertical="center"/>
    </xf>
    <xf numFmtId="166" fontId="68" fillId="0" borderId="47" xfId="0" applyNumberFormat="1" applyFont="1" applyFill="1" applyBorder="1" applyAlignment="1">
      <alignment horizontal="right" vertical="center"/>
    </xf>
    <xf numFmtId="166" fontId="68" fillId="0" borderId="45" xfId="0" applyNumberFormat="1" applyFont="1" applyFill="1" applyBorder="1" applyAlignment="1">
      <alignment horizontal="right" vertical="center"/>
    </xf>
    <xf numFmtId="166" fontId="68" fillId="0" borderId="52" xfId="0" applyNumberFormat="1" applyFont="1" applyFill="1" applyBorder="1" applyAlignment="1">
      <alignment horizontal="right" vertical="center"/>
    </xf>
    <xf numFmtId="166" fontId="69" fillId="0" borderId="47" xfId="0" applyNumberFormat="1" applyFont="1" applyFill="1" applyBorder="1" applyAlignment="1">
      <alignment horizontal="right" vertical="center"/>
    </xf>
    <xf numFmtId="166" fontId="69" fillId="0" borderId="45" xfId="0" applyNumberFormat="1" applyFont="1" applyFill="1" applyBorder="1" applyAlignment="1">
      <alignment horizontal="right" vertical="center"/>
    </xf>
    <xf numFmtId="166" fontId="69" fillId="0" borderId="52" xfId="0" applyNumberFormat="1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vertical="center"/>
    </xf>
    <xf numFmtId="165" fontId="19" fillId="4" borderId="14" xfId="0" applyNumberFormat="1" applyFont="1" applyFill="1" applyBorder="1" applyAlignment="1">
      <alignment horizontal="center" vertical="center"/>
    </xf>
    <xf numFmtId="165" fontId="19" fillId="0" borderId="14" xfId="0" applyNumberFormat="1" applyFont="1" applyFill="1" applyBorder="1" applyAlignment="1">
      <alignment horizontal="center" vertical="center"/>
    </xf>
    <xf numFmtId="166" fontId="54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19" fillId="0" borderId="37" xfId="0" applyFont="1" applyFill="1" applyBorder="1" applyAlignment="1">
      <alignment horizontal="left" vertical="center" wrapText="1"/>
    </xf>
    <xf numFmtId="166" fontId="54" fillId="4" borderId="23" xfId="0" applyNumberFormat="1" applyFont="1" applyFill="1" applyBorder="1" applyAlignment="1">
      <alignment vertical="center"/>
    </xf>
    <xf numFmtId="166" fontId="54" fillId="4" borderId="33" xfId="0" applyNumberFormat="1" applyFont="1" applyFill="1" applyBorder="1" applyAlignment="1">
      <alignment vertical="center"/>
    </xf>
    <xf numFmtId="166" fontId="54" fillId="4" borderId="38" xfId="0" applyNumberFormat="1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166" fontId="9" fillId="0" borderId="25" xfId="0" applyNumberFormat="1" applyFont="1" applyFill="1" applyBorder="1"/>
    <xf numFmtId="166" fontId="66" fillId="0" borderId="29" xfId="0" applyNumberFormat="1" applyFont="1" applyFill="1" applyBorder="1" applyAlignment="1">
      <alignment horizontal="right" vertical="center"/>
    </xf>
    <xf numFmtId="166" fontId="9" fillId="0" borderId="29" xfId="0" applyNumberFormat="1" applyFont="1" applyFill="1" applyBorder="1" applyAlignment="1">
      <alignment horizontal="right" vertical="center"/>
    </xf>
    <xf numFmtId="166" fontId="9" fillId="0" borderId="3" xfId="0" applyNumberFormat="1" applyFont="1" applyFill="1" applyBorder="1" applyAlignment="1">
      <alignment horizontal="right" vertical="center"/>
    </xf>
    <xf numFmtId="0" fontId="19" fillId="0" borderId="28" xfId="0" applyFont="1" applyFill="1" applyBorder="1" applyAlignment="1">
      <alignment horizontal="left" vertical="center"/>
    </xf>
    <xf numFmtId="166" fontId="9" fillId="0" borderId="27" xfId="0" applyNumberFormat="1" applyFont="1" applyFill="1" applyBorder="1"/>
    <xf numFmtId="166" fontId="66" fillId="0" borderId="31" xfId="0" applyNumberFormat="1" applyFont="1" applyFill="1" applyBorder="1" applyAlignment="1">
      <alignment horizontal="right" vertical="center"/>
    </xf>
    <xf numFmtId="166" fontId="9" fillId="0" borderId="31" xfId="0" applyNumberFormat="1" applyFont="1" applyFill="1" applyBorder="1" applyAlignment="1">
      <alignment horizontal="right" vertical="center"/>
    </xf>
    <xf numFmtId="166" fontId="9" fillId="0" borderId="28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/>
    </xf>
    <xf numFmtId="166" fontId="9" fillId="0" borderId="26" xfId="0" applyNumberFormat="1" applyFont="1" applyFill="1" applyBorder="1"/>
    <xf numFmtId="166" fontId="66" fillId="0" borderId="30" xfId="0" applyNumberFormat="1" applyFont="1" applyFill="1" applyBorder="1" applyAlignment="1">
      <alignment horizontal="right" vertical="center"/>
    </xf>
    <xf numFmtId="166" fontId="9" fillId="0" borderId="30" xfId="0" applyNumberFormat="1" applyFont="1" applyFill="1" applyBorder="1" applyAlignment="1">
      <alignment horizontal="right" vertical="center"/>
    </xf>
    <xf numFmtId="166" fontId="9" fillId="0" borderId="4" xfId="0" applyNumberFormat="1" applyFont="1" applyFill="1" applyBorder="1" applyAlignment="1">
      <alignment horizontal="right" vertical="center"/>
    </xf>
    <xf numFmtId="166" fontId="41" fillId="0" borderId="29" xfId="0" applyNumberFormat="1" applyFont="1" applyFill="1" applyBorder="1"/>
    <xf numFmtId="166" fontId="68" fillId="0" borderId="44" xfId="0" applyNumberFormat="1" applyFont="1" applyFill="1" applyBorder="1" applyAlignment="1">
      <alignment horizontal="right" vertical="center"/>
    </xf>
    <xf numFmtId="166" fontId="41" fillId="0" borderId="31" xfId="0" applyNumberFormat="1" applyFont="1" applyFill="1" applyBorder="1"/>
    <xf numFmtId="166" fontId="41" fillId="0" borderId="30" xfId="0" applyNumberFormat="1" applyFont="1" applyFill="1" applyBorder="1"/>
    <xf numFmtId="166" fontId="41" fillId="0" borderId="5" xfId="0" applyNumberFormat="1" applyFont="1" applyFill="1" applyBorder="1"/>
    <xf numFmtId="166" fontId="35" fillId="0" borderId="44" xfId="0" applyNumberFormat="1" applyFont="1" applyFill="1" applyBorder="1" applyAlignment="1">
      <alignment horizontal="right" vertical="center"/>
    </xf>
    <xf numFmtId="166" fontId="41" fillId="0" borderId="6" xfId="0" applyNumberFormat="1" applyFont="1" applyFill="1" applyBorder="1"/>
    <xf numFmtId="166" fontId="35" fillId="0" borderId="45" xfId="0" applyNumberFormat="1" applyFont="1" applyFill="1" applyBorder="1" applyAlignment="1">
      <alignment horizontal="right" vertical="center"/>
    </xf>
    <xf numFmtId="166" fontId="41" fillId="0" borderId="10" xfId="0" applyNumberFormat="1" applyFont="1" applyFill="1" applyBorder="1"/>
    <xf numFmtId="166" fontId="35" fillId="0" borderId="55" xfId="0" applyNumberFormat="1" applyFont="1" applyFill="1" applyBorder="1" applyAlignment="1">
      <alignment horizontal="right" vertical="center"/>
    </xf>
    <xf numFmtId="166" fontId="41" fillId="0" borderId="20" xfId="0" applyNumberFormat="1" applyFont="1" applyFill="1" applyBorder="1"/>
    <xf numFmtId="166" fontId="35" fillId="0" borderId="52" xfId="0" applyNumberFormat="1" applyFont="1" applyFill="1" applyBorder="1" applyAlignment="1">
      <alignment horizontal="right" vertical="center"/>
    </xf>
    <xf numFmtId="166" fontId="44" fillId="0" borderId="63" xfId="0" applyNumberFormat="1" applyFont="1" applyFill="1" applyBorder="1" applyAlignment="1">
      <alignment horizontal="right" vertical="center"/>
    </xf>
    <xf numFmtId="166" fontId="44" fillId="0" borderId="51" xfId="0" applyNumberFormat="1" applyFont="1" applyFill="1" applyBorder="1" applyAlignment="1">
      <alignment horizontal="right" vertical="center"/>
    </xf>
    <xf numFmtId="10" fontId="44" fillId="0" borderId="51" xfId="0" applyNumberFormat="1" applyFont="1" applyFill="1" applyBorder="1" applyAlignment="1">
      <alignment horizontal="right" vertical="center"/>
    </xf>
    <xf numFmtId="166" fontId="45" fillId="0" borderId="51" xfId="0" applyNumberFormat="1" applyFont="1" applyFill="1" applyBorder="1" applyAlignment="1">
      <alignment horizontal="right" vertical="center"/>
    </xf>
    <xf numFmtId="166" fontId="45" fillId="0" borderId="64" xfId="0" applyNumberFormat="1" applyFont="1" applyFill="1" applyBorder="1" applyAlignment="1">
      <alignment horizontal="right" vertical="center"/>
    </xf>
    <xf numFmtId="166" fontId="46" fillId="0" borderId="47" xfId="0" applyNumberFormat="1" applyFont="1" applyFill="1" applyBorder="1" applyAlignment="1">
      <alignment horizontal="right" vertical="center"/>
    </xf>
    <xf numFmtId="166" fontId="44" fillId="0" borderId="2" xfId="0" applyNumberFormat="1" applyFont="1" applyFill="1" applyBorder="1" applyAlignment="1">
      <alignment horizontal="center" vertical="center" wrapText="1"/>
    </xf>
    <xf numFmtId="166" fontId="44" fillId="0" borderId="12" xfId="0" applyNumberFormat="1" applyFont="1" applyFill="1" applyBorder="1" applyAlignment="1">
      <alignment horizontal="center" vertical="center" wrapText="1"/>
    </xf>
    <xf numFmtId="10" fontId="44" fillId="0" borderId="12" xfId="0" applyNumberFormat="1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 vertical="center" wrapText="1"/>
    </xf>
    <xf numFmtId="166" fontId="45" fillId="0" borderId="12" xfId="0" applyNumberFormat="1" applyFont="1" applyFill="1" applyBorder="1" applyAlignment="1">
      <alignment horizontal="center" vertical="center" wrapText="1"/>
    </xf>
    <xf numFmtId="166" fontId="45" fillId="0" borderId="13" xfId="0" applyNumberFormat="1" applyFont="1" applyFill="1" applyBorder="1" applyAlignment="1">
      <alignment horizontal="center" vertical="center" wrapText="1"/>
    </xf>
    <xf numFmtId="166" fontId="44" fillId="0" borderId="82" xfId="0" applyNumberFormat="1" applyFont="1" applyFill="1" applyBorder="1" applyAlignment="1">
      <alignment horizontal="right" vertical="center"/>
    </xf>
    <xf numFmtId="0" fontId="44" fillId="0" borderId="2" xfId="0" applyFont="1" applyFill="1" applyBorder="1" applyAlignment="1">
      <alignment horizontal="center" vertical="center" wrapText="1"/>
    </xf>
    <xf numFmtId="166" fontId="46" fillId="0" borderId="75" xfId="0" applyNumberFormat="1" applyFont="1" applyFill="1" applyBorder="1" applyAlignment="1">
      <alignment horizontal="right" vertical="center"/>
    </xf>
    <xf numFmtId="166" fontId="46" fillId="0" borderId="55" xfId="0" applyNumberFormat="1" applyFont="1" applyFill="1" applyBorder="1" applyAlignment="1">
      <alignment horizontal="right" vertical="center"/>
    </xf>
    <xf numFmtId="166" fontId="0" fillId="0" borderId="0" xfId="0" applyNumberFormat="1" applyBorder="1" applyAlignment="1">
      <alignment horizontal="center" vertical="center"/>
    </xf>
    <xf numFmtId="0" fontId="47" fillId="0" borderId="71" xfId="0" applyFont="1" applyFill="1" applyBorder="1" applyAlignment="1">
      <alignment horizontal="left"/>
    </xf>
    <xf numFmtId="166" fontId="17" fillId="0" borderId="70" xfId="0" applyNumberFormat="1" applyFont="1" applyFill="1" applyBorder="1" applyAlignment="1">
      <alignment horizontal="right" vertical="center"/>
    </xf>
    <xf numFmtId="166" fontId="17" fillId="0" borderId="46" xfId="0" applyNumberFormat="1" applyFont="1" applyFill="1" applyBorder="1" applyAlignment="1">
      <alignment horizontal="right" vertical="center"/>
    </xf>
    <xf numFmtId="166" fontId="17" fillId="0" borderId="47" xfId="0" applyNumberFormat="1" applyFont="1" applyFill="1" applyBorder="1" applyAlignment="1">
      <alignment horizontal="right" vertical="center"/>
    </xf>
    <xf numFmtId="10" fontId="17" fillId="0" borderId="48" xfId="0" applyNumberFormat="1" applyFont="1" applyFill="1" applyBorder="1" applyAlignment="1">
      <alignment horizontal="right" vertical="center"/>
    </xf>
    <xf numFmtId="10" fontId="17" fillId="0" borderId="46" xfId="0" applyNumberFormat="1" applyFont="1" applyFill="1" applyBorder="1" applyAlignment="1">
      <alignment horizontal="right" vertical="center"/>
    </xf>
    <xf numFmtId="10" fontId="17" fillId="0" borderId="47" xfId="0" applyNumberFormat="1" applyFont="1" applyFill="1" applyBorder="1" applyAlignment="1">
      <alignment horizontal="right" vertical="center"/>
    </xf>
    <xf numFmtId="10" fontId="17" fillId="0" borderId="70" xfId="0" applyNumberFormat="1" applyFont="1" applyFill="1" applyBorder="1" applyAlignment="1">
      <alignment horizontal="right" vertical="center"/>
    </xf>
    <xf numFmtId="10" fontId="0" fillId="0" borderId="0" xfId="0" applyNumberForma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37" xfId="0" applyFont="1" applyBorder="1" applyAlignment="1">
      <alignment horizontal="right"/>
    </xf>
    <xf numFmtId="165" fontId="52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6" fontId="61" fillId="0" borderId="31" xfId="0" applyNumberFormat="1" applyFont="1" applyBorder="1"/>
    <xf numFmtId="0" fontId="27" fillId="6" borderId="56" xfId="0" applyFont="1" applyFill="1" applyBorder="1" applyAlignment="1">
      <alignment horizontal="center" vertical="center" wrapText="1"/>
    </xf>
    <xf numFmtId="0" fontId="27" fillId="6" borderId="57" xfId="0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 vertical="center" wrapText="1"/>
    </xf>
    <xf numFmtId="0" fontId="27" fillId="6" borderId="59" xfId="0" applyFont="1" applyFill="1" applyBorder="1" applyAlignment="1">
      <alignment horizontal="center" vertical="center" wrapText="1"/>
    </xf>
    <xf numFmtId="0" fontId="27" fillId="6" borderId="56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horizontal="center" vertical="center"/>
    </xf>
    <xf numFmtId="0" fontId="27" fillId="7" borderId="56" xfId="0" applyFont="1" applyFill="1" applyBorder="1" applyAlignment="1">
      <alignment horizontal="center" vertical="center" wrapText="1"/>
    </xf>
    <xf numFmtId="0" fontId="27" fillId="7" borderId="57" xfId="0" applyFont="1" applyFill="1" applyBorder="1" applyAlignment="1">
      <alignment horizontal="center" vertical="center" wrapText="1"/>
    </xf>
    <xf numFmtId="0" fontId="27" fillId="7" borderId="58" xfId="0" applyFont="1" applyFill="1" applyBorder="1" applyAlignment="1">
      <alignment horizontal="center" vertical="center" wrapText="1"/>
    </xf>
    <xf numFmtId="0" fontId="27" fillId="7" borderId="5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 vertical="center"/>
    </xf>
    <xf numFmtId="165" fontId="13" fillId="4" borderId="24" xfId="0" applyNumberFormat="1" applyFont="1" applyFill="1" applyBorder="1" applyAlignment="1">
      <alignment horizontal="center" vertical="center"/>
    </xf>
    <xf numFmtId="165" fontId="13" fillId="4" borderId="19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165" fontId="19" fillId="4" borderId="1" xfId="0" applyNumberFormat="1" applyFont="1" applyFill="1" applyBorder="1" applyAlignment="1">
      <alignment horizontal="center" vertical="center"/>
    </xf>
    <xf numFmtId="165" fontId="19" fillId="4" borderId="24" xfId="0" applyNumberFormat="1" applyFont="1" applyFill="1" applyBorder="1" applyAlignment="1">
      <alignment horizontal="center" vertical="center"/>
    </xf>
    <xf numFmtId="165" fontId="19" fillId="4" borderId="19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vertical="center" wrapText="1"/>
    </xf>
    <xf numFmtId="0" fontId="19" fillId="4" borderId="55" xfId="0" applyFont="1" applyFill="1" applyBorder="1" applyAlignment="1">
      <alignment horizontal="center" vertical="center" wrapText="1"/>
    </xf>
    <xf numFmtId="0" fontId="19" fillId="4" borderId="52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14" borderId="112" xfId="0" applyFont="1" applyFill="1" applyBorder="1" applyAlignment="1">
      <alignment horizontal="center" vertical="center"/>
    </xf>
    <xf numFmtId="0" fontId="11" fillId="14" borderId="99" xfId="0" applyFont="1" applyFill="1" applyBorder="1" applyAlignment="1">
      <alignment horizontal="center" vertical="center"/>
    </xf>
    <xf numFmtId="0" fontId="59" fillId="4" borderId="54" xfId="0" applyFont="1" applyFill="1" applyBorder="1" applyAlignment="1">
      <alignment horizontal="center" vertical="center" wrapText="1"/>
    </xf>
    <xf numFmtId="0" fontId="59" fillId="4" borderId="74" xfId="0" applyFont="1" applyFill="1" applyBorder="1" applyAlignment="1">
      <alignment horizontal="center" vertical="center" wrapText="1"/>
    </xf>
    <xf numFmtId="0" fontId="59" fillId="4" borderId="25" xfId="0" applyFont="1" applyFill="1" applyBorder="1" applyAlignment="1">
      <alignment horizontal="center" vertical="center" wrapText="1"/>
    </xf>
    <xf numFmtId="0" fontId="59" fillId="4" borderId="6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59" fillId="4" borderId="44" xfId="0" applyFont="1" applyFill="1" applyBorder="1" applyAlignment="1">
      <alignment horizontal="center" vertical="center" wrapText="1"/>
    </xf>
    <xf numFmtId="0" fontId="59" fillId="4" borderId="55" xfId="0" applyFont="1" applyFill="1" applyBorder="1" applyAlignment="1">
      <alignment horizontal="center" vertical="center" wrapText="1"/>
    </xf>
    <xf numFmtId="0" fontId="59" fillId="4" borderId="82" xfId="0" applyFont="1" applyFill="1" applyBorder="1" applyAlignment="1">
      <alignment horizontal="center" vertical="center" wrapText="1"/>
    </xf>
    <xf numFmtId="0" fontId="59" fillId="4" borderId="7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59" fillId="4" borderId="63" xfId="0" applyFont="1" applyFill="1" applyBorder="1" applyAlignment="1">
      <alignment horizontal="center" vertical="center" wrapText="1"/>
    </xf>
    <xf numFmtId="0" fontId="59" fillId="4" borderId="77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4" fillId="0" borderId="24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0" fontId="44" fillId="11" borderId="22" xfId="0" applyFont="1" applyFill="1" applyBorder="1" applyAlignment="1">
      <alignment horizontal="center" vertical="center"/>
    </xf>
    <xf numFmtId="0" fontId="44" fillId="11" borderId="36" xfId="0" applyFont="1" applyFill="1" applyBorder="1" applyAlignment="1">
      <alignment horizontal="center" vertical="center"/>
    </xf>
    <xf numFmtId="0" fontId="44" fillId="0" borderId="23" xfId="0" applyFont="1" applyFill="1" applyBorder="1" applyAlignment="1">
      <alignment horizontal="center" vertical="center"/>
    </xf>
    <xf numFmtId="0" fontId="44" fillId="0" borderId="38" xfId="0" applyFont="1" applyFill="1" applyBorder="1" applyAlignment="1">
      <alignment horizontal="center" vertical="center"/>
    </xf>
    <xf numFmtId="0" fontId="44" fillId="0" borderId="39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24" xfId="0" applyFont="1" applyFill="1" applyBorder="1" applyAlignment="1">
      <alignment horizontal="center" vertical="center"/>
    </xf>
    <xf numFmtId="0" fontId="44" fillId="2" borderId="19" xfId="0" applyFont="1" applyFill="1" applyBorder="1" applyAlignment="1">
      <alignment horizontal="center" vertical="center"/>
    </xf>
    <xf numFmtId="0" fontId="44" fillId="3" borderId="22" xfId="0" applyFont="1" applyFill="1" applyBorder="1" applyAlignment="1">
      <alignment horizontal="center" vertical="center"/>
    </xf>
    <xf numFmtId="0" fontId="44" fillId="3" borderId="36" xfId="0" applyFont="1" applyFill="1" applyBorder="1" applyAlignment="1">
      <alignment horizontal="center" vertical="center"/>
    </xf>
    <xf numFmtId="0" fontId="44" fillId="12" borderId="1" xfId="0" applyFont="1" applyFill="1" applyBorder="1" applyAlignment="1">
      <alignment horizontal="center" vertical="center"/>
    </xf>
    <xf numFmtId="0" fontId="44" fillId="12" borderId="24" xfId="0" applyFont="1" applyFill="1" applyBorder="1" applyAlignment="1">
      <alignment horizontal="center" vertical="center"/>
    </xf>
    <xf numFmtId="0" fontId="44" fillId="12" borderId="1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19" fillId="0" borderId="43" xfId="0" applyNumberFormat="1" applyFont="1" applyFill="1" applyBorder="1" applyAlignment="1">
      <alignment horizontal="center" vertical="center"/>
    </xf>
    <xf numFmtId="166" fontId="19" fillId="0" borderId="44" xfId="0" applyNumberFormat="1" applyFont="1" applyFill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165" fontId="20" fillId="0" borderId="0" xfId="0" applyNumberFormat="1" applyFont="1" applyFill="1" applyBorder="1" applyAlignment="1">
      <alignment horizontal="center" vertical="center"/>
    </xf>
    <xf numFmtId="166" fontId="44" fillId="0" borderId="43" xfId="0" applyNumberFormat="1" applyFont="1" applyFill="1" applyBorder="1" applyAlignment="1">
      <alignment horizontal="center" vertical="center"/>
    </xf>
    <xf numFmtId="166" fontId="44" fillId="0" borderId="44" xfId="0" applyNumberFormat="1" applyFont="1" applyFill="1" applyBorder="1" applyAlignment="1">
      <alignment horizontal="center" vertical="center"/>
    </xf>
    <xf numFmtId="166" fontId="44" fillId="0" borderId="7" xfId="0" applyNumberFormat="1" applyFont="1" applyFill="1" applyBorder="1" applyAlignment="1">
      <alignment horizontal="center" vertical="center"/>
    </xf>
    <xf numFmtId="10" fontId="25" fillId="4" borderId="23" xfId="0" applyNumberFormat="1" applyFont="1" applyFill="1" applyBorder="1" applyAlignment="1">
      <alignment horizontal="center"/>
    </xf>
    <xf numFmtId="0" fontId="25" fillId="4" borderId="38" xfId="0" applyFont="1" applyFill="1" applyBorder="1" applyAlignment="1">
      <alignment horizontal="center"/>
    </xf>
    <xf numFmtId="0" fontId="25" fillId="4" borderId="39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/>
    </xf>
    <xf numFmtId="0" fontId="29" fillId="4" borderId="12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5" fillId="4" borderId="23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6" fillId="4" borderId="23" xfId="0" applyFont="1" applyFill="1" applyBorder="1" applyAlignment="1">
      <alignment horizontal="center"/>
    </xf>
    <xf numFmtId="0" fontId="26" fillId="4" borderId="38" xfId="0" applyFont="1" applyFill="1" applyBorder="1" applyAlignment="1">
      <alignment horizontal="center"/>
    </xf>
    <xf numFmtId="0" fontId="26" fillId="4" borderId="39" xfId="0" applyFont="1" applyFill="1" applyBorder="1" applyAlignment="1">
      <alignment horizontal="center"/>
    </xf>
    <xf numFmtId="0" fontId="8" fillId="0" borderId="63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6" fontId="44" fillId="0" borderId="53" xfId="0" applyNumberFormat="1" applyFont="1" applyFill="1" applyBorder="1" applyAlignment="1">
      <alignment horizontal="center" vertical="center"/>
    </xf>
    <xf numFmtId="166" fontId="44" fillId="0" borderId="54" xfId="0" applyNumberFormat="1" applyFont="1" applyFill="1" applyBorder="1" applyAlignment="1">
      <alignment horizontal="center" vertical="center"/>
    </xf>
    <xf numFmtId="165" fontId="10" fillId="0" borderId="29" xfId="0" applyNumberFormat="1" applyFont="1" applyBorder="1" applyAlignment="1">
      <alignment horizontal="right" vertical="center"/>
    </xf>
  </cellXfs>
  <cellStyles count="2">
    <cellStyle name="Lien hypertexte" xfId="1" builtinId="8"/>
    <cellStyle name="Normal" xfId="0" builtinId="0"/>
  </cellStyles>
  <dxfs count="37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3300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FF0000"/>
      </font>
    </dxf>
    <dxf>
      <font>
        <color rgb="FFFF0000"/>
      </font>
    </dxf>
    <dxf>
      <font>
        <color rgb="FFED7F10"/>
      </font>
    </dxf>
    <dxf>
      <font>
        <color theme="9" tint="-0.24994659260841701"/>
      </font>
    </dxf>
    <dxf>
      <font>
        <color rgb="FFFF0000"/>
      </font>
    </dxf>
    <dxf>
      <font>
        <color rgb="FFED7F10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b/>
        <i val="0"/>
        <color rgb="FFED7F1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b/>
        <i val="0"/>
        <color rgb="FFED7F1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ED7F1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ED7F1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ED7F10"/>
      </font>
    </dxf>
    <dxf>
      <font>
        <b/>
        <i val="0"/>
        <color rgb="FFFF000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b/>
        <i val="0"/>
        <color rgb="FFED7F1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theme="9" tint="-0.499984740745262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b/>
        <i/>
        <color rgb="FF00B050"/>
      </font>
    </dxf>
    <dxf>
      <font>
        <b/>
        <i/>
        <color rgb="FFFF0000"/>
      </font>
    </dxf>
    <dxf>
      <font>
        <b val="0"/>
        <i val="0"/>
        <color rgb="FF00B05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6600"/>
        </patternFill>
      </fill>
    </dxf>
    <dxf>
      <font>
        <color auto="1"/>
      </font>
      <fill>
        <patternFill>
          <bgColor rgb="FFFF66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6600"/>
      <color rgb="FFED7F1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900" b="1"/>
              <a:t>COMPARAISON CA MENSUEL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9"/>
          <c:order val="0"/>
          <c:tx>
            <c:v>N-1</c:v>
          </c:tx>
          <c:spPr>
            <a:solidFill>
              <a:srgbClr val="ED7F10"/>
            </a:solidFill>
            <a:ln>
              <a:solidFill>
                <a:srgbClr val="ED7F10"/>
              </a:solidFill>
            </a:ln>
          </c:spPr>
          <c:invertIfNegative val="0"/>
          <c:dLbls>
            <c:delete val="1"/>
          </c:dLbls>
          <c:cat>
            <c:strRef>
              <c:f>'Saisie CA'!$A$33:$A$44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'Saisie CA'!$W$33:$W$44</c:f>
              <c:numCache>
                <c:formatCode>#,##0\ _€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6B-438A-8BA2-940CBF9ED3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6230400"/>
        <c:axId val="201159168"/>
      </c:barChart>
      <c:lineChart>
        <c:grouping val="stacked"/>
        <c:varyColors val="0"/>
        <c:ser>
          <c:idx val="20"/>
          <c:order val="1"/>
          <c:tx>
            <c:v>N</c:v>
          </c:tx>
          <c:spPr>
            <a:ln>
              <a:solidFill>
                <a:srgbClr val="002060"/>
              </a:solidFill>
            </a:ln>
          </c:spPr>
          <c:marker>
            <c:symbol val="circl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'Saisie CA'!$A$33:$A$44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'Saisie CA'!$X$33:$X$44</c:f>
              <c:numCache>
                <c:formatCode>#,##0\ _€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6B-438A-8BA2-940CBF9ED3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625408"/>
        <c:axId val="201161472"/>
      </c:lineChart>
      <c:catAx>
        <c:axId val="21623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159168"/>
        <c:crosses val="autoZero"/>
        <c:auto val="1"/>
        <c:lblAlgn val="ctr"/>
        <c:lblOffset val="100"/>
        <c:noMultiLvlLbl val="0"/>
      </c:catAx>
      <c:valAx>
        <c:axId val="2011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700"/>
                </a:pPr>
                <a:r>
                  <a:rPr lang="fr-FR" sz="700"/>
                  <a:t>CA MENSUEL</a:t>
                </a:r>
              </a:p>
            </c:rich>
          </c:tx>
          <c:layout/>
          <c:overlay val="0"/>
        </c:title>
        <c:numFmt formatCode="#,##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6230400"/>
        <c:crosses val="autoZero"/>
        <c:crossBetween val="between"/>
      </c:valAx>
      <c:valAx>
        <c:axId val="201161472"/>
        <c:scaling>
          <c:orientation val="minMax"/>
          <c:max val="1350000"/>
          <c:min val="0"/>
        </c:scaling>
        <c:delete val="1"/>
        <c:axPos val="r"/>
        <c:numFmt formatCode="#,##0\ _€" sourceLinked="1"/>
        <c:majorTickMark val="out"/>
        <c:minorTickMark val="none"/>
        <c:tickLblPos val="none"/>
        <c:crossAx val="212625408"/>
        <c:crosses val="max"/>
        <c:crossBetween val="between"/>
        <c:majorUnit val="150000"/>
        <c:minorUnit val="50000"/>
      </c:valAx>
      <c:catAx>
        <c:axId val="21262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1161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>
                <a:solidFill>
                  <a:sysClr val="windowText" lastClr="000000"/>
                </a:solidFill>
              </a:rPr>
              <a:t>CA réalisé</a:t>
            </a:r>
            <a:r>
              <a:rPr lang="fr-FR" sz="1000" b="1" baseline="0">
                <a:solidFill>
                  <a:sysClr val="windowText" lastClr="000000"/>
                </a:solidFill>
              </a:rPr>
              <a:t> du mois / Objectif de CA mensuel</a:t>
            </a:r>
            <a:endParaRPr lang="fr-FR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1705111489681117"/>
          <c:y val="0.17051934082010251"/>
          <c:w val="0.54260899118021544"/>
          <c:h val="0.76390688868809475"/>
        </c:manualLayout>
      </c:layout>
      <c:doughnutChart>
        <c:varyColors val="1"/>
        <c:ser>
          <c:idx val="0"/>
          <c:order val="0"/>
          <c:tx>
            <c:strRef>
              <c:f>calculs!$D$15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06-4C9A-AB77-E30CA473085D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06-4C9A-AB77-E30CA473085D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06-4C9A-AB77-E30CA47308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06-4C9A-AB77-E30CA473085D}"/>
              </c:ext>
            </c:extLst>
          </c:dPt>
          <c:cat>
            <c:strRef>
              <c:f>calculs!$C$16:$C$19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calculs!$D$16:$D$19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606-4C9A-AB77-E30CA473085D}"/>
            </c:ext>
          </c:extLst>
        </c:ser>
        <c:ser>
          <c:idx val="1"/>
          <c:order val="1"/>
          <c:tx>
            <c:strRef>
              <c:f>calculs!$E$15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0">
                    <a:srgbClr val="FF0000"/>
                  </a:gs>
                  <a:gs pos="74000">
                    <a:srgbClr val="FF0000"/>
                  </a:gs>
                  <a:gs pos="83000">
                    <a:srgbClr val="C00000"/>
                  </a:gs>
                  <a:gs pos="100000">
                    <a:srgbClr val="C00000"/>
                  </a:gs>
                </a:gsLst>
                <a:lin ang="8100000" scaled="1"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606-4C9A-AB77-E30CA473085D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74000">
                    <a:srgbClr val="ED7F10"/>
                  </a:gs>
                  <a:gs pos="83000">
                    <a:srgbClr val="ED7F10"/>
                  </a:gs>
                  <a:gs pos="100000">
                    <a:srgbClr val="ED7F10"/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606-4C9A-AB77-E30CA473085D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ED7F10"/>
                  </a:gs>
                  <a:gs pos="74000">
                    <a:schemeClr val="accent6">
                      <a:lumMod val="75000"/>
                    </a:schemeClr>
                  </a:gs>
                  <a:gs pos="83000">
                    <a:schemeClr val="accent6">
                      <a:lumMod val="75000"/>
                    </a:scheme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606-4C9A-AB77-E30CA473085D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606-4C9A-AB77-E30CA473085D}"/>
              </c:ext>
            </c:extLst>
          </c:dPt>
          <c:cat>
            <c:strRef>
              <c:f>calculs!$C$16:$C$19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calculs!$E$16:$E$19</c:f>
              <c:numCache>
                <c:formatCode>0.00%</c:formatCode>
                <c:ptCount val="4"/>
                <c:pt idx="0">
                  <c:v>0.33329999999999999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0.99990000000000001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606-4C9A-AB77-E30CA4730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381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/>
              <a:t>CA</a:t>
            </a:r>
            <a:r>
              <a:rPr lang="fr-FR" sz="1000" baseline="0"/>
              <a:t> CUMULE à fin </a:t>
            </a:r>
            <a:endParaRPr lang="fr-FR" sz="1000"/>
          </a:p>
        </c:rich>
      </c:tx>
      <c:layout>
        <c:manualLayout>
          <c:xMode val="edge"/>
          <c:yMode val="edge"/>
          <c:x val="0.30706058407609044"/>
          <c:y val="3.573486977641320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AD-4BF4-8F09-0474BD72262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AD-4BF4-8F09-0474BD72262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00B0F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calculs!$D$84:$F$84</c:f>
              <c:strCache>
                <c:ptCount val="3"/>
                <c:pt idx="0">
                  <c:v>N-2</c:v>
                </c:pt>
                <c:pt idx="1">
                  <c:v>N-1</c:v>
                </c:pt>
                <c:pt idx="2">
                  <c:v>N</c:v>
                </c:pt>
              </c:strCache>
            </c:strRef>
          </c:cat>
          <c:val>
            <c:numRef>
              <c:f>calculs!$D$85:$F$85</c:f>
              <c:numCache>
                <c:formatCode>#,##0\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AD-4BF4-8F09-0474BD7226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950528"/>
        <c:axId val="184359680"/>
      </c:barChart>
      <c:catAx>
        <c:axId val="156950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84359680"/>
        <c:crosses val="autoZero"/>
        <c:auto val="1"/>
        <c:lblAlgn val="ctr"/>
        <c:lblOffset val="100"/>
        <c:noMultiLvlLbl val="0"/>
      </c:catAx>
      <c:valAx>
        <c:axId val="184359680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569505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900" b="1" i="0" baseline="0">
                <a:solidFill>
                  <a:sysClr val="windowText" lastClr="000000"/>
                </a:solidFill>
                <a:effectLst/>
              </a:rPr>
              <a:t>COMPARAISON CA MENSUEL NEGOCE</a:t>
            </a:r>
            <a:endParaRPr lang="fr-FR" sz="900" baseline="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N-1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NEGOCE!$B$20:$B$31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NEGOCE!$D$20:$D$31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E4-4748-811A-609A57A7E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51040"/>
        <c:axId val="187147392"/>
      </c:barChart>
      <c:lineChart>
        <c:grouping val="stacked"/>
        <c:varyColors val="0"/>
        <c:ser>
          <c:idx val="2"/>
          <c:order val="1"/>
          <c:tx>
            <c:v>N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089514273678751E-2"/>
                  <c:y val="-6.3171406621831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FE-47D4-A6B4-C78F64D79564}"/>
                </c:ext>
              </c:extLst>
            </c:dLbl>
            <c:dLbl>
              <c:idx val="4"/>
              <c:layout>
                <c:manualLayout>
                  <c:x val="-2.2551440329218117E-2"/>
                  <c:y val="-6.8775424923584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FE-47D4-A6B4-C78F64D795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NEGOCE!$B$20:$B$31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NEGOCE!$E$20:$E$31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E4-4748-811A-609A57A7E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51040"/>
        <c:axId val="187147392"/>
      </c:lineChart>
      <c:catAx>
        <c:axId val="15695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7147392"/>
        <c:crosses val="autoZero"/>
        <c:auto val="1"/>
        <c:lblAlgn val="ctr"/>
        <c:lblOffset val="100"/>
        <c:noMultiLvlLbl val="0"/>
      </c:catAx>
      <c:valAx>
        <c:axId val="18714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700" b="1">
                    <a:solidFill>
                      <a:sysClr val="windowText" lastClr="000000"/>
                    </a:solidFill>
                  </a:rPr>
                  <a:t>CA</a:t>
                </a:r>
                <a:r>
                  <a:rPr lang="fr-FR" sz="700" b="1" baseline="0">
                    <a:solidFill>
                      <a:sysClr val="windowText" lastClr="000000"/>
                    </a:solidFill>
                  </a:rPr>
                  <a:t> MENSUEL</a:t>
                </a:r>
                <a:endParaRPr lang="fr-FR" sz="7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951040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900" b="1"/>
              <a:t>COMPARAISON CA MENSUEL MAGASINS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N-1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MAGASINS!$B$20:$B$31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MAGASINS!$D$20:$D$31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90-40C6-8A03-156E830F7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27616"/>
        <c:axId val="201153856"/>
      </c:barChart>
      <c:lineChart>
        <c:grouping val="stacked"/>
        <c:varyColors val="0"/>
        <c:ser>
          <c:idx val="2"/>
          <c:order val="1"/>
          <c:tx>
            <c:v>N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MAGASINS!$B$20:$B$31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MAGASINS!$E$20:$E$31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90-40C6-8A03-156E830F7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27616"/>
        <c:axId val="201153856"/>
      </c:lineChart>
      <c:catAx>
        <c:axId val="1805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153856"/>
        <c:crosses val="autoZero"/>
        <c:auto val="1"/>
        <c:lblAlgn val="ctr"/>
        <c:lblOffset val="100"/>
        <c:noMultiLvlLbl val="0"/>
      </c:catAx>
      <c:valAx>
        <c:axId val="201153856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700" b="1">
                    <a:solidFill>
                      <a:sysClr val="windowText" lastClr="000000"/>
                    </a:solidFill>
                  </a:rPr>
                  <a:t>CA MENSUEL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52761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>
                <a:solidFill>
                  <a:sysClr val="windowText" lastClr="000000"/>
                </a:solidFill>
              </a:rPr>
              <a:t>CA réalisé</a:t>
            </a:r>
            <a:r>
              <a:rPr lang="fr-FR" sz="1000" b="1" baseline="0">
                <a:solidFill>
                  <a:sysClr val="windowText" lastClr="000000"/>
                </a:solidFill>
              </a:rPr>
              <a:t> du mois / Objectif de CA mensuel</a:t>
            </a:r>
            <a:endParaRPr lang="fr-FR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646776227555725"/>
          <c:y val="0.13963889687615411"/>
          <c:w val="0.4470647459517888"/>
          <c:h val="0.75075008369594021"/>
        </c:manualLayout>
      </c:layout>
      <c:doughnutChart>
        <c:varyColors val="1"/>
        <c:ser>
          <c:idx val="0"/>
          <c:order val="0"/>
          <c:tx>
            <c:strRef>
              <c:f>calculs!$O$69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F8-4D51-B943-03B62704E395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F8-4D51-B943-03B62704E395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F8-4D51-B943-03B62704E3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2F8-4D51-B943-03B62704E395}"/>
              </c:ext>
            </c:extLst>
          </c:dPt>
          <c:cat>
            <c:strRef>
              <c:f>calculs!$N$70:$N$73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calculs!$O$70:$O$73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F8-4D51-B943-03B62704E395}"/>
            </c:ext>
          </c:extLst>
        </c:ser>
        <c:ser>
          <c:idx val="1"/>
          <c:order val="1"/>
          <c:tx>
            <c:strRef>
              <c:f>calculs!$P$69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0">
                    <a:srgbClr val="FF0000"/>
                  </a:gs>
                  <a:gs pos="74000">
                    <a:srgbClr val="FF0000"/>
                  </a:gs>
                  <a:gs pos="83000">
                    <a:srgbClr val="C00000"/>
                  </a:gs>
                  <a:gs pos="100000">
                    <a:srgbClr val="C00000"/>
                  </a:gs>
                </a:gsLst>
                <a:lin ang="8100000" scaled="1"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2F8-4D51-B943-03B62704E395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74000">
                    <a:srgbClr val="ED7F10"/>
                  </a:gs>
                  <a:gs pos="83000">
                    <a:srgbClr val="ED7F10"/>
                  </a:gs>
                  <a:gs pos="100000">
                    <a:srgbClr val="ED7F10"/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2F8-4D51-B943-03B62704E395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ED7F10"/>
                  </a:gs>
                  <a:gs pos="74000">
                    <a:schemeClr val="accent6">
                      <a:lumMod val="75000"/>
                    </a:schemeClr>
                  </a:gs>
                  <a:gs pos="83000">
                    <a:schemeClr val="accent6">
                      <a:lumMod val="75000"/>
                    </a:scheme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12F8-4D51-B943-03B62704E395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12F8-4D51-B943-03B62704E395}"/>
              </c:ext>
            </c:extLst>
          </c:dPt>
          <c:cat>
            <c:strRef>
              <c:f>calculs!$N$70:$N$73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calculs!$P$70:$P$73</c:f>
              <c:numCache>
                <c:formatCode>0.00%</c:formatCode>
                <c:ptCount val="4"/>
                <c:pt idx="0">
                  <c:v>0.33329999999999999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0.99990000000000001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2F8-4D51-B943-03B62704E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381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/>
              <a:t>CA CUMULE</a:t>
            </a:r>
            <a:r>
              <a:rPr lang="fr-FR" sz="1000" baseline="0"/>
              <a:t> à fin</a:t>
            </a:r>
            <a:endParaRPr lang="fr-FR" sz="1000"/>
          </a:p>
        </c:rich>
      </c:tx>
      <c:layout>
        <c:manualLayout>
          <c:xMode val="edge"/>
          <c:yMode val="edge"/>
          <c:x val="0.33883360324640271"/>
          <c:y val="3.553676842991841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D5-44D6-A630-636D240A75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D5-44D6-A630-636D240A754A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 b="1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6">
                          <a:lumMod val="50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calculs!$A$94:$C$94</c:f>
              <c:strCache>
                <c:ptCount val="3"/>
                <c:pt idx="0">
                  <c:v>N-2</c:v>
                </c:pt>
                <c:pt idx="1">
                  <c:v>N-1</c:v>
                </c:pt>
                <c:pt idx="2">
                  <c:v>N</c:v>
                </c:pt>
              </c:strCache>
            </c:strRef>
          </c:cat>
          <c:val>
            <c:numRef>
              <c:f>calculs!$A$95:$C$95</c:f>
              <c:numCache>
                <c:formatCode>#,##0\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1D5-44D6-A630-636D240A7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29152"/>
        <c:axId val="201370432"/>
      </c:barChart>
      <c:catAx>
        <c:axId val="18052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01370432"/>
        <c:crosses val="autoZero"/>
        <c:auto val="1"/>
        <c:lblAlgn val="ctr"/>
        <c:lblOffset val="100"/>
        <c:noMultiLvlLbl val="0"/>
      </c:catAx>
      <c:valAx>
        <c:axId val="201370432"/>
        <c:scaling>
          <c:orientation val="minMax"/>
          <c:max val="300000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80529152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CA MENSUEL Boutique 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N-1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'Boutique 1'!$B$20:$B$31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'Boutique 1'!$D$20:$D$31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64-4EAF-B90E-02ACD1C9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30688"/>
        <c:axId val="201372160"/>
      </c:barChart>
      <c:lineChart>
        <c:grouping val="standard"/>
        <c:varyColors val="0"/>
        <c:ser>
          <c:idx val="2"/>
          <c:order val="1"/>
          <c:tx>
            <c:v>N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'Boutique 1'!$B$20:$B$31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'Boutique 1'!$E$20:$E$31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64-4EAF-B90E-02ACD1C9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30688"/>
        <c:axId val="201372160"/>
      </c:lineChart>
      <c:catAx>
        <c:axId val="18053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372160"/>
        <c:crosses val="autoZero"/>
        <c:auto val="1"/>
        <c:lblAlgn val="ctr"/>
        <c:lblOffset val="100"/>
        <c:noMultiLvlLbl val="0"/>
      </c:catAx>
      <c:valAx>
        <c:axId val="201372160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CA MENSUEL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530688"/>
        <c:crosses val="autoZero"/>
        <c:crossBetween val="between"/>
        <c:majorUnit val="5000"/>
        <c:min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700" b="1" baseline="0"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>
                <a:solidFill>
                  <a:sysClr val="windowText" lastClr="000000"/>
                </a:solidFill>
              </a:rPr>
              <a:t>CA réalisé</a:t>
            </a:r>
            <a:r>
              <a:rPr lang="fr-FR" sz="1000" b="1" baseline="0">
                <a:solidFill>
                  <a:sysClr val="windowText" lastClr="000000"/>
                </a:solidFill>
              </a:rPr>
              <a:t> du mois / Objectif de CA mensuel</a:t>
            </a:r>
            <a:endParaRPr lang="fr-FR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tx>
            <c:strRef>
              <c:f>calculs!$O$15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743-4967-87B2-B8672AC33404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43-4967-87B2-B8672AC33404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743-4967-87B2-B8672AC33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743-4967-87B2-B8672AC33404}"/>
              </c:ext>
            </c:extLst>
          </c:dPt>
          <c:cat>
            <c:strRef>
              <c:f>calculs!$N$16:$N$19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calculs!$O$16:$O$19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743-4967-87B2-B8672AC33404}"/>
            </c:ext>
          </c:extLst>
        </c:ser>
        <c:ser>
          <c:idx val="1"/>
          <c:order val="1"/>
          <c:tx>
            <c:strRef>
              <c:f>calculs!$P$15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0">
                    <a:srgbClr val="FF0000"/>
                  </a:gs>
                  <a:gs pos="74000">
                    <a:srgbClr val="FF0000"/>
                  </a:gs>
                  <a:gs pos="83000">
                    <a:srgbClr val="C00000"/>
                  </a:gs>
                  <a:gs pos="100000">
                    <a:srgbClr val="C00000"/>
                  </a:gs>
                </a:gsLst>
                <a:lin ang="8100000" scaled="1"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743-4967-87B2-B8672AC33404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74000">
                    <a:srgbClr val="ED7F10"/>
                  </a:gs>
                  <a:gs pos="83000">
                    <a:srgbClr val="ED7F10"/>
                  </a:gs>
                  <a:gs pos="100000">
                    <a:srgbClr val="ED7F10"/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743-4967-87B2-B8672AC33404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ED7F10"/>
                  </a:gs>
                  <a:gs pos="74000">
                    <a:schemeClr val="accent6">
                      <a:lumMod val="75000"/>
                    </a:schemeClr>
                  </a:gs>
                  <a:gs pos="83000">
                    <a:schemeClr val="accent6">
                      <a:lumMod val="75000"/>
                    </a:scheme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743-4967-87B2-B8672AC33404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743-4967-87B2-B8672AC33404}"/>
              </c:ext>
            </c:extLst>
          </c:dPt>
          <c:cat>
            <c:strRef>
              <c:f>calculs!$N$16:$N$19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calculs!$P$16:$P$19</c:f>
              <c:numCache>
                <c:formatCode>0.00%</c:formatCode>
                <c:ptCount val="4"/>
                <c:pt idx="0">
                  <c:v>0.33329999999999999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0.99990000000000001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743-4967-87B2-B8672AC33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381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/>
              <a:t>CA CUMULE à fin</a:t>
            </a:r>
          </a:p>
        </c:rich>
      </c:tx>
      <c:layout>
        <c:manualLayout>
          <c:xMode val="edge"/>
          <c:yMode val="edge"/>
          <c:x val="0.34076595744680849"/>
          <c:y val="3.565839816111231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9D-43AB-8A23-5C389BA1A82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9D-43AB-8A23-5C389BA1A82B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 b="1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6">
                          <a:lumMod val="50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calculs!$D$94:$F$94</c:f>
              <c:strCache>
                <c:ptCount val="3"/>
                <c:pt idx="0">
                  <c:v>N-2</c:v>
                </c:pt>
                <c:pt idx="1">
                  <c:v>N-1</c:v>
                </c:pt>
                <c:pt idx="2">
                  <c:v>N</c:v>
                </c:pt>
              </c:strCache>
            </c:strRef>
          </c:cat>
          <c:val>
            <c:numRef>
              <c:f>calculs!$D$95:$F$95</c:f>
              <c:numCache>
                <c:formatCode>#,##0\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49D-43AB-8A23-5C389BA1A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26240"/>
        <c:axId val="213434368"/>
      </c:barChart>
      <c:catAx>
        <c:axId val="18202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fr-FR"/>
          </a:p>
        </c:txPr>
        <c:crossAx val="213434368"/>
        <c:crosses val="autoZero"/>
        <c:auto val="1"/>
        <c:lblAlgn val="ctr"/>
        <c:lblOffset val="100"/>
        <c:noMultiLvlLbl val="0"/>
      </c:catAx>
      <c:valAx>
        <c:axId val="213434368"/>
        <c:scaling>
          <c:orientation val="minMax"/>
          <c:max val="220000"/>
          <c:min val="0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fr-FR"/>
          </a:p>
        </c:txPr>
        <c:crossAx val="182026240"/>
        <c:crosses val="autoZero"/>
        <c:crossBetween val="between"/>
        <c:majorUnit val="20000"/>
        <c:minorUnit val="10000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900" b="1"/>
              <a:t>COMPARAISON CA MENSUEL Boutique</a:t>
            </a:r>
            <a:r>
              <a:rPr lang="fr-FR" sz="900" b="1" baseline="0"/>
              <a:t> 2</a:t>
            </a:r>
            <a:endParaRPr lang="fr-FR" sz="9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N-1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'Boutique 2'!$B$20:$B$31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'Boutique 2'!$D$20:$D$31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9C-4702-AE2C-01CA4FF4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27264"/>
        <c:axId val="213436096"/>
      </c:barChart>
      <c:lineChart>
        <c:grouping val="standard"/>
        <c:varyColors val="0"/>
        <c:ser>
          <c:idx val="2"/>
          <c:order val="1"/>
          <c:tx>
            <c:v>N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'Boutique 2'!$B$20:$B$31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'Boutique 2'!$E$20:$E$31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9C-4702-AE2C-01CA4FF4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264"/>
        <c:axId val="213436096"/>
      </c:lineChart>
      <c:catAx>
        <c:axId val="18202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436096"/>
        <c:crosses val="autoZero"/>
        <c:auto val="1"/>
        <c:lblAlgn val="ctr"/>
        <c:lblOffset val="100"/>
        <c:noMultiLvlLbl val="0"/>
      </c:catAx>
      <c:valAx>
        <c:axId val="213436096"/>
        <c:scaling>
          <c:orientation val="minMax"/>
          <c:max val="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700" b="1">
                    <a:solidFill>
                      <a:sysClr val="windowText" lastClr="000000"/>
                    </a:solidFill>
                  </a:rPr>
                  <a:t>CA</a:t>
                </a:r>
                <a:r>
                  <a:rPr lang="fr-FR" sz="700" b="1" baseline="0">
                    <a:solidFill>
                      <a:sysClr val="windowText" lastClr="000000"/>
                    </a:solidFill>
                  </a:rPr>
                  <a:t> MENSUEL</a:t>
                </a:r>
                <a:endParaRPr lang="fr-FR" sz="700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027264"/>
        <c:crosses val="autoZero"/>
        <c:crossBetween val="between"/>
        <c:majorUnit val="2500"/>
        <c:min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>
                <a:solidFill>
                  <a:sysClr val="windowText" lastClr="000000"/>
                </a:solidFill>
              </a:rPr>
              <a:t>CA réalisé</a:t>
            </a:r>
            <a:r>
              <a:rPr lang="fr-FR" sz="1000" b="1" baseline="0">
                <a:solidFill>
                  <a:sysClr val="windowText" lastClr="000000"/>
                </a:solidFill>
              </a:rPr>
              <a:t> du mois / Objectif de CA mensuel</a:t>
            </a:r>
            <a:endParaRPr lang="fr-FR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540839895013133"/>
          <c:y val="0.25756043652438176"/>
          <c:w val="0.46995647082576236"/>
          <c:h val="0.67676331619416541"/>
        </c:manualLayout>
      </c:layout>
      <c:doughnutChart>
        <c:varyColors val="1"/>
        <c:ser>
          <c:idx val="0"/>
          <c:order val="0"/>
          <c:tx>
            <c:strRef>
              <c:f>calculs!$W$15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A7-4471-8173-D92C057A499A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A7-4471-8173-D92C057A499A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A7-4471-8173-D92C057A49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A7-4471-8173-D92C057A499A}"/>
              </c:ext>
            </c:extLst>
          </c:dPt>
          <c:cat>
            <c:strRef>
              <c:f>calculs!$V$16:$V$19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calculs!$W$16:$W$19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A7-4471-8173-D92C057A499A}"/>
            </c:ext>
          </c:extLst>
        </c:ser>
        <c:ser>
          <c:idx val="1"/>
          <c:order val="1"/>
          <c:tx>
            <c:strRef>
              <c:f>calculs!$X$15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0">
                    <a:srgbClr val="FF0000"/>
                  </a:gs>
                  <a:gs pos="74000">
                    <a:srgbClr val="FF0000"/>
                  </a:gs>
                  <a:gs pos="83000">
                    <a:srgbClr val="C00000"/>
                  </a:gs>
                  <a:gs pos="100000">
                    <a:srgbClr val="C00000"/>
                  </a:gs>
                </a:gsLst>
                <a:lin ang="8100000" scaled="1"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FA7-4471-8173-D92C057A499A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74000">
                    <a:srgbClr val="ED7F10"/>
                  </a:gs>
                  <a:gs pos="83000">
                    <a:srgbClr val="ED7F10"/>
                  </a:gs>
                  <a:gs pos="100000">
                    <a:srgbClr val="ED7F10"/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9FA7-4471-8173-D92C057A499A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ED7F10"/>
                  </a:gs>
                  <a:gs pos="74000">
                    <a:schemeClr val="accent6">
                      <a:lumMod val="75000"/>
                    </a:schemeClr>
                  </a:gs>
                  <a:gs pos="83000">
                    <a:schemeClr val="accent6">
                      <a:lumMod val="75000"/>
                    </a:scheme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9FA7-4471-8173-D92C057A499A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9FA7-4471-8173-D92C057A499A}"/>
              </c:ext>
            </c:extLst>
          </c:dPt>
          <c:cat>
            <c:strRef>
              <c:f>calculs!$V$16:$V$19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calculs!$X$16:$X$19</c:f>
              <c:numCache>
                <c:formatCode>0.00%</c:formatCode>
                <c:ptCount val="4"/>
                <c:pt idx="0">
                  <c:v>0.33329999999999999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0.99990000000000001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9FA7-4471-8173-D92C057A4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381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>
                <a:solidFill>
                  <a:sysClr val="windowText" lastClr="000000"/>
                </a:solidFill>
              </a:rPr>
              <a:t>CA réalisé</a:t>
            </a:r>
            <a:r>
              <a:rPr lang="fr-FR" sz="1000" b="1" baseline="0">
                <a:solidFill>
                  <a:sysClr val="windowText" lastClr="000000"/>
                </a:solidFill>
              </a:rPr>
              <a:t> du mois / Objectif de CA mensuel</a:t>
            </a:r>
            <a:endParaRPr lang="fr-FR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8547208127339052"/>
          <c:y val="0.19332029550731714"/>
          <c:w val="0.46555726478967441"/>
          <c:h val="0.68633419896463188"/>
        </c:manualLayout>
      </c:layout>
      <c:doughnutChart>
        <c:varyColors val="1"/>
        <c:ser>
          <c:idx val="0"/>
          <c:order val="0"/>
          <c:tx>
            <c:strRef>
              <c:f>calculs!$O$42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1A-4085-B51D-DB69CC635DE9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1A-4085-B51D-DB69CC635DE9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61A-4085-B51D-DB69CC635D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61A-4085-B51D-DB69CC635DE9}"/>
              </c:ext>
            </c:extLst>
          </c:dPt>
          <c:cat>
            <c:strRef>
              <c:f>calculs!$N$43:$N$46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calculs!$O$43:$O$46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1A-4085-B51D-DB69CC635DE9}"/>
            </c:ext>
          </c:extLst>
        </c:ser>
        <c:ser>
          <c:idx val="1"/>
          <c:order val="1"/>
          <c:tx>
            <c:strRef>
              <c:f>calculs!$P$42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0">
                    <a:srgbClr val="FF0000"/>
                  </a:gs>
                  <a:gs pos="74000">
                    <a:srgbClr val="FF0000"/>
                  </a:gs>
                  <a:gs pos="83000">
                    <a:srgbClr val="C00000"/>
                  </a:gs>
                  <a:gs pos="100000">
                    <a:srgbClr val="C00000"/>
                  </a:gs>
                </a:gsLst>
                <a:lin ang="8100000" scaled="1"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261A-4085-B51D-DB69CC635DE9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74000">
                    <a:srgbClr val="ED7F10"/>
                  </a:gs>
                  <a:gs pos="83000">
                    <a:srgbClr val="ED7F10"/>
                  </a:gs>
                  <a:gs pos="100000">
                    <a:srgbClr val="ED7F10"/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261A-4085-B51D-DB69CC635DE9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ED7F10"/>
                  </a:gs>
                  <a:gs pos="74000">
                    <a:schemeClr val="accent6">
                      <a:lumMod val="75000"/>
                    </a:schemeClr>
                  </a:gs>
                  <a:gs pos="83000">
                    <a:schemeClr val="accent6">
                      <a:lumMod val="75000"/>
                    </a:scheme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261A-4085-B51D-DB69CC635DE9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261A-4085-B51D-DB69CC635DE9}"/>
              </c:ext>
            </c:extLst>
          </c:dPt>
          <c:cat>
            <c:strRef>
              <c:f>calculs!$N$43:$N$46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calculs!$P$43:$P$46</c:f>
              <c:numCache>
                <c:formatCode>0.00%</c:formatCode>
                <c:ptCount val="4"/>
                <c:pt idx="0">
                  <c:v>0.33329999999999999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0.99990000000000001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261A-4085-B51D-DB69CC635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381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/>
              <a:t>CA CUMULE à fin</a:t>
            </a:r>
          </a:p>
        </c:rich>
      </c:tx>
      <c:layout>
        <c:manualLayout>
          <c:xMode val="edge"/>
          <c:yMode val="edge"/>
          <c:x val="0.35393803609600344"/>
          <c:y val="3.174603174603174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CCD-433F-A1AA-FD8E214EDF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CCD-433F-A1AA-FD8E214EDFD1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 b="1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6">
                          <a:lumMod val="50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calculs!$G$94:$I$94</c:f>
              <c:strCache>
                <c:ptCount val="3"/>
                <c:pt idx="0">
                  <c:v>N-2</c:v>
                </c:pt>
                <c:pt idx="1">
                  <c:v>N-1</c:v>
                </c:pt>
                <c:pt idx="2">
                  <c:v>N</c:v>
                </c:pt>
              </c:strCache>
            </c:strRef>
          </c:cat>
          <c:val>
            <c:numRef>
              <c:f>calculs!$G$95:$I$95</c:f>
              <c:numCache>
                <c:formatCode>#,##0\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CCD-433F-A1AA-FD8E214ED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30176"/>
        <c:axId val="213440128"/>
      </c:barChart>
      <c:catAx>
        <c:axId val="18053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fr-FR"/>
          </a:p>
        </c:txPr>
        <c:crossAx val="213440128"/>
        <c:crosses val="autoZero"/>
        <c:auto val="1"/>
        <c:lblAlgn val="ctr"/>
        <c:lblOffset val="100"/>
        <c:noMultiLvlLbl val="0"/>
      </c:catAx>
      <c:valAx>
        <c:axId val="213440128"/>
        <c:scaling>
          <c:orientation val="minMax"/>
          <c:max val="90000"/>
          <c:min val="0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fr-FR"/>
          </a:p>
        </c:txPr>
        <c:crossAx val="180530176"/>
        <c:crosses val="autoZero"/>
        <c:crossBetween val="between"/>
        <c:majorUnit val="10000"/>
        <c:minorUnit val="10000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chemeClr val="tx1"/>
                </a:solidFill>
              </a:rPr>
              <a:t>COMPARAISON</a:t>
            </a:r>
            <a:r>
              <a:rPr lang="fr-FR" sz="900" b="1" baseline="0">
                <a:solidFill>
                  <a:schemeClr val="tx1"/>
                </a:solidFill>
              </a:rPr>
              <a:t> CA MENSUEL </a:t>
            </a:r>
            <a:endParaRPr lang="fr-FR" sz="9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9"/>
          <c:order val="0"/>
          <c:tx>
            <c:v>N-1</c:v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'Saisie Commerciaux'!$A$13:$A$24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'Saisie Commerciaux'!$U$13:$U$24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6E-45BB-AA4F-F6066535F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0211584"/>
        <c:axId val="184732480"/>
      </c:barChart>
      <c:lineChart>
        <c:grouping val="standard"/>
        <c:varyColors val="0"/>
        <c:ser>
          <c:idx val="20"/>
          <c:order val="1"/>
          <c:tx>
            <c:v>N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'Saisie Commerciaux'!$A$13:$A$24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'Saisie Commerciaux'!$V$13:$V$24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6E-45BB-AA4F-F6066535F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11584"/>
        <c:axId val="184732480"/>
      </c:lineChart>
      <c:catAx>
        <c:axId val="1902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32480"/>
        <c:crosses val="autoZero"/>
        <c:auto val="1"/>
        <c:lblAlgn val="ctr"/>
        <c:lblOffset val="100"/>
        <c:noMultiLvlLbl val="0"/>
      </c:catAx>
      <c:valAx>
        <c:axId val="184732480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700" b="1">
                    <a:solidFill>
                      <a:sysClr val="windowText" lastClr="000000"/>
                    </a:solidFill>
                  </a:rPr>
                  <a:t>CA MENSUEL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211584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>
                <a:solidFill>
                  <a:sysClr val="windowText" lastClr="000000"/>
                </a:solidFill>
              </a:rPr>
              <a:t>CA réalisé</a:t>
            </a:r>
            <a:r>
              <a:rPr lang="fr-FR" sz="1000" b="1" baseline="0">
                <a:solidFill>
                  <a:sysClr val="windowText" lastClr="000000"/>
                </a:solidFill>
              </a:rPr>
              <a:t> du mois / Objectif de CA mensuel</a:t>
            </a:r>
            <a:endParaRPr lang="fr-FR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985058957182594"/>
          <c:y val="2.914389799635701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646776227555725"/>
          <c:y val="0.13963889687615411"/>
          <c:w val="0.48225486739530715"/>
          <c:h val="0.86036121160530632"/>
        </c:manualLayout>
      </c:layout>
      <c:doughnutChart>
        <c:varyColors val="1"/>
        <c:ser>
          <c:idx val="0"/>
          <c:order val="0"/>
          <c:tx>
            <c:strRef>
              <c:f>calculs!$AE$15</c:f>
              <c:strCache>
                <c:ptCount val="1"/>
                <c:pt idx="0">
                  <c:v>Valeur</c:v>
                </c:pt>
              </c:strCache>
            </c:strRef>
          </c:tx>
          <c:spPr>
            <a:noFill/>
            <a:ln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4D-4D2F-A3B7-883382D91D46}"/>
              </c:ext>
            </c:extLst>
          </c:dPt>
          <c:cat>
            <c:strRef>
              <c:f>calculs!$AD$16:$AD$19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calculs!$AE$16:$AE$19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34D-4D2F-A3B7-883382D91D46}"/>
            </c:ext>
          </c:extLst>
        </c:ser>
        <c:ser>
          <c:idx val="1"/>
          <c:order val="1"/>
          <c:tx>
            <c:strRef>
              <c:f>calculs!$AF$15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0">
                    <a:srgbClr val="FF0000"/>
                  </a:gs>
                  <a:gs pos="74000">
                    <a:srgbClr val="FF0000"/>
                  </a:gs>
                  <a:gs pos="83000">
                    <a:srgbClr val="C00000"/>
                  </a:gs>
                  <a:gs pos="100000">
                    <a:srgbClr val="C00000"/>
                  </a:gs>
                </a:gsLst>
                <a:lin ang="5400000" scaled="1"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34D-4D2F-A3B7-883382D91D46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FF0000"/>
                  </a:gs>
                  <a:gs pos="74000">
                    <a:srgbClr val="ED7F10"/>
                  </a:gs>
                  <a:gs pos="83000">
                    <a:srgbClr val="ED7F10"/>
                  </a:gs>
                  <a:gs pos="100000">
                    <a:srgbClr val="ED7F10"/>
                  </a:gs>
                </a:gsLst>
                <a:lin ang="0" scaled="1"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34D-4D2F-A3B7-883382D91D46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ED7F10"/>
                  </a:gs>
                  <a:gs pos="74000">
                    <a:schemeClr val="accent6">
                      <a:lumMod val="75000"/>
                    </a:schemeClr>
                  </a:gs>
                  <a:gs pos="83000">
                    <a:schemeClr val="accent6">
                      <a:lumMod val="75000"/>
                    </a:scheme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34D-4D2F-A3B7-883382D91D46}"/>
              </c:ext>
            </c:extLst>
          </c:dPt>
          <c:dPt>
            <c:idx val="3"/>
            <c:bubble3D val="0"/>
            <c:spPr>
              <a:noFill/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34D-4D2F-A3B7-883382D91D46}"/>
              </c:ext>
            </c:extLst>
          </c:dPt>
          <c:cat>
            <c:strRef>
              <c:f>calculs!$AD$16:$AD$19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calculs!$AF$16:$AF$19</c:f>
              <c:numCache>
                <c:formatCode>0.00%</c:formatCode>
                <c:ptCount val="4"/>
                <c:pt idx="0">
                  <c:v>0.33329999999999999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0.99990000000000001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34D-4D2F-A3B7-883382D91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chemeClr val="tx1"/>
                </a:solidFill>
              </a:rPr>
              <a:t>COMPARAISON</a:t>
            </a:r>
            <a:r>
              <a:rPr lang="fr-FR" sz="900" b="1" baseline="0">
                <a:solidFill>
                  <a:schemeClr val="tx1"/>
                </a:solidFill>
              </a:rPr>
              <a:t> CA MENSUEL </a:t>
            </a:r>
            <a:endParaRPr lang="fr-FR" sz="9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8"/>
          <c:order val="0"/>
          <c:tx>
            <c:v>N-1</c:v>
          </c:tx>
          <c:spPr>
            <a:solidFill>
              <a:srgbClr val="ED7F10"/>
            </a:solidFill>
            <a:ln>
              <a:solidFill>
                <a:srgbClr val="ED7F10"/>
              </a:solidFill>
            </a:ln>
            <a:effectLst/>
          </c:spPr>
          <c:invertIfNegative val="0"/>
          <c:dLbls>
            <c:delete val="1"/>
          </c:dLbls>
          <c:cat>
            <c:strRef>
              <c:f>'Saisie Commerciaux'!$A$30:$A$41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'Saisie Commerciaux'!$U$30:$U$41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208-4AEE-9C7E-07EDAB0E55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0213120"/>
        <c:axId val="184735936"/>
      </c:barChart>
      <c:lineChart>
        <c:grouping val="stacked"/>
        <c:varyColors val="0"/>
        <c:ser>
          <c:idx val="19"/>
          <c:order val="1"/>
          <c:tx>
            <c:v>N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'Saisie Commerciaux'!$A$30:$A$41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'Saisie Commerciaux'!$V$30:$V$41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5208-4AEE-9C7E-07EDAB0E5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13120"/>
        <c:axId val="184735936"/>
      </c:lineChart>
      <c:catAx>
        <c:axId val="1902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35936"/>
        <c:crosses val="autoZero"/>
        <c:auto val="1"/>
        <c:lblAlgn val="ctr"/>
        <c:lblOffset val="100"/>
        <c:noMultiLvlLbl val="0"/>
      </c:catAx>
      <c:valAx>
        <c:axId val="184735936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700" b="1">
                    <a:solidFill>
                      <a:sysClr val="windowText" lastClr="000000"/>
                    </a:solidFill>
                  </a:rPr>
                  <a:t>CA MENSUEL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213120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>
                <a:solidFill>
                  <a:sysClr val="windowText" lastClr="000000"/>
                </a:solidFill>
              </a:rPr>
              <a:t>CA réalisé</a:t>
            </a:r>
            <a:r>
              <a:rPr lang="fr-FR" sz="1000" b="1" baseline="0">
                <a:solidFill>
                  <a:sysClr val="windowText" lastClr="000000"/>
                </a:solidFill>
              </a:rPr>
              <a:t> du mois / Objectif de CA mensuel</a:t>
            </a:r>
            <a:endParaRPr lang="fr-FR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985058957182594"/>
          <c:y val="2.914389799635701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646776227555725"/>
          <c:y val="0.13963889687615411"/>
          <c:w val="0.48225486739530715"/>
          <c:h val="0.86036121160530632"/>
        </c:manualLayout>
      </c:layout>
      <c:doughnutChart>
        <c:varyColors val="1"/>
        <c:ser>
          <c:idx val="0"/>
          <c:order val="0"/>
          <c:tx>
            <c:strRef>
              <c:f>calculs!$AM$15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54-44EE-9060-2609D79CF4D6}"/>
              </c:ext>
            </c:extLst>
          </c:dPt>
          <c:dPt>
            <c:idx val="1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854-44EE-9060-2609D79CF4D6}"/>
              </c:ext>
            </c:extLst>
          </c:dPt>
          <c:dPt>
            <c:idx val="2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854-44EE-9060-2609D79CF4D6}"/>
              </c:ext>
            </c:extLst>
          </c:dPt>
          <c:cat>
            <c:strRef>
              <c:f>calculs!$AL$16:$AL$19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calculs!$AM$16:$AM$19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54-44EE-9060-2609D79CF4D6}"/>
            </c:ext>
          </c:extLst>
        </c:ser>
        <c:ser>
          <c:idx val="1"/>
          <c:order val="1"/>
          <c:tx>
            <c:strRef>
              <c:f>calculs!$AN$15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0">
                    <a:srgbClr val="FF0000"/>
                  </a:gs>
                  <a:gs pos="83000">
                    <a:srgbClr val="C00000"/>
                  </a:gs>
                  <a:gs pos="74000">
                    <a:srgbClr val="FF0000"/>
                  </a:gs>
                  <a:gs pos="100000">
                    <a:srgbClr val="C00000"/>
                  </a:gs>
                </a:gsLst>
                <a:lin ang="5400000" scaled="1"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854-44EE-9060-2609D79CF4D6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83000">
                    <a:srgbClr val="ED7F10"/>
                  </a:gs>
                  <a:gs pos="74000">
                    <a:srgbClr val="ED7F10"/>
                  </a:gs>
                  <a:gs pos="100000">
                    <a:srgbClr val="ED7F10"/>
                  </a:gs>
                </a:gsLst>
                <a:lin ang="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854-44EE-9060-2609D79CF4D6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ED7F10"/>
                  </a:gs>
                  <a:gs pos="83000">
                    <a:schemeClr val="accent6">
                      <a:lumMod val="75000"/>
                    </a:schemeClr>
                  </a:gs>
                  <a:gs pos="74000">
                    <a:schemeClr val="accent6">
                      <a:lumMod val="75000"/>
                    </a:scheme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854-44EE-9060-2609D79CF4D6}"/>
              </c:ext>
            </c:extLst>
          </c:dPt>
          <c:dPt>
            <c:idx val="3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854-44EE-9060-2609D79CF4D6}"/>
              </c:ext>
            </c:extLst>
          </c:dPt>
          <c:cat>
            <c:strRef>
              <c:f>calculs!$AL$16:$AL$19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calculs!$AN$16:$AN$19</c:f>
              <c:numCache>
                <c:formatCode>0.00%</c:formatCode>
                <c:ptCount val="4"/>
                <c:pt idx="0">
                  <c:v>0.33329999999999999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0.99990000000000001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854-44EE-9060-2609D79CF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chemeClr val="tx1"/>
                </a:solidFill>
              </a:rPr>
              <a:t>COMPARAISON</a:t>
            </a:r>
            <a:r>
              <a:rPr lang="fr-FR" sz="900" b="1" baseline="0">
                <a:solidFill>
                  <a:schemeClr val="tx1"/>
                </a:solidFill>
              </a:rPr>
              <a:t> CA MENSUEL </a:t>
            </a:r>
            <a:endParaRPr lang="fr-FR" sz="9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9801895782135557E-2"/>
          <c:y val="0.16471923295910321"/>
          <c:w val="0.91019810421786451"/>
          <c:h val="0.63049155858658668"/>
        </c:manualLayout>
      </c:layout>
      <c:barChart>
        <c:barDir val="col"/>
        <c:grouping val="clustered"/>
        <c:varyColors val="0"/>
        <c:ser>
          <c:idx val="19"/>
          <c:order val="0"/>
          <c:tx>
            <c:v>N-1</c:v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'Saisie Commerciaux'!$A$47:$A$58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'Saisie Commerciaux'!$U$47:$U$58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26A-4E76-AA2C-4F4664459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210048"/>
        <c:axId val="190441152"/>
      </c:barChart>
      <c:lineChart>
        <c:grouping val="stacked"/>
        <c:varyColors val="0"/>
        <c:ser>
          <c:idx val="20"/>
          <c:order val="1"/>
          <c:tx>
            <c:v>N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'Saisie Commerciaux'!$A$47:$A$58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'Saisie Commerciaux'!$V$47:$V$58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26A-4E76-AA2C-4F4664459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10048"/>
        <c:axId val="190441152"/>
      </c:lineChart>
      <c:catAx>
        <c:axId val="1902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41152"/>
        <c:crosses val="autoZero"/>
        <c:auto val="1"/>
        <c:lblAlgn val="ctr"/>
        <c:lblOffset val="100"/>
        <c:noMultiLvlLbl val="0"/>
      </c:catAx>
      <c:valAx>
        <c:axId val="19044115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700" b="1">
                    <a:solidFill>
                      <a:sysClr val="windowText" lastClr="000000"/>
                    </a:solidFill>
                  </a:rPr>
                  <a:t>CA MENSUEL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210048"/>
        <c:crosses val="autoZero"/>
        <c:crossBetween val="between"/>
        <c:majorUnit val="5000"/>
        <c:minorUnit val="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>
                <a:solidFill>
                  <a:sysClr val="windowText" lastClr="000000"/>
                </a:solidFill>
              </a:rPr>
              <a:t>CA réalisé</a:t>
            </a:r>
            <a:r>
              <a:rPr lang="fr-FR" sz="1000" b="1" baseline="0">
                <a:solidFill>
                  <a:sysClr val="windowText" lastClr="000000"/>
                </a:solidFill>
              </a:rPr>
              <a:t> du mois / Objectif de CA mensuel</a:t>
            </a:r>
            <a:endParaRPr lang="fr-FR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985058957182594"/>
          <c:y val="2.914389799635701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646776227555725"/>
          <c:y val="0.13963889687615411"/>
          <c:w val="0.48225486739530715"/>
          <c:h val="0.86036121160530632"/>
        </c:manualLayout>
      </c:layout>
      <c:doughnutChart>
        <c:varyColors val="1"/>
        <c:ser>
          <c:idx val="0"/>
          <c:order val="0"/>
          <c:tx>
            <c:strRef>
              <c:f>calculs!$AU$15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F68-4537-B030-9A3BEF8855BF}"/>
              </c:ext>
            </c:extLst>
          </c:dPt>
          <c:dPt>
            <c:idx val="1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F68-4537-B030-9A3BEF8855BF}"/>
              </c:ext>
            </c:extLst>
          </c:dPt>
          <c:dPt>
            <c:idx val="2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F68-4537-B030-9A3BEF8855BF}"/>
              </c:ext>
            </c:extLst>
          </c:dPt>
          <c:cat>
            <c:strRef>
              <c:f>calculs!$AT$16:$AT$19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calculs!$AU$16:$AU$19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F68-4537-B030-9A3BEF8855BF}"/>
            </c:ext>
          </c:extLst>
        </c:ser>
        <c:ser>
          <c:idx val="1"/>
          <c:order val="1"/>
          <c:tx>
            <c:strRef>
              <c:f>calculs!$AV$15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gradFill flip="none" rotWithShape="1">
                <a:gsLst>
                  <a:gs pos="0">
                    <a:srgbClr val="FF0000"/>
                  </a:gs>
                  <a:gs pos="83000">
                    <a:srgbClr val="C00000"/>
                  </a:gs>
                  <a:gs pos="74000">
                    <a:srgbClr val="FF0000"/>
                  </a:gs>
                  <a:gs pos="100000">
                    <a:srgbClr val="C00000"/>
                  </a:gs>
                </a:gsLst>
                <a:lin ang="1080000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F68-4537-B030-9A3BEF8855BF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83000">
                    <a:srgbClr val="ED7F10"/>
                  </a:gs>
                  <a:gs pos="74000">
                    <a:srgbClr val="ED7F10"/>
                  </a:gs>
                  <a:gs pos="100000">
                    <a:srgbClr val="ED7F10"/>
                  </a:gs>
                </a:gsLst>
                <a:lin ang="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F68-4537-B030-9A3BEF8855BF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ED7F10"/>
                  </a:gs>
                  <a:gs pos="83000">
                    <a:schemeClr val="accent6">
                      <a:lumMod val="75000"/>
                    </a:schemeClr>
                  </a:gs>
                  <a:gs pos="74000">
                    <a:schemeClr val="accent6">
                      <a:lumMod val="75000"/>
                    </a:scheme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F68-4537-B030-9A3BEF8855BF}"/>
              </c:ext>
            </c:extLst>
          </c:dPt>
          <c:dPt>
            <c:idx val="3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F68-4537-B030-9A3BEF8855BF}"/>
              </c:ext>
            </c:extLst>
          </c:dPt>
          <c:cat>
            <c:strRef>
              <c:f>calculs!$AT$16:$AT$19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calculs!$AV$16:$AV$19</c:f>
              <c:numCache>
                <c:formatCode>0.00%</c:formatCode>
                <c:ptCount val="4"/>
                <c:pt idx="0">
                  <c:v>0.33329999999999999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0.99990000000000001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FF68-4537-B030-9A3BEF885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/>
              <a:t>CA CUMULE à</a:t>
            </a:r>
            <a:r>
              <a:rPr lang="fr-FR" sz="1000" baseline="0"/>
              <a:t> fin</a:t>
            </a:r>
            <a:endParaRPr lang="fr-FR" sz="1000"/>
          </a:p>
        </c:rich>
      </c:tx>
      <c:layout>
        <c:manualLayout>
          <c:xMode val="edge"/>
          <c:yMode val="edge"/>
          <c:x val="0.36056176349254743"/>
          <c:y val="3.187250996015936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16-4C0A-914F-4263720E59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16-4C0A-914F-4263720E59E1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 b="1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6">
                          <a:lumMod val="50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calculs!$A$89:$C$89</c:f>
              <c:strCache>
                <c:ptCount val="3"/>
                <c:pt idx="0">
                  <c:v>N-2</c:v>
                </c:pt>
                <c:pt idx="1">
                  <c:v>N-1</c:v>
                </c:pt>
                <c:pt idx="2">
                  <c:v>N</c:v>
                </c:pt>
              </c:strCache>
            </c:strRef>
          </c:cat>
          <c:val>
            <c:numRef>
              <c:f>calculs!$A$90:$C$90</c:f>
              <c:numCache>
                <c:formatCode>#,##0\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716-4C0A-914F-4263720E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31296"/>
        <c:axId val="212478784"/>
      </c:barChart>
      <c:catAx>
        <c:axId val="13343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12478784"/>
        <c:crosses val="autoZero"/>
        <c:auto val="1"/>
        <c:lblAlgn val="ctr"/>
        <c:lblOffset val="100"/>
        <c:noMultiLvlLbl val="0"/>
      </c:catAx>
      <c:valAx>
        <c:axId val="212478784"/>
        <c:scaling>
          <c:orientation val="minMax"/>
          <c:max val="1300000"/>
          <c:min val="0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33431296"/>
        <c:crosses val="autoZero"/>
        <c:crossBetween val="between"/>
        <c:majorUnit val="100000"/>
        <c:minorUnit val="100000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900" b="1" baseline="0"/>
              <a:t>COMPARAISON CA MENSUEL ATELIER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N-1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ATELIER!$B$20:$B$31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ATELIER!$D$20:$D$31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3F-4C84-B0CC-7D2F439BA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18240"/>
        <c:axId val="180602560"/>
      </c:barChart>
      <c:lineChart>
        <c:grouping val="standard"/>
        <c:varyColors val="0"/>
        <c:ser>
          <c:idx val="2"/>
          <c:order val="1"/>
          <c:tx>
            <c:v>N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ATELIER!$B$20:$B$31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ATELIER!$E$20:$E$31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3F-4C84-B0CC-7D2F439BA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18240"/>
        <c:axId val="180602560"/>
      </c:lineChart>
      <c:catAx>
        <c:axId val="15661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602560"/>
        <c:crosses val="autoZero"/>
        <c:auto val="1"/>
        <c:lblAlgn val="ctr"/>
        <c:lblOffset val="100"/>
        <c:noMultiLvlLbl val="0"/>
      </c:catAx>
      <c:valAx>
        <c:axId val="180602560"/>
        <c:scaling>
          <c:orientation val="minMax"/>
          <c:max val="1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700" b="1">
                    <a:solidFill>
                      <a:sysClr val="windowText" lastClr="000000"/>
                    </a:solidFill>
                  </a:rPr>
                  <a:t>CA</a:t>
                </a:r>
                <a:r>
                  <a:rPr lang="fr-FR" sz="700" b="1" baseline="0">
                    <a:solidFill>
                      <a:sysClr val="windowText" lastClr="000000"/>
                    </a:solidFill>
                  </a:rPr>
                  <a:t> MENSUEL</a:t>
                </a:r>
                <a:endParaRPr lang="fr-FR" sz="700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618240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>
                <a:solidFill>
                  <a:sysClr val="windowText" lastClr="000000"/>
                </a:solidFill>
              </a:rPr>
              <a:t>CA réalisé</a:t>
            </a:r>
            <a:r>
              <a:rPr lang="fr-FR" sz="1000" b="1" baseline="0">
                <a:solidFill>
                  <a:sysClr val="windowText" lastClr="000000"/>
                </a:solidFill>
              </a:rPr>
              <a:t> du mois / Objectif de CA mensuel</a:t>
            </a:r>
            <a:endParaRPr lang="fr-FR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tx>
            <c:strRef>
              <c:f>calculs!$D$69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5D-4FCA-AF2A-23242A950F02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5D-4FCA-AF2A-23242A950F02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5D-4FCA-AF2A-23242A950F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5D-4FCA-AF2A-23242A950F02}"/>
              </c:ext>
            </c:extLst>
          </c:dPt>
          <c:cat>
            <c:strRef>
              <c:f>calculs!$C$70:$C$73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calculs!$D$70:$D$73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25D-4FCA-AF2A-23242A950F02}"/>
            </c:ext>
          </c:extLst>
        </c:ser>
        <c:ser>
          <c:idx val="1"/>
          <c:order val="1"/>
          <c:tx>
            <c:strRef>
              <c:f>calculs!$E$69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0">
                    <a:srgbClr val="FF0000"/>
                  </a:gs>
                  <a:gs pos="74000">
                    <a:srgbClr val="FF0000"/>
                  </a:gs>
                  <a:gs pos="83000">
                    <a:srgbClr val="C00000"/>
                  </a:gs>
                  <a:gs pos="100000">
                    <a:srgbClr val="C00000"/>
                  </a:gs>
                </a:gsLst>
                <a:lin ang="8100000" scaled="1"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25D-4FCA-AF2A-23242A950F02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74000">
                    <a:srgbClr val="ED7F10"/>
                  </a:gs>
                  <a:gs pos="83000">
                    <a:srgbClr val="ED7F10"/>
                  </a:gs>
                  <a:gs pos="100000">
                    <a:srgbClr val="ED7F10"/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25D-4FCA-AF2A-23242A950F02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ED7F10"/>
                  </a:gs>
                  <a:gs pos="74000">
                    <a:schemeClr val="accent6">
                      <a:lumMod val="75000"/>
                    </a:schemeClr>
                  </a:gs>
                  <a:gs pos="83000">
                    <a:schemeClr val="accent6">
                      <a:lumMod val="75000"/>
                    </a:scheme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25D-4FCA-AF2A-23242A950F02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25D-4FCA-AF2A-23242A950F02}"/>
              </c:ext>
            </c:extLst>
          </c:dPt>
          <c:cat>
            <c:strRef>
              <c:f>calculs!$C$70:$C$73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calculs!$E$70:$E$73</c:f>
              <c:numCache>
                <c:formatCode>0.00%</c:formatCode>
                <c:ptCount val="4"/>
                <c:pt idx="0">
                  <c:v>0.33329999999999999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0.99990000000000001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25D-4FCA-AF2A-23242A950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381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/>
              <a:t>CA CUMULE à fin</a:t>
            </a:r>
          </a:p>
        </c:rich>
      </c:tx>
      <c:layout>
        <c:manualLayout>
          <c:xMode val="edge"/>
          <c:yMode val="edge"/>
          <c:x val="0.27638002485005525"/>
          <c:y val="4.545454545454545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F1-48E9-A6C4-5D955833F9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F1-48E9-A6C4-5D955833F996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 b="1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6">
                          <a:lumMod val="50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calculs!$A$84:$C$84</c:f>
              <c:strCache>
                <c:ptCount val="3"/>
                <c:pt idx="0">
                  <c:v>N-2</c:v>
                </c:pt>
                <c:pt idx="1">
                  <c:v>N-1</c:v>
                </c:pt>
                <c:pt idx="2">
                  <c:v>N</c:v>
                </c:pt>
              </c:strCache>
            </c:strRef>
          </c:cat>
          <c:val>
            <c:numRef>
              <c:f>calculs!$A$85:$C$85</c:f>
              <c:numCache>
                <c:formatCode>#,##0\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9F1-48E9-A6C4-5D955833F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73536"/>
        <c:axId val="180606016"/>
      </c:barChart>
      <c:catAx>
        <c:axId val="156673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80606016"/>
        <c:crosses val="autoZero"/>
        <c:auto val="1"/>
        <c:lblAlgn val="ctr"/>
        <c:lblOffset val="100"/>
        <c:noMultiLvlLbl val="0"/>
      </c:catAx>
      <c:valAx>
        <c:axId val="180606016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5667353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900" b="1" baseline="0"/>
              <a:t>COMPARAISON CA MENSUEL PRODUCTION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N-1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PRODUCTION!$B$20:$B$31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PRODUCTION!$D$20:$D$31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13-435D-8C9F-320256603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674048"/>
        <c:axId val="180608320"/>
      </c:barChart>
      <c:lineChart>
        <c:grouping val="stacked"/>
        <c:varyColors val="0"/>
        <c:ser>
          <c:idx val="2"/>
          <c:order val="1"/>
          <c:tx>
            <c:v>N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PRODUCTION!$B$20:$B$31</c:f>
              <c:strCache>
                <c:ptCount val="12"/>
                <c:pt idx="0">
                  <c:v>Février</c:v>
                </c:pt>
                <c:pt idx="1">
                  <c:v>Mars</c:v>
                </c:pt>
                <c:pt idx="2">
                  <c:v>Avril</c:v>
                </c:pt>
                <c:pt idx="3">
                  <c:v>Mai</c:v>
                </c:pt>
                <c:pt idx="4">
                  <c:v>Juin</c:v>
                </c:pt>
                <c:pt idx="5">
                  <c:v>Juillet</c:v>
                </c:pt>
                <c:pt idx="6">
                  <c:v>Août</c:v>
                </c:pt>
                <c:pt idx="7">
                  <c:v>Septembre</c:v>
                </c:pt>
                <c:pt idx="8">
                  <c:v>Octobre</c:v>
                </c:pt>
                <c:pt idx="9">
                  <c:v>Novembre</c:v>
                </c:pt>
                <c:pt idx="10">
                  <c:v>Décembre</c:v>
                </c:pt>
                <c:pt idx="11">
                  <c:v>Janvier</c:v>
                </c:pt>
              </c:strCache>
            </c:strRef>
          </c:cat>
          <c:val>
            <c:numRef>
              <c:f>PRODUCTION!$E$20:$E$31</c:f>
              <c:numCache>
                <c:formatCode>#,##0\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13-435D-8C9F-320256603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74048"/>
        <c:axId val="180608320"/>
      </c:lineChart>
      <c:catAx>
        <c:axId val="1566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608320"/>
        <c:crosses val="autoZero"/>
        <c:auto val="1"/>
        <c:lblAlgn val="ctr"/>
        <c:lblOffset val="100"/>
        <c:noMultiLvlLbl val="0"/>
      </c:catAx>
      <c:valAx>
        <c:axId val="18060832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700" b="1">
                    <a:solidFill>
                      <a:sysClr val="windowText" lastClr="000000"/>
                    </a:solidFill>
                  </a:rPr>
                  <a:t>CA</a:t>
                </a:r>
                <a:r>
                  <a:rPr lang="fr-FR" sz="700" b="1" baseline="0">
                    <a:solidFill>
                      <a:sysClr val="windowText" lastClr="000000"/>
                    </a:solidFill>
                  </a:rPr>
                  <a:t> MENSUEL</a:t>
                </a:r>
                <a:endParaRPr lang="fr-FR" sz="700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674048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>
                <a:solidFill>
                  <a:sysClr val="windowText" lastClr="000000"/>
                </a:solidFill>
              </a:rPr>
              <a:t>CA réalisé</a:t>
            </a:r>
            <a:r>
              <a:rPr lang="fr-FR" sz="1000" b="1" baseline="0">
                <a:solidFill>
                  <a:sysClr val="windowText" lastClr="000000"/>
                </a:solidFill>
              </a:rPr>
              <a:t> du mois / Objectif de CA mensuel</a:t>
            </a:r>
            <a:endParaRPr lang="fr-FR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tx>
            <c:strRef>
              <c:f>calculs!$D$42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19-4317-BB01-6930326D75B8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19-4317-BB01-6930326D75B8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19-4317-BB01-6930326D75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19-4317-BB01-6930326D75B8}"/>
              </c:ext>
            </c:extLst>
          </c:dPt>
          <c:cat>
            <c:strRef>
              <c:f>calculs!$C$43:$C$46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calculs!$D$43:$D$46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19-4317-BB01-6930326D75B8}"/>
            </c:ext>
          </c:extLst>
        </c:ser>
        <c:ser>
          <c:idx val="1"/>
          <c:order val="1"/>
          <c:tx>
            <c:strRef>
              <c:f>calculs!$E$42</c:f>
              <c:strCache>
                <c:ptCount val="1"/>
                <c:pt idx="0">
                  <c:v>Seuil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0">
                    <a:srgbClr val="FF0000"/>
                  </a:gs>
                  <a:gs pos="74000">
                    <a:srgbClr val="FF0000"/>
                  </a:gs>
                  <a:gs pos="83000">
                    <a:srgbClr val="C00000"/>
                  </a:gs>
                  <a:gs pos="100000">
                    <a:srgbClr val="C00000"/>
                  </a:gs>
                </a:gsLst>
                <a:lin ang="8100000" scaled="1"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919-4317-BB01-6930326D75B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74000">
                    <a:srgbClr val="ED7F10"/>
                  </a:gs>
                  <a:gs pos="83000">
                    <a:srgbClr val="ED7F10"/>
                  </a:gs>
                  <a:gs pos="100000">
                    <a:srgbClr val="ED7F10"/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919-4317-BB01-6930326D75B8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ED7F10"/>
                  </a:gs>
                  <a:gs pos="74000">
                    <a:schemeClr val="accent6">
                      <a:lumMod val="75000"/>
                    </a:schemeClr>
                  </a:gs>
                  <a:gs pos="83000">
                    <a:schemeClr val="accent6">
                      <a:lumMod val="75000"/>
                    </a:scheme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919-4317-BB01-6930326D75B8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919-4317-BB01-6930326D75B8}"/>
              </c:ext>
            </c:extLst>
          </c:dPt>
          <c:cat>
            <c:strRef>
              <c:f>calculs!$C$43:$C$46</c:f>
              <c:strCache>
                <c:ptCount val="3"/>
                <c:pt idx="0">
                  <c:v>Rouge</c:v>
                </c:pt>
                <c:pt idx="1">
                  <c:v>Orange</c:v>
                </c:pt>
                <c:pt idx="2">
                  <c:v>Vert</c:v>
                </c:pt>
              </c:strCache>
            </c:strRef>
          </c:cat>
          <c:val>
            <c:numRef>
              <c:f>calculs!$E$43:$E$46</c:f>
              <c:numCache>
                <c:formatCode>0.00%</c:formatCode>
                <c:ptCount val="4"/>
                <c:pt idx="0">
                  <c:v>0.33329999999999999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0.99990000000000001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919-4317-BB01-6930326D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38100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/>
              <a:t>CA CUMULE à</a:t>
            </a:r>
            <a:r>
              <a:rPr lang="fr-FR" sz="1000" baseline="0"/>
              <a:t> fin</a:t>
            </a:r>
            <a:endParaRPr lang="fr-FR" sz="1000"/>
          </a:p>
        </c:rich>
      </c:tx>
      <c:layout>
        <c:manualLayout>
          <c:xMode val="edge"/>
          <c:yMode val="edge"/>
          <c:x val="0.30997816181575333"/>
          <c:y val="3.541308527443049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FC-4DB7-8A99-FD29DA4BC3F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EFC-4DB7-8A99-FD29DA4BC3F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 baseline="0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calculs!$G$84:$I$84</c:f>
              <c:strCache>
                <c:ptCount val="3"/>
                <c:pt idx="0">
                  <c:v>N-2</c:v>
                </c:pt>
                <c:pt idx="1">
                  <c:v>N-1</c:v>
                </c:pt>
                <c:pt idx="2">
                  <c:v>N</c:v>
                </c:pt>
              </c:strCache>
            </c:strRef>
          </c:cat>
          <c:val>
            <c:numRef>
              <c:f>calculs!$G$85:$I$85</c:f>
              <c:numCache>
                <c:formatCode>#,##0\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EFC-4DB7-8A99-FD29DA4BC3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675072"/>
        <c:axId val="184355648"/>
      </c:barChart>
      <c:catAx>
        <c:axId val="15667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84355648"/>
        <c:crosses val="autoZero"/>
        <c:auto val="1"/>
        <c:lblAlgn val="ctr"/>
        <c:lblOffset val="100"/>
        <c:noMultiLvlLbl val="0"/>
      </c:catAx>
      <c:valAx>
        <c:axId val="184355648"/>
        <c:scaling>
          <c:orientation val="minMax"/>
          <c:min val="0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56675072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ommerciaux"/><Relationship Id="rId13" Type="http://schemas.openxmlformats.org/officeDocument/2006/relationships/hyperlink" Target="#'SYNTHESE DISTILLERIE COUDERC'!A1"/><Relationship Id="rId18" Type="http://schemas.openxmlformats.org/officeDocument/2006/relationships/hyperlink" Target="#'Saisie CA'!A1"/><Relationship Id="rId3" Type="http://schemas.openxmlformats.org/officeDocument/2006/relationships/hyperlink" Target="#Production!A1"/><Relationship Id="rId21" Type="http://schemas.openxmlformats.org/officeDocument/2006/relationships/hyperlink" Target="#'TABLEAU DE BORD MAGASINS'!A1"/><Relationship Id="rId7" Type="http://schemas.openxmlformats.org/officeDocument/2006/relationships/hyperlink" Target="#MAGASINS!A1"/><Relationship Id="rId12" Type="http://schemas.openxmlformats.org/officeDocument/2006/relationships/hyperlink" Target="#'SYNTHESE MAGASINS'!A1"/><Relationship Id="rId17" Type="http://schemas.openxmlformats.org/officeDocument/2006/relationships/hyperlink" Target="#'Boutique 2'!A1"/><Relationship Id="rId2" Type="http://schemas.openxmlformats.org/officeDocument/2006/relationships/hyperlink" Target="#NEGOCE!A1"/><Relationship Id="rId16" Type="http://schemas.openxmlformats.org/officeDocument/2006/relationships/hyperlink" Target="#'Boutique 1'!A1"/><Relationship Id="rId20" Type="http://schemas.openxmlformats.org/officeDocument/2006/relationships/hyperlink" Target="#'TABLEAU DE BORD ATELIER'!A1"/><Relationship Id="rId1" Type="http://schemas.openxmlformats.org/officeDocument/2006/relationships/hyperlink" Target="#Sommaire!A1"/><Relationship Id="rId6" Type="http://schemas.openxmlformats.org/officeDocument/2006/relationships/hyperlink" Target="#'SAINT-FLOUR'!A1"/><Relationship Id="rId11" Type="http://schemas.openxmlformats.org/officeDocument/2006/relationships/hyperlink" Target="#'SYNTHESE ATELIER'!A1"/><Relationship Id="rId24" Type="http://schemas.openxmlformats.org/officeDocument/2006/relationships/hyperlink" Target="#'Saisie Commerciaux'!A1"/><Relationship Id="rId5" Type="http://schemas.openxmlformats.org/officeDocument/2006/relationships/hyperlink" Target="#AURILLAC!A1"/><Relationship Id="rId15" Type="http://schemas.openxmlformats.org/officeDocument/2006/relationships/hyperlink" Target="#calculs!A1"/><Relationship Id="rId23" Type="http://schemas.openxmlformats.org/officeDocument/2006/relationships/hyperlink" Target="#'Tableau de Bord commerciaux'!A1"/><Relationship Id="rId10" Type="http://schemas.openxmlformats.org/officeDocument/2006/relationships/hyperlink" Target="#'Objectifs Distillerie Couderc'!A1"/><Relationship Id="rId19" Type="http://schemas.openxmlformats.org/officeDocument/2006/relationships/hyperlink" Target="#'Objectifs Entreprise'!A1"/><Relationship Id="rId4" Type="http://schemas.openxmlformats.org/officeDocument/2006/relationships/hyperlink" Target="#Atelier!A1"/><Relationship Id="rId9" Type="http://schemas.openxmlformats.org/officeDocument/2006/relationships/hyperlink" Target="#'Saisie CA Distillerie Couderc'!A1"/><Relationship Id="rId14" Type="http://schemas.openxmlformats.org/officeDocument/2006/relationships/hyperlink" Target="#'Synth&#232;se commerciaux'!A1"/><Relationship Id="rId22" Type="http://schemas.openxmlformats.org/officeDocument/2006/relationships/hyperlink" Target="#'TDB entrepris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10" Type="http://schemas.openxmlformats.org/officeDocument/2006/relationships/hyperlink" Target="#Sommaire!A1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hyperlink" Target="#Sommaire!A1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Sommair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10" Type="http://schemas.openxmlformats.org/officeDocument/2006/relationships/hyperlink" Target="#Sommaire!A1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171450</xdr:rowOff>
    </xdr:from>
    <xdr:to>
      <xdr:col>13</xdr:col>
      <xdr:colOff>800100</xdr:colOff>
      <xdr:row>6</xdr:row>
      <xdr:rowOff>38100</xdr:rowOff>
    </xdr:to>
    <xdr:grpSp>
      <xdr:nvGrpSpPr>
        <xdr:cNvPr id="4" name="Groupe 3"/>
        <xdr:cNvGrpSpPr/>
      </xdr:nvGrpSpPr>
      <xdr:grpSpPr>
        <a:xfrm>
          <a:off x="180975" y="171450"/>
          <a:ext cx="9305925" cy="1009650"/>
          <a:chOff x="180975" y="171450"/>
          <a:chExt cx="9305925" cy="1009650"/>
        </a:xfrm>
      </xdr:grpSpPr>
      <xdr:sp macro="" textlink="">
        <xdr:nvSpPr>
          <xdr:cNvPr id="2" name="Rectangle à coins arrondis 1"/>
          <xdr:cNvSpPr/>
        </xdr:nvSpPr>
        <xdr:spPr>
          <a:xfrm>
            <a:off x="180976" y="1714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" name="Rectangle avec coins arrondis du même côté 2"/>
          <xdr:cNvSpPr/>
        </xdr:nvSpPr>
        <xdr:spPr>
          <a:xfrm rot="10800000">
            <a:off x="180975" y="7524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5" name="Rectangle 4"/>
          <xdr:cNvSpPr/>
        </xdr:nvSpPr>
        <xdr:spPr>
          <a:xfrm>
            <a:off x="328761" y="2667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6" name="Rectangle 5"/>
          <xdr:cNvSpPr/>
        </xdr:nvSpPr>
        <xdr:spPr>
          <a:xfrm>
            <a:off x="1340519" y="2667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9" name="Rectangle 8">
            <a:hlinkClick xmlns:r="http://schemas.openxmlformats.org/officeDocument/2006/relationships" r:id="rId1"/>
          </xdr:cNvPr>
          <xdr:cNvSpPr/>
        </xdr:nvSpPr>
        <xdr:spPr>
          <a:xfrm>
            <a:off x="306499" y="7715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FF000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  <xdr:twoCellAnchor>
    <xdr:from>
      <xdr:col>4</xdr:col>
      <xdr:colOff>24359</xdr:colOff>
      <xdr:row>14</xdr:row>
      <xdr:rowOff>19050</xdr:rowOff>
    </xdr:from>
    <xdr:to>
      <xdr:col>5</xdr:col>
      <xdr:colOff>838200</xdr:colOff>
      <xdr:row>16</xdr:row>
      <xdr:rowOff>19050</xdr:rowOff>
    </xdr:to>
    <xdr:sp macro="" textlink="">
      <xdr:nvSpPr>
        <xdr:cNvPr id="41" name="Rectangle à coins arrondis 40">
          <a:hlinkClick xmlns:r="http://schemas.openxmlformats.org/officeDocument/2006/relationships" r:id="rId2"/>
        </xdr:cNvPr>
        <xdr:cNvSpPr/>
      </xdr:nvSpPr>
      <xdr:spPr>
        <a:xfrm>
          <a:off x="2481809" y="2705100"/>
          <a:ext cx="1661566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NEGOCE</a:t>
          </a:r>
        </a:p>
      </xdr:txBody>
    </xdr:sp>
    <xdr:clientData/>
  </xdr:twoCellAnchor>
  <xdr:twoCellAnchor>
    <xdr:from>
      <xdr:col>4</xdr:col>
      <xdr:colOff>24359</xdr:colOff>
      <xdr:row>17</xdr:row>
      <xdr:rowOff>38100</xdr:rowOff>
    </xdr:from>
    <xdr:to>
      <xdr:col>5</xdr:col>
      <xdr:colOff>838200</xdr:colOff>
      <xdr:row>19</xdr:row>
      <xdr:rowOff>38100</xdr:rowOff>
    </xdr:to>
    <xdr:sp macro="" textlink="">
      <xdr:nvSpPr>
        <xdr:cNvPr id="42" name="Rectangle à coins arrondis 41">
          <a:hlinkClick xmlns:r="http://schemas.openxmlformats.org/officeDocument/2006/relationships" r:id="rId3"/>
        </xdr:cNvPr>
        <xdr:cNvSpPr/>
      </xdr:nvSpPr>
      <xdr:spPr>
        <a:xfrm>
          <a:off x="2481809" y="3295650"/>
          <a:ext cx="1661566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PRODUCTION</a:t>
          </a:r>
        </a:p>
      </xdr:txBody>
    </xdr:sp>
    <xdr:clientData/>
  </xdr:twoCellAnchor>
  <xdr:twoCellAnchor>
    <xdr:from>
      <xdr:col>4</xdr:col>
      <xdr:colOff>14834</xdr:colOff>
      <xdr:row>11</xdr:row>
      <xdr:rowOff>19050</xdr:rowOff>
    </xdr:from>
    <xdr:to>
      <xdr:col>5</xdr:col>
      <xdr:colOff>828675</xdr:colOff>
      <xdr:row>13</xdr:row>
      <xdr:rowOff>19050</xdr:rowOff>
    </xdr:to>
    <xdr:sp macro="" textlink="">
      <xdr:nvSpPr>
        <xdr:cNvPr id="44" name="Rectangle à coins arrondis 43">
          <a:hlinkClick xmlns:r="http://schemas.openxmlformats.org/officeDocument/2006/relationships" r:id="rId4"/>
        </xdr:cNvPr>
        <xdr:cNvSpPr/>
      </xdr:nvSpPr>
      <xdr:spPr>
        <a:xfrm>
          <a:off x="2472284" y="2133600"/>
          <a:ext cx="1661566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ATELIER</a:t>
          </a:r>
        </a:p>
      </xdr:txBody>
    </xdr:sp>
    <xdr:clientData/>
  </xdr:twoCellAnchor>
  <xdr:twoCellAnchor>
    <xdr:from>
      <xdr:col>7</xdr:col>
      <xdr:colOff>19050</xdr:colOff>
      <xdr:row>14</xdr:row>
      <xdr:rowOff>9525</xdr:rowOff>
    </xdr:from>
    <xdr:to>
      <xdr:col>9</xdr:col>
      <xdr:colOff>19050</xdr:colOff>
      <xdr:row>16</xdr:row>
      <xdr:rowOff>9525</xdr:rowOff>
    </xdr:to>
    <xdr:sp macro="" textlink="">
      <xdr:nvSpPr>
        <xdr:cNvPr id="48" name="Rectangle à coins arrondis 47">
          <a:hlinkClick xmlns:r="http://schemas.openxmlformats.org/officeDocument/2006/relationships" r:id="rId5"/>
        </xdr:cNvPr>
        <xdr:cNvSpPr/>
      </xdr:nvSpPr>
      <xdr:spPr>
        <a:xfrm>
          <a:off x="4552950" y="2695575"/>
          <a:ext cx="1695450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AURILLAC</a:t>
          </a:r>
        </a:p>
      </xdr:txBody>
    </xdr:sp>
    <xdr:clientData/>
  </xdr:twoCellAnchor>
  <xdr:twoCellAnchor>
    <xdr:from>
      <xdr:col>7</xdr:col>
      <xdr:colOff>19050</xdr:colOff>
      <xdr:row>17</xdr:row>
      <xdr:rowOff>0</xdr:rowOff>
    </xdr:from>
    <xdr:to>
      <xdr:col>9</xdr:col>
      <xdr:colOff>19050</xdr:colOff>
      <xdr:row>19</xdr:row>
      <xdr:rowOff>0</xdr:rowOff>
    </xdr:to>
    <xdr:sp macro="" textlink="">
      <xdr:nvSpPr>
        <xdr:cNvPr id="49" name="Rectangle à coins arrondis 48">
          <a:hlinkClick xmlns:r="http://schemas.openxmlformats.org/officeDocument/2006/relationships" r:id="rId6"/>
        </xdr:cNvPr>
        <xdr:cNvSpPr/>
      </xdr:nvSpPr>
      <xdr:spPr>
        <a:xfrm>
          <a:off x="4552950" y="3257550"/>
          <a:ext cx="1695450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SAINT-FLOUR</a:t>
          </a:r>
        </a:p>
      </xdr:txBody>
    </xdr:sp>
    <xdr:clientData/>
  </xdr:twoCellAnchor>
  <xdr:twoCellAnchor>
    <xdr:from>
      <xdr:col>7</xdr:col>
      <xdr:colOff>0</xdr:colOff>
      <xdr:row>11</xdr:row>
      <xdr:rowOff>9525</xdr:rowOff>
    </xdr:from>
    <xdr:to>
      <xdr:col>9</xdr:col>
      <xdr:colOff>0</xdr:colOff>
      <xdr:row>13</xdr:row>
      <xdr:rowOff>9525</xdr:rowOff>
    </xdr:to>
    <xdr:sp macro="" textlink="">
      <xdr:nvSpPr>
        <xdr:cNvPr id="50" name="Rectangle à coins arrondis 49">
          <a:hlinkClick xmlns:r="http://schemas.openxmlformats.org/officeDocument/2006/relationships" r:id="rId7"/>
        </xdr:cNvPr>
        <xdr:cNvSpPr/>
      </xdr:nvSpPr>
      <xdr:spPr>
        <a:xfrm>
          <a:off x="4533900" y="2124075"/>
          <a:ext cx="1695450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MAGASINS</a:t>
          </a:r>
        </a:p>
      </xdr:txBody>
    </xdr:sp>
    <xdr:clientData/>
  </xdr:twoCellAnchor>
  <xdr:twoCellAnchor>
    <xdr:from>
      <xdr:col>10</xdr:col>
      <xdr:colOff>19050</xdr:colOff>
      <xdr:row>11</xdr:row>
      <xdr:rowOff>19050</xdr:rowOff>
    </xdr:from>
    <xdr:to>
      <xdr:col>11</xdr:col>
      <xdr:colOff>828675</xdr:colOff>
      <xdr:row>13</xdr:row>
      <xdr:rowOff>19050</xdr:rowOff>
    </xdr:to>
    <xdr:sp macro="" textlink="">
      <xdr:nvSpPr>
        <xdr:cNvPr id="51" name="Rectangle à coins arrondis 50">
          <a:hlinkClick xmlns:r="http://schemas.openxmlformats.org/officeDocument/2006/relationships" r:id="rId8"/>
        </xdr:cNvPr>
        <xdr:cNvSpPr/>
      </xdr:nvSpPr>
      <xdr:spPr>
        <a:xfrm>
          <a:off x="6629400" y="2133600"/>
          <a:ext cx="1657350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COMMERCIAUX</a:t>
          </a:r>
        </a:p>
      </xdr:txBody>
    </xdr:sp>
    <xdr:clientData/>
  </xdr:twoCellAnchor>
  <xdr:twoCellAnchor>
    <xdr:from>
      <xdr:col>1</xdr:col>
      <xdr:colOff>28575</xdr:colOff>
      <xdr:row>11</xdr:row>
      <xdr:rowOff>9524</xdr:rowOff>
    </xdr:from>
    <xdr:to>
      <xdr:col>3</xdr:col>
      <xdr:colOff>28575</xdr:colOff>
      <xdr:row>13</xdr:row>
      <xdr:rowOff>171449</xdr:rowOff>
    </xdr:to>
    <xdr:sp macro="" textlink="">
      <xdr:nvSpPr>
        <xdr:cNvPr id="54" name="Rectangle à coins arrondis 53">
          <a:hlinkClick xmlns:r="http://schemas.openxmlformats.org/officeDocument/2006/relationships" r:id="rId9"/>
        </xdr:cNvPr>
        <xdr:cNvSpPr/>
      </xdr:nvSpPr>
      <xdr:spPr>
        <a:xfrm>
          <a:off x="409575" y="2124074"/>
          <a:ext cx="1695450" cy="542925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</a:t>
          </a:r>
          <a:r>
            <a:rPr lang="fr-FR" sz="1200" b="1" baseline="0">
              <a:solidFill>
                <a:srgbClr val="ED7F10"/>
              </a:solidFill>
              <a:latin typeface="Britannic Bold" panose="020B0903060703020204" pitchFamily="34" charset="0"/>
            </a:rPr>
            <a:t> de SAISIES du CA</a:t>
          </a:r>
          <a:endParaRPr lang="fr-FR" sz="1200" b="1">
            <a:solidFill>
              <a:srgbClr val="ED7F10"/>
            </a:solidFill>
            <a:latin typeface="Britannic Bold" panose="020B0903060703020204" pitchFamily="34" charset="0"/>
          </a:endParaRPr>
        </a:p>
      </xdr:txBody>
    </xdr:sp>
    <xdr:clientData/>
  </xdr:twoCellAnchor>
  <xdr:twoCellAnchor>
    <xdr:from>
      <xdr:col>1</xdr:col>
      <xdr:colOff>47625</xdr:colOff>
      <xdr:row>16</xdr:row>
      <xdr:rowOff>142875</xdr:rowOff>
    </xdr:from>
    <xdr:to>
      <xdr:col>3</xdr:col>
      <xdr:colOff>47625</xdr:colOff>
      <xdr:row>18</xdr:row>
      <xdr:rowOff>142875</xdr:rowOff>
    </xdr:to>
    <xdr:sp macro="" textlink="">
      <xdr:nvSpPr>
        <xdr:cNvPr id="55" name="Rectangle à coins arrondis 54">
          <a:hlinkClick xmlns:r="http://schemas.openxmlformats.org/officeDocument/2006/relationships" r:id="rId10"/>
        </xdr:cNvPr>
        <xdr:cNvSpPr/>
      </xdr:nvSpPr>
      <xdr:spPr>
        <a:xfrm>
          <a:off x="428625" y="3209925"/>
          <a:ext cx="1695450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OBJECTIFS</a:t>
          </a:r>
        </a:p>
      </xdr:txBody>
    </xdr:sp>
    <xdr:clientData/>
  </xdr:twoCellAnchor>
  <xdr:twoCellAnchor>
    <xdr:from>
      <xdr:col>4</xdr:col>
      <xdr:colOff>24359</xdr:colOff>
      <xdr:row>20</xdr:row>
      <xdr:rowOff>0</xdr:rowOff>
    </xdr:from>
    <xdr:to>
      <xdr:col>5</xdr:col>
      <xdr:colOff>838200</xdr:colOff>
      <xdr:row>22</xdr:row>
      <xdr:rowOff>171450</xdr:rowOff>
    </xdr:to>
    <xdr:sp macro="" textlink="">
      <xdr:nvSpPr>
        <xdr:cNvPr id="21" name="Rectangle à coins arrondis 20">
          <a:hlinkClick xmlns:r="http://schemas.openxmlformats.org/officeDocument/2006/relationships" r:id="rId11"/>
        </xdr:cNvPr>
        <xdr:cNvSpPr/>
      </xdr:nvSpPr>
      <xdr:spPr>
        <a:xfrm>
          <a:off x="2481809" y="3829050"/>
          <a:ext cx="1661566" cy="55245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 DE BORD</a:t>
          </a:r>
        </a:p>
      </xdr:txBody>
    </xdr:sp>
    <xdr:clientData/>
  </xdr:twoCellAnchor>
  <xdr:twoCellAnchor>
    <xdr:from>
      <xdr:col>7</xdr:col>
      <xdr:colOff>14834</xdr:colOff>
      <xdr:row>20</xdr:row>
      <xdr:rowOff>19050</xdr:rowOff>
    </xdr:from>
    <xdr:to>
      <xdr:col>8</xdr:col>
      <xdr:colOff>828675</xdr:colOff>
      <xdr:row>23</xdr:row>
      <xdr:rowOff>0</xdr:rowOff>
    </xdr:to>
    <xdr:sp macro="" textlink="">
      <xdr:nvSpPr>
        <xdr:cNvPr id="25" name="Rectangle à coins arrondis 24">
          <a:hlinkClick xmlns:r="http://schemas.openxmlformats.org/officeDocument/2006/relationships" r:id="rId12"/>
        </xdr:cNvPr>
        <xdr:cNvSpPr/>
      </xdr:nvSpPr>
      <xdr:spPr>
        <a:xfrm>
          <a:off x="4548734" y="3848100"/>
          <a:ext cx="1661566" cy="55245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 DE BORD</a:t>
          </a:r>
        </a:p>
      </xdr:txBody>
    </xdr:sp>
    <xdr:clientData/>
  </xdr:twoCellAnchor>
  <xdr:twoCellAnchor>
    <xdr:from>
      <xdr:col>1</xdr:col>
      <xdr:colOff>47625</xdr:colOff>
      <xdr:row>20</xdr:row>
      <xdr:rowOff>9525</xdr:rowOff>
    </xdr:from>
    <xdr:to>
      <xdr:col>3</xdr:col>
      <xdr:colOff>13741</xdr:colOff>
      <xdr:row>22</xdr:row>
      <xdr:rowOff>180975</xdr:rowOff>
    </xdr:to>
    <xdr:sp macro="" textlink="">
      <xdr:nvSpPr>
        <xdr:cNvPr id="28" name="Rectangle à coins arrondis 27">
          <a:hlinkClick xmlns:r="http://schemas.openxmlformats.org/officeDocument/2006/relationships" r:id="rId13"/>
        </xdr:cNvPr>
        <xdr:cNvSpPr/>
      </xdr:nvSpPr>
      <xdr:spPr>
        <a:xfrm>
          <a:off x="428625" y="3838575"/>
          <a:ext cx="1661566" cy="55245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 DE BORD</a:t>
          </a:r>
        </a:p>
      </xdr:txBody>
    </xdr:sp>
    <xdr:clientData/>
  </xdr:twoCellAnchor>
  <xdr:twoCellAnchor>
    <xdr:from>
      <xdr:col>10</xdr:col>
      <xdr:colOff>19050</xdr:colOff>
      <xdr:row>20</xdr:row>
      <xdr:rowOff>0</xdr:rowOff>
    </xdr:from>
    <xdr:to>
      <xdr:col>12</xdr:col>
      <xdr:colOff>0</xdr:colOff>
      <xdr:row>22</xdr:row>
      <xdr:rowOff>171450</xdr:rowOff>
    </xdr:to>
    <xdr:sp macro="" textlink="">
      <xdr:nvSpPr>
        <xdr:cNvPr id="30" name="Rectangle à coins arrondis 29">
          <a:hlinkClick xmlns:r="http://schemas.openxmlformats.org/officeDocument/2006/relationships" r:id="rId14"/>
        </xdr:cNvPr>
        <xdr:cNvSpPr/>
      </xdr:nvSpPr>
      <xdr:spPr>
        <a:xfrm>
          <a:off x="6629400" y="3829050"/>
          <a:ext cx="1676400" cy="55245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 DE BORD</a:t>
          </a:r>
        </a:p>
      </xdr:txBody>
    </xdr:sp>
    <xdr:clientData/>
  </xdr:twoCellAnchor>
  <xdr:twoCellAnchor>
    <xdr:from>
      <xdr:col>7</xdr:col>
      <xdr:colOff>9525</xdr:colOff>
      <xdr:row>25</xdr:row>
      <xdr:rowOff>0</xdr:rowOff>
    </xdr:from>
    <xdr:to>
      <xdr:col>8</xdr:col>
      <xdr:colOff>823366</xdr:colOff>
      <xdr:row>27</xdr:row>
      <xdr:rowOff>171450</xdr:rowOff>
    </xdr:to>
    <xdr:sp macro="" textlink="">
      <xdr:nvSpPr>
        <xdr:cNvPr id="32" name="Rectangle à coins arrondis 31">
          <a:hlinkClick xmlns:r="http://schemas.openxmlformats.org/officeDocument/2006/relationships" r:id="rId15"/>
        </xdr:cNvPr>
        <xdr:cNvSpPr/>
      </xdr:nvSpPr>
      <xdr:spPr>
        <a:xfrm>
          <a:off x="4543425" y="4781550"/>
          <a:ext cx="1661566" cy="552450"/>
        </a:xfrm>
        <a:prstGeom prst="roundRect">
          <a:avLst/>
        </a:prstGeom>
        <a:solidFill>
          <a:srgbClr val="FF0000"/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tx1"/>
              </a:solidFill>
              <a:effectLst/>
              <a:latin typeface="Britannic Bold" panose="020B0903060703020204" pitchFamily="34" charset="0"/>
            </a:rPr>
            <a:t>CALCULS</a:t>
          </a:r>
        </a:p>
      </xdr:txBody>
    </xdr:sp>
    <xdr:clientData/>
  </xdr:twoCellAnchor>
  <xdr:twoCellAnchor editAs="absolute">
    <xdr:from>
      <xdr:col>0</xdr:col>
      <xdr:colOff>180975</xdr:colOff>
      <xdr:row>0</xdr:row>
      <xdr:rowOff>171450</xdr:rowOff>
    </xdr:from>
    <xdr:to>
      <xdr:col>13</xdr:col>
      <xdr:colOff>800100</xdr:colOff>
      <xdr:row>6</xdr:row>
      <xdr:rowOff>38100</xdr:rowOff>
    </xdr:to>
    <xdr:grpSp>
      <xdr:nvGrpSpPr>
        <xdr:cNvPr id="22" name="Groupe 21"/>
        <xdr:cNvGrpSpPr/>
      </xdr:nvGrpSpPr>
      <xdr:grpSpPr>
        <a:xfrm>
          <a:off x="180975" y="171450"/>
          <a:ext cx="9305925" cy="1009650"/>
          <a:chOff x="180975" y="171450"/>
          <a:chExt cx="9305925" cy="1009650"/>
        </a:xfrm>
      </xdr:grpSpPr>
      <xdr:sp macro="" textlink="">
        <xdr:nvSpPr>
          <xdr:cNvPr id="23" name="Rectangle à coins arrondis 22"/>
          <xdr:cNvSpPr/>
        </xdr:nvSpPr>
        <xdr:spPr>
          <a:xfrm>
            <a:off x="180976" y="1714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" name="Rectangle avec coins arrondis du même côté 23"/>
          <xdr:cNvSpPr/>
        </xdr:nvSpPr>
        <xdr:spPr>
          <a:xfrm rot="10800000">
            <a:off x="180975" y="7524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6" name="Rectangle 25"/>
          <xdr:cNvSpPr/>
        </xdr:nvSpPr>
        <xdr:spPr>
          <a:xfrm>
            <a:off x="328761" y="2667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13:46:31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27" name="Rectangle 26"/>
          <xdr:cNvSpPr/>
        </xdr:nvSpPr>
        <xdr:spPr>
          <a:xfrm>
            <a:off x="1340519" y="2667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vendredi 1 juillet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29" name="Rectangle 28">
            <a:hlinkClick xmlns:r="http://schemas.openxmlformats.org/officeDocument/2006/relationships" r:id="rId1"/>
          </xdr:cNvPr>
          <xdr:cNvSpPr/>
        </xdr:nvSpPr>
        <xdr:spPr>
          <a:xfrm>
            <a:off x="306499" y="7715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 baseline="0">
                <a:solidFill>
                  <a:srgbClr val="FF000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  <xdr:twoCellAnchor>
    <xdr:from>
      <xdr:col>4</xdr:col>
      <xdr:colOff>24359</xdr:colOff>
      <xdr:row>14</xdr:row>
      <xdr:rowOff>19050</xdr:rowOff>
    </xdr:from>
    <xdr:to>
      <xdr:col>5</xdr:col>
      <xdr:colOff>838200</xdr:colOff>
      <xdr:row>16</xdr:row>
      <xdr:rowOff>19050</xdr:rowOff>
    </xdr:to>
    <xdr:sp macro="" textlink="">
      <xdr:nvSpPr>
        <xdr:cNvPr id="31" name="Rectangle à coins arrondis 30">
          <a:hlinkClick xmlns:r="http://schemas.openxmlformats.org/officeDocument/2006/relationships" r:id="rId2"/>
        </xdr:cNvPr>
        <xdr:cNvSpPr/>
      </xdr:nvSpPr>
      <xdr:spPr>
        <a:xfrm>
          <a:off x="2481809" y="2705100"/>
          <a:ext cx="1661566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NEGOCE</a:t>
          </a:r>
        </a:p>
      </xdr:txBody>
    </xdr:sp>
    <xdr:clientData/>
  </xdr:twoCellAnchor>
  <xdr:twoCellAnchor>
    <xdr:from>
      <xdr:col>4</xdr:col>
      <xdr:colOff>24359</xdr:colOff>
      <xdr:row>17</xdr:row>
      <xdr:rowOff>38100</xdr:rowOff>
    </xdr:from>
    <xdr:to>
      <xdr:col>5</xdr:col>
      <xdr:colOff>838200</xdr:colOff>
      <xdr:row>19</xdr:row>
      <xdr:rowOff>38100</xdr:rowOff>
    </xdr:to>
    <xdr:sp macro="" textlink="">
      <xdr:nvSpPr>
        <xdr:cNvPr id="33" name="Rectangle à coins arrondis 32">
          <a:hlinkClick xmlns:r="http://schemas.openxmlformats.org/officeDocument/2006/relationships" r:id="rId3"/>
        </xdr:cNvPr>
        <xdr:cNvSpPr/>
      </xdr:nvSpPr>
      <xdr:spPr>
        <a:xfrm>
          <a:off x="2481809" y="3295650"/>
          <a:ext cx="1661566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PRODUCTION</a:t>
          </a:r>
        </a:p>
      </xdr:txBody>
    </xdr:sp>
    <xdr:clientData/>
  </xdr:twoCellAnchor>
  <xdr:twoCellAnchor>
    <xdr:from>
      <xdr:col>4</xdr:col>
      <xdr:colOff>14834</xdr:colOff>
      <xdr:row>11</xdr:row>
      <xdr:rowOff>19050</xdr:rowOff>
    </xdr:from>
    <xdr:to>
      <xdr:col>5</xdr:col>
      <xdr:colOff>828675</xdr:colOff>
      <xdr:row>13</xdr:row>
      <xdr:rowOff>19050</xdr:rowOff>
    </xdr:to>
    <xdr:sp macro="" textlink="">
      <xdr:nvSpPr>
        <xdr:cNvPr id="34" name="Rectangle à coins arrondis 33">
          <a:hlinkClick xmlns:r="http://schemas.openxmlformats.org/officeDocument/2006/relationships" r:id="rId4"/>
        </xdr:cNvPr>
        <xdr:cNvSpPr/>
      </xdr:nvSpPr>
      <xdr:spPr>
        <a:xfrm>
          <a:off x="2472284" y="2133600"/>
          <a:ext cx="1661566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ATELIER</a:t>
          </a:r>
        </a:p>
      </xdr:txBody>
    </xdr:sp>
    <xdr:clientData/>
  </xdr:twoCellAnchor>
  <xdr:twoCellAnchor>
    <xdr:from>
      <xdr:col>7</xdr:col>
      <xdr:colOff>19050</xdr:colOff>
      <xdr:row>14</xdr:row>
      <xdr:rowOff>9525</xdr:rowOff>
    </xdr:from>
    <xdr:to>
      <xdr:col>9</xdr:col>
      <xdr:colOff>19050</xdr:colOff>
      <xdr:row>16</xdr:row>
      <xdr:rowOff>9525</xdr:rowOff>
    </xdr:to>
    <xdr:sp macro="" textlink="">
      <xdr:nvSpPr>
        <xdr:cNvPr id="35" name="Rectangle à coins arrondis 34">
          <a:hlinkClick xmlns:r="http://schemas.openxmlformats.org/officeDocument/2006/relationships" r:id="rId16"/>
        </xdr:cNvPr>
        <xdr:cNvSpPr/>
      </xdr:nvSpPr>
      <xdr:spPr>
        <a:xfrm>
          <a:off x="4552950" y="2695575"/>
          <a:ext cx="1695450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Boutique 1</a:t>
          </a:r>
        </a:p>
      </xdr:txBody>
    </xdr:sp>
    <xdr:clientData/>
  </xdr:twoCellAnchor>
  <xdr:twoCellAnchor>
    <xdr:from>
      <xdr:col>7</xdr:col>
      <xdr:colOff>19050</xdr:colOff>
      <xdr:row>17</xdr:row>
      <xdr:rowOff>0</xdr:rowOff>
    </xdr:from>
    <xdr:to>
      <xdr:col>9</xdr:col>
      <xdr:colOff>19050</xdr:colOff>
      <xdr:row>19</xdr:row>
      <xdr:rowOff>0</xdr:rowOff>
    </xdr:to>
    <xdr:sp macro="" textlink="">
      <xdr:nvSpPr>
        <xdr:cNvPr id="36" name="Rectangle à coins arrondis 35">
          <a:hlinkClick xmlns:r="http://schemas.openxmlformats.org/officeDocument/2006/relationships" r:id="rId17"/>
        </xdr:cNvPr>
        <xdr:cNvSpPr/>
      </xdr:nvSpPr>
      <xdr:spPr>
        <a:xfrm>
          <a:off x="4552950" y="3257550"/>
          <a:ext cx="1695450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Boutique</a:t>
          </a:r>
          <a:r>
            <a:rPr lang="fr-FR" sz="1200" b="1" baseline="0">
              <a:solidFill>
                <a:srgbClr val="ED7F10"/>
              </a:solidFill>
              <a:latin typeface="Britannic Bold" panose="020B0903060703020204" pitchFamily="34" charset="0"/>
            </a:rPr>
            <a:t> 2</a:t>
          </a:r>
          <a:endParaRPr lang="fr-FR" sz="1200" b="1">
            <a:solidFill>
              <a:srgbClr val="ED7F10"/>
            </a:solidFill>
            <a:latin typeface="Britannic Bold" panose="020B0903060703020204" pitchFamily="34" charset="0"/>
          </a:endParaRPr>
        </a:p>
      </xdr:txBody>
    </xdr:sp>
    <xdr:clientData/>
  </xdr:twoCellAnchor>
  <xdr:twoCellAnchor>
    <xdr:from>
      <xdr:col>7</xdr:col>
      <xdr:colOff>0</xdr:colOff>
      <xdr:row>11</xdr:row>
      <xdr:rowOff>9525</xdr:rowOff>
    </xdr:from>
    <xdr:to>
      <xdr:col>9</xdr:col>
      <xdr:colOff>0</xdr:colOff>
      <xdr:row>13</xdr:row>
      <xdr:rowOff>9525</xdr:rowOff>
    </xdr:to>
    <xdr:sp macro="" textlink="">
      <xdr:nvSpPr>
        <xdr:cNvPr id="37" name="Rectangle à coins arrondis 36">
          <a:hlinkClick xmlns:r="http://schemas.openxmlformats.org/officeDocument/2006/relationships" r:id="rId7"/>
        </xdr:cNvPr>
        <xdr:cNvSpPr/>
      </xdr:nvSpPr>
      <xdr:spPr>
        <a:xfrm>
          <a:off x="4533900" y="2124075"/>
          <a:ext cx="1695450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MAGASINS</a:t>
          </a:r>
        </a:p>
      </xdr:txBody>
    </xdr:sp>
    <xdr:clientData/>
  </xdr:twoCellAnchor>
  <xdr:twoCellAnchor>
    <xdr:from>
      <xdr:col>1</xdr:col>
      <xdr:colOff>28575</xdr:colOff>
      <xdr:row>11</xdr:row>
      <xdr:rowOff>9524</xdr:rowOff>
    </xdr:from>
    <xdr:to>
      <xdr:col>3</xdr:col>
      <xdr:colOff>28575</xdr:colOff>
      <xdr:row>13</xdr:row>
      <xdr:rowOff>171449</xdr:rowOff>
    </xdr:to>
    <xdr:sp macro="" textlink="">
      <xdr:nvSpPr>
        <xdr:cNvPr id="39" name="Rectangle à coins arrondis 38">
          <a:hlinkClick xmlns:r="http://schemas.openxmlformats.org/officeDocument/2006/relationships" r:id="rId18"/>
        </xdr:cNvPr>
        <xdr:cNvSpPr/>
      </xdr:nvSpPr>
      <xdr:spPr>
        <a:xfrm>
          <a:off x="409575" y="2124074"/>
          <a:ext cx="1695450" cy="542925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</a:t>
          </a:r>
          <a:r>
            <a:rPr lang="fr-FR" sz="1200" b="1" baseline="0">
              <a:solidFill>
                <a:srgbClr val="ED7F10"/>
              </a:solidFill>
              <a:latin typeface="Britannic Bold" panose="020B0903060703020204" pitchFamily="34" charset="0"/>
            </a:rPr>
            <a:t> de SAISIES du CA</a:t>
          </a:r>
          <a:endParaRPr lang="fr-FR" sz="1200" b="1">
            <a:solidFill>
              <a:srgbClr val="ED7F10"/>
            </a:solidFill>
            <a:latin typeface="Britannic Bold" panose="020B0903060703020204" pitchFamily="34" charset="0"/>
          </a:endParaRPr>
        </a:p>
      </xdr:txBody>
    </xdr:sp>
    <xdr:clientData/>
  </xdr:twoCellAnchor>
  <xdr:twoCellAnchor>
    <xdr:from>
      <xdr:col>1</xdr:col>
      <xdr:colOff>47625</xdr:colOff>
      <xdr:row>16</xdr:row>
      <xdr:rowOff>142875</xdr:rowOff>
    </xdr:from>
    <xdr:to>
      <xdr:col>3</xdr:col>
      <xdr:colOff>47625</xdr:colOff>
      <xdr:row>18</xdr:row>
      <xdr:rowOff>142875</xdr:rowOff>
    </xdr:to>
    <xdr:sp macro="" textlink="">
      <xdr:nvSpPr>
        <xdr:cNvPr id="40" name="Rectangle à coins arrondis 39">
          <a:hlinkClick xmlns:r="http://schemas.openxmlformats.org/officeDocument/2006/relationships" r:id="rId19"/>
        </xdr:cNvPr>
        <xdr:cNvSpPr/>
      </xdr:nvSpPr>
      <xdr:spPr>
        <a:xfrm>
          <a:off x="428625" y="3209925"/>
          <a:ext cx="1695450" cy="38100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OBJECTIFS</a:t>
          </a:r>
        </a:p>
      </xdr:txBody>
    </xdr:sp>
    <xdr:clientData/>
  </xdr:twoCellAnchor>
  <xdr:twoCellAnchor>
    <xdr:from>
      <xdr:col>4</xdr:col>
      <xdr:colOff>24359</xdr:colOff>
      <xdr:row>20</xdr:row>
      <xdr:rowOff>0</xdr:rowOff>
    </xdr:from>
    <xdr:to>
      <xdr:col>5</xdr:col>
      <xdr:colOff>838200</xdr:colOff>
      <xdr:row>22</xdr:row>
      <xdr:rowOff>171450</xdr:rowOff>
    </xdr:to>
    <xdr:sp macro="" textlink="">
      <xdr:nvSpPr>
        <xdr:cNvPr id="43" name="Rectangle à coins arrondis 42">
          <a:hlinkClick xmlns:r="http://schemas.openxmlformats.org/officeDocument/2006/relationships" r:id="rId20"/>
        </xdr:cNvPr>
        <xdr:cNvSpPr/>
      </xdr:nvSpPr>
      <xdr:spPr>
        <a:xfrm>
          <a:off x="2481809" y="3829050"/>
          <a:ext cx="1661566" cy="55245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 DE BORD</a:t>
          </a:r>
        </a:p>
      </xdr:txBody>
    </xdr:sp>
    <xdr:clientData/>
  </xdr:twoCellAnchor>
  <xdr:twoCellAnchor>
    <xdr:from>
      <xdr:col>7</xdr:col>
      <xdr:colOff>14834</xdr:colOff>
      <xdr:row>20</xdr:row>
      <xdr:rowOff>19050</xdr:rowOff>
    </xdr:from>
    <xdr:to>
      <xdr:col>8</xdr:col>
      <xdr:colOff>828675</xdr:colOff>
      <xdr:row>23</xdr:row>
      <xdr:rowOff>0</xdr:rowOff>
    </xdr:to>
    <xdr:sp macro="" textlink="">
      <xdr:nvSpPr>
        <xdr:cNvPr id="45" name="Rectangle à coins arrondis 44">
          <a:hlinkClick xmlns:r="http://schemas.openxmlformats.org/officeDocument/2006/relationships" r:id="rId21"/>
        </xdr:cNvPr>
        <xdr:cNvSpPr/>
      </xdr:nvSpPr>
      <xdr:spPr>
        <a:xfrm>
          <a:off x="4548734" y="3848100"/>
          <a:ext cx="1661566" cy="55245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 DE BORD</a:t>
          </a:r>
        </a:p>
      </xdr:txBody>
    </xdr:sp>
    <xdr:clientData/>
  </xdr:twoCellAnchor>
  <xdr:twoCellAnchor>
    <xdr:from>
      <xdr:col>1</xdr:col>
      <xdr:colOff>47625</xdr:colOff>
      <xdr:row>20</xdr:row>
      <xdr:rowOff>9525</xdr:rowOff>
    </xdr:from>
    <xdr:to>
      <xdr:col>3</xdr:col>
      <xdr:colOff>13741</xdr:colOff>
      <xdr:row>22</xdr:row>
      <xdr:rowOff>180975</xdr:rowOff>
    </xdr:to>
    <xdr:sp macro="" textlink="">
      <xdr:nvSpPr>
        <xdr:cNvPr id="46" name="Rectangle à coins arrondis 45">
          <a:hlinkClick xmlns:r="http://schemas.openxmlformats.org/officeDocument/2006/relationships" r:id="rId22"/>
        </xdr:cNvPr>
        <xdr:cNvSpPr/>
      </xdr:nvSpPr>
      <xdr:spPr>
        <a:xfrm>
          <a:off x="428625" y="3838575"/>
          <a:ext cx="1661566" cy="55245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 DE BORD</a:t>
          </a:r>
        </a:p>
      </xdr:txBody>
    </xdr:sp>
    <xdr:clientData/>
  </xdr:twoCellAnchor>
  <xdr:twoCellAnchor>
    <xdr:from>
      <xdr:col>10</xdr:col>
      <xdr:colOff>19050</xdr:colOff>
      <xdr:row>20</xdr:row>
      <xdr:rowOff>0</xdr:rowOff>
    </xdr:from>
    <xdr:to>
      <xdr:col>12</xdr:col>
      <xdr:colOff>0</xdr:colOff>
      <xdr:row>22</xdr:row>
      <xdr:rowOff>171450</xdr:rowOff>
    </xdr:to>
    <xdr:sp macro="" textlink="">
      <xdr:nvSpPr>
        <xdr:cNvPr id="47" name="Rectangle à coins arrondis 46">
          <a:hlinkClick xmlns:r="http://schemas.openxmlformats.org/officeDocument/2006/relationships" r:id="rId23"/>
        </xdr:cNvPr>
        <xdr:cNvSpPr/>
      </xdr:nvSpPr>
      <xdr:spPr>
        <a:xfrm>
          <a:off x="6629400" y="3829050"/>
          <a:ext cx="1676400" cy="552450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 DE BORD</a:t>
          </a:r>
        </a:p>
      </xdr:txBody>
    </xdr:sp>
    <xdr:clientData/>
  </xdr:twoCellAnchor>
  <xdr:twoCellAnchor>
    <xdr:from>
      <xdr:col>7</xdr:col>
      <xdr:colOff>9525</xdr:colOff>
      <xdr:row>25</xdr:row>
      <xdr:rowOff>0</xdr:rowOff>
    </xdr:from>
    <xdr:to>
      <xdr:col>8</xdr:col>
      <xdr:colOff>823366</xdr:colOff>
      <xdr:row>27</xdr:row>
      <xdr:rowOff>171450</xdr:rowOff>
    </xdr:to>
    <xdr:sp macro="" textlink="">
      <xdr:nvSpPr>
        <xdr:cNvPr id="52" name="Rectangle à coins arrondis 51">
          <a:hlinkClick xmlns:r="http://schemas.openxmlformats.org/officeDocument/2006/relationships" r:id="rId15"/>
        </xdr:cNvPr>
        <xdr:cNvSpPr/>
      </xdr:nvSpPr>
      <xdr:spPr>
        <a:xfrm>
          <a:off x="4543425" y="4781550"/>
          <a:ext cx="1661566" cy="552450"/>
        </a:xfrm>
        <a:prstGeom prst="roundRect">
          <a:avLst/>
        </a:prstGeom>
        <a:solidFill>
          <a:srgbClr val="FF0000"/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tx1"/>
              </a:solidFill>
              <a:effectLst/>
              <a:latin typeface="Britannic Bold" panose="020B0903060703020204" pitchFamily="34" charset="0"/>
            </a:rPr>
            <a:t>CALCULS</a:t>
          </a:r>
        </a:p>
      </xdr:txBody>
    </xdr:sp>
    <xdr:clientData/>
  </xdr:twoCellAnchor>
  <xdr:twoCellAnchor>
    <xdr:from>
      <xdr:col>10</xdr:col>
      <xdr:colOff>28575</xdr:colOff>
      <xdr:row>10</xdr:row>
      <xdr:rowOff>180974</xdr:rowOff>
    </xdr:from>
    <xdr:to>
      <xdr:col>11</xdr:col>
      <xdr:colOff>838200</xdr:colOff>
      <xdr:row>13</xdr:row>
      <xdr:rowOff>190499</xdr:rowOff>
    </xdr:to>
    <xdr:sp macro="" textlink="">
      <xdr:nvSpPr>
        <xdr:cNvPr id="53" name="Rectangle à coins arrondis 52">
          <a:hlinkClick xmlns:r="http://schemas.openxmlformats.org/officeDocument/2006/relationships" r:id="rId24"/>
        </xdr:cNvPr>
        <xdr:cNvSpPr/>
      </xdr:nvSpPr>
      <xdr:spPr>
        <a:xfrm>
          <a:off x="6638925" y="2105024"/>
          <a:ext cx="1657350" cy="581025"/>
        </a:xfrm>
        <a:prstGeom prst="roundRect">
          <a:avLst/>
        </a:prstGeom>
        <a:solidFill>
          <a:srgbClr val="002060"/>
        </a:solidFill>
        <a:ln w="38100">
          <a:solidFill>
            <a:srgbClr val="ED7F10"/>
          </a:solidFill>
        </a:ln>
        <a:scene3d>
          <a:camera prst="obliqueBottomRight"/>
          <a:lightRig rig="threePt" dir="t"/>
        </a:scene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TABLEAU</a:t>
          </a:r>
          <a:r>
            <a:rPr lang="fr-FR" sz="1200" b="1" baseline="0">
              <a:solidFill>
                <a:srgbClr val="ED7F10"/>
              </a:solidFill>
              <a:latin typeface="Britannic Bold" panose="020B0903060703020204" pitchFamily="34" charset="0"/>
            </a:rPr>
            <a:t> de SAISIE </a:t>
          </a:r>
          <a:r>
            <a:rPr lang="fr-FR" sz="1200" b="1">
              <a:solidFill>
                <a:srgbClr val="ED7F10"/>
              </a:solidFill>
              <a:latin typeface="Britannic Bold" panose="020B0903060703020204" pitchFamily="34" charset="0"/>
            </a:rPr>
            <a:t>COMMERCIAUX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9525</xdr:rowOff>
    </xdr:from>
    <xdr:to>
      <xdr:col>8</xdr:col>
      <xdr:colOff>1371600</xdr:colOff>
      <xdr:row>6</xdr:row>
      <xdr:rowOff>57150</xdr:rowOff>
    </xdr:to>
    <xdr:grpSp>
      <xdr:nvGrpSpPr>
        <xdr:cNvPr id="14" name="Groupe 13"/>
        <xdr:cNvGrpSpPr/>
      </xdr:nvGrpSpPr>
      <xdr:grpSpPr>
        <a:xfrm>
          <a:off x="419100" y="200025"/>
          <a:ext cx="9048750" cy="1000125"/>
          <a:chOff x="180975" y="171450"/>
          <a:chExt cx="9305925" cy="1009650"/>
        </a:xfrm>
      </xdr:grpSpPr>
      <xdr:sp macro="" textlink="">
        <xdr:nvSpPr>
          <xdr:cNvPr id="15" name="Rectangle à coins arrondis 14"/>
          <xdr:cNvSpPr/>
        </xdr:nvSpPr>
        <xdr:spPr>
          <a:xfrm>
            <a:off x="180976" y="1714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" name="Rectangle avec coins arrondis du même côté 15"/>
          <xdr:cNvSpPr/>
        </xdr:nvSpPr>
        <xdr:spPr>
          <a:xfrm rot="10800000">
            <a:off x="180975" y="7524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17" name="Rectangle 16"/>
          <xdr:cNvSpPr/>
        </xdr:nvSpPr>
        <xdr:spPr>
          <a:xfrm>
            <a:off x="328761" y="2667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18" name="Rectangle 17"/>
          <xdr:cNvSpPr/>
        </xdr:nvSpPr>
        <xdr:spPr>
          <a:xfrm>
            <a:off x="1340519" y="2667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19" name="Rectangle 18">
            <a:hlinkClick xmlns:r="http://schemas.openxmlformats.org/officeDocument/2006/relationships" r:id="rId1"/>
          </xdr:cNvPr>
          <xdr:cNvSpPr/>
        </xdr:nvSpPr>
        <xdr:spPr>
          <a:xfrm>
            <a:off x="306499" y="7715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9525</xdr:rowOff>
    </xdr:from>
    <xdr:to>
      <xdr:col>8</xdr:col>
      <xdr:colOff>1381125</xdr:colOff>
      <xdr:row>6</xdr:row>
      <xdr:rowOff>19050</xdr:rowOff>
    </xdr:to>
    <xdr:grpSp>
      <xdr:nvGrpSpPr>
        <xdr:cNvPr id="14" name="Groupe 13"/>
        <xdr:cNvGrpSpPr/>
      </xdr:nvGrpSpPr>
      <xdr:grpSpPr>
        <a:xfrm>
          <a:off x="419100" y="209550"/>
          <a:ext cx="9058275" cy="942975"/>
          <a:chOff x="180975" y="171450"/>
          <a:chExt cx="9305925" cy="1009650"/>
        </a:xfrm>
      </xdr:grpSpPr>
      <xdr:sp macro="" textlink="">
        <xdr:nvSpPr>
          <xdr:cNvPr id="15" name="Rectangle à coins arrondis 14"/>
          <xdr:cNvSpPr/>
        </xdr:nvSpPr>
        <xdr:spPr>
          <a:xfrm>
            <a:off x="180976" y="1714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" name="Rectangle avec coins arrondis du même côté 15"/>
          <xdr:cNvSpPr/>
        </xdr:nvSpPr>
        <xdr:spPr>
          <a:xfrm rot="10800000">
            <a:off x="180975" y="7524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17" name="Rectangle 16"/>
          <xdr:cNvSpPr/>
        </xdr:nvSpPr>
        <xdr:spPr>
          <a:xfrm>
            <a:off x="328761" y="2667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18" name="Rectangle 17"/>
          <xdr:cNvSpPr/>
        </xdr:nvSpPr>
        <xdr:spPr>
          <a:xfrm>
            <a:off x="1340519" y="2667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19" name="Rectangle 18">
            <a:hlinkClick xmlns:r="http://schemas.openxmlformats.org/officeDocument/2006/relationships" r:id="rId1"/>
          </xdr:cNvPr>
          <xdr:cNvSpPr/>
        </xdr:nvSpPr>
        <xdr:spPr>
          <a:xfrm>
            <a:off x="306499" y="7715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38099</xdr:colOff>
      <xdr:row>0</xdr:row>
      <xdr:rowOff>190500</xdr:rowOff>
    </xdr:from>
    <xdr:to>
      <xdr:col>8</xdr:col>
      <xdr:colOff>1371600</xdr:colOff>
      <xdr:row>6</xdr:row>
      <xdr:rowOff>0</xdr:rowOff>
    </xdr:to>
    <xdr:grpSp>
      <xdr:nvGrpSpPr>
        <xdr:cNvPr id="14" name="Groupe 13"/>
        <xdr:cNvGrpSpPr/>
      </xdr:nvGrpSpPr>
      <xdr:grpSpPr>
        <a:xfrm>
          <a:off x="419099" y="190500"/>
          <a:ext cx="9048751" cy="942975"/>
          <a:chOff x="180975" y="171450"/>
          <a:chExt cx="9305925" cy="1009650"/>
        </a:xfrm>
      </xdr:grpSpPr>
      <xdr:sp macro="" textlink="">
        <xdr:nvSpPr>
          <xdr:cNvPr id="15" name="Rectangle à coins arrondis 14"/>
          <xdr:cNvSpPr/>
        </xdr:nvSpPr>
        <xdr:spPr>
          <a:xfrm>
            <a:off x="180976" y="1714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" name="Rectangle avec coins arrondis du même côté 15"/>
          <xdr:cNvSpPr/>
        </xdr:nvSpPr>
        <xdr:spPr>
          <a:xfrm rot="10800000">
            <a:off x="180975" y="7524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17" name="Rectangle 16"/>
          <xdr:cNvSpPr/>
        </xdr:nvSpPr>
        <xdr:spPr>
          <a:xfrm>
            <a:off x="328761" y="2667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18" name="Rectangle 17"/>
          <xdr:cNvSpPr/>
        </xdr:nvSpPr>
        <xdr:spPr>
          <a:xfrm>
            <a:off x="1340519" y="2667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19" name="Rectangle 18">
            <a:hlinkClick xmlns:r="http://schemas.openxmlformats.org/officeDocument/2006/relationships" r:id="rId1"/>
          </xdr:cNvPr>
          <xdr:cNvSpPr/>
        </xdr:nvSpPr>
        <xdr:spPr>
          <a:xfrm>
            <a:off x="306499" y="7715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29</xdr:row>
      <xdr:rowOff>0</xdr:rowOff>
    </xdr:from>
    <xdr:to>
      <xdr:col>3</xdr:col>
      <xdr:colOff>856471</xdr:colOff>
      <xdr:row>30</xdr:row>
      <xdr:rowOff>9525</xdr:rowOff>
    </xdr:to>
    <xdr:sp macro="" textlink="calculs!O70">
      <xdr:nvSpPr>
        <xdr:cNvPr id="51" name="Rectangle 50"/>
        <xdr:cNvSpPr/>
      </xdr:nvSpPr>
      <xdr:spPr>
        <a:xfrm>
          <a:off x="2628900" y="5791200"/>
          <a:ext cx="980296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2AD0F51-EF55-41DA-B477-4DD69375DC6B}" type="TxLink">
            <a:rPr lang="en-US" sz="105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12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356366</xdr:colOff>
      <xdr:row>27</xdr:row>
      <xdr:rowOff>18658</xdr:rowOff>
    </xdr:from>
    <xdr:to>
      <xdr:col>1</xdr:col>
      <xdr:colOff>1348016</xdr:colOff>
      <xdr:row>28</xdr:row>
      <xdr:rowOff>2637</xdr:rowOff>
    </xdr:to>
    <xdr:sp macro="" textlink="calculs!P62">
      <xdr:nvSpPr>
        <xdr:cNvPr id="16" name="Rectangle 15"/>
        <xdr:cNvSpPr/>
      </xdr:nvSpPr>
      <xdr:spPr>
        <a:xfrm>
          <a:off x="737366" y="5428858"/>
          <a:ext cx="991650" cy="17447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6E30CE9-A608-45C5-8F25-E7DBC092012C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8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818898</xdr:colOff>
      <xdr:row>15</xdr:row>
      <xdr:rowOff>12969</xdr:rowOff>
    </xdr:from>
    <xdr:to>
      <xdr:col>2</xdr:col>
      <xdr:colOff>457998</xdr:colOff>
      <xdr:row>16</xdr:row>
      <xdr:rowOff>8068</xdr:rowOff>
    </xdr:to>
    <xdr:sp macro="" textlink="calculs!O58">
      <xdr:nvSpPr>
        <xdr:cNvPr id="18" name="Rectangle 17"/>
        <xdr:cNvSpPr/>
      </xdr:nvSpPr>
      <xdr:spPr>
        <a:xfrm>
          <a:off x="1199898" y="3013344"/>
          <a:ext cx="991650" cy="18559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81C1F6F-5B39-4CDD-B36B-3C690346A71A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en-US" sz="1800" b="1" i="0" u="none" strike="noStrike">
            <a:solidFill>
              <a:srgbClr val="000000"/>
            </a:solidFill>
            <a:latin typeface="Calibri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138665</xdr:colOff>
      <xdr:row>20</xdr:row>
      <xdr:rowOff>300237</xdr:rowOff>
    </xdr:from>
    <xdr:to>
      <xdr:col>1</xdr:col>
      <xdr:colOff>428001</xdr:colOff>
      <xdr:row>22</xdr:row>
      <xdr:rowOff>62405</xdr:rowOff>
    </xdr:to>
    <xdr:sp macro="" textlink="calculs!N59">
      <xdr:nvSpPr>
        <xdr:cNvPr id="19" name="Rectangle 18"/>
        <xdr:cNvSpPr/>
      </xdr:nvSpPr>
      <xdr:spPr>
        <a:xfrm>
          <a:off x="519665" y="4253112"/>
          <a:ext cx="289336" cy="2669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FA5607A-1B89-47D3-8757-11F9724BC169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18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1</xdr:col>
      <xdr:colOff>270697</xdr:colOff>
      <xdr:row>21</xdr:row>
      <xdr:rowOff>1881</xdr:rowOff>
    </xdr:from>
    <xdr:to>
      <xdr:col>1</xdr:col>
      <xdr:colOff>1164657</xdr:colOff>
      <xdr:row>22</xdr:row>
      <xdr:rowOff>25313</xdr:rowOff>
    </xdr:to>
    <xdr:sp macro="" textlink="calculs!Q58">
      <xdr:nvSpPr>
        <xdr:cNvPr id="20" name="Rectangle 19"/>
        <xdr:cNvSpPr/>
      </xdr:nvSpPr>
      <xdr:spPr>
        <a:xfrm>
          <a:off x="651697" y="4269081"/>
          <a:ext cx="893960" cy="213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056CD10-5B71-446B-979B-1806520D45E4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28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0</xdr:colOff>
      <xdr:row>10</xdr:row>
      <xdr:rowOff>183087</xdr:rowOff>
    </xdr:from>
    <xdr:to>
      <xdr:col>8</xdr:col>
      <xdr:colOff>982756</xdr:colOff>
      <xdr:row>35</xdr:row>
      <xdr:rowOff>27246</xdr:rowOff>
    </xdr:to>
    <xdr:sp macro="" textlink="">
      <xdr:nvSpPr>
        <xdr:cNvPr id="21" name="Rectangle à coins arrondis 20"/>
        <xdr:cNvSpPr/>
      </xdr:nvSpPr>
      <xdr:spPr>
        <a:xfrm>
          <a:off x="381000" y="2154762"/>
          <a:ext cx="9059956" cy="4844784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12</xdr:row>
      <xdr:rowOff>22243</xdr:rowOff>
    </xdr:from>
    <xdr:to>
      <xdr:col>8</xdr:col>
      <xdr:colOff>638175</xdr:colOff>
      <xdr:row>22</xdr:row>
      <xdr:rowOff>136646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894232</xdr:colOff>
      <xdr:row>23</xdr:row>
      <xdr:rowOff>133350</xdr:rowOff>
    </xdr:from>
    <xdr:to>
      <xdr:col>5</xdr:col>
      <xdr:colOff>152400</xdr:colOff>
      <xdr:row>35</xdr:row>
      <xdr:rowOff>104775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352425</xdr:colOff>
      <xdr:row>30</xdr:row>
      <xdr:rowOff>2867</xdr:rowOff>
    </xdr:from>
    <xdr:to>
      <xdr:col>1</xdr:col>
      <xdr:colOff>1344075</xdr:colOff>
      <xdr:row>30</xdr:row>
      <xdr:rowOff>185057</xdr:rowOff>
    </xdr:to>
    <xdr:sp macro="" textlink="calculs!O58">
      <xdr:nvSpPr>
        <xdr:cNvPr id="58" name="Rectangle 57"/>
        <xdr:cNvSpPr/>
      </xdr:nvSpPr>
      <xdr:spPr>
        <a:xfrm>
          <a:off x="733425" y="5984567"/>
          <a:ext cx="991650" cy="182190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414BA7A-BB6F-4ABD-AEC2-491E47CDABE9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40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914400</xdr:colOff>
      <xdr:row>23</xdr:row>
      <xdr:rowOff>132534</xdr:rowOff>
    </xdr:from>
    <xdr:to>
      <xdr:col>8</xdr:col>
      <xdr:colOff>285750</xdr:colOff>
      <xdr:row>34</xdr:row>
      <xdr:rowOff>143192</xdr:rowOff>
    </xdr:to>
    <xdr:graphicFrame macro="">
      <xdr:nvGraphicFramePr>
        <xdr:cNvPr id="59" name="Graphique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342895</xdr:colOff>
      <xdr:row>54</xdr:row>
      <xdr:rowOff>25571</xdr:rowOff>
    </xdr:from>
    <xdr:to>
      <xdr:col>1</xdr:col>
      <xdr:colOff>1331415</xdr:colOff>
      <xdr:row>55</xdr:row>
      <xdr:rowOff>1531</xdr:rowOff>
    </xdr:to>
    <xdr:sp macro="" textlink="calculs!P8">
      <xdr:nvSpPr>
        <xdr:cNvPr id="28" name="Rectangle 27"/>
        <xdr:cNvSpPr/>
      </xdr:nvSpPr>
      <xdr:spPr>
        <a:xfrm>
          <a:off x="723895" y="10760246"/>
          <a:ext cx="988520" cy="166460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7FFC206-3ECA-416C-AA8C-B5E860C01000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18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342873</xdr:colOff>
      <xdr:row>57</xdr:row>
      <xdr:rowOff>8690</xdr:rowOff>
    </xdr:from>
    <xdr:to>
      <xdr:col>1</xdr:col>
      <xdr:colOff>1331415</xdr:colOff>
      <xdr:row>57</xdr:row>
      <xdr:rowOff>173765</xdr:rowOff>
    </xdr:to>
    <xdr:sp macro="" textlink="calculs!P4">
      <xdr:nvSpPr>
        <xdr:cNvPr id="29" name="Rectangle 28"/>
        <xdr:cNvSpPr/>
      </xdr:nvSpPr>
      <xdr:spPr>
        <a:xfrm>
          <a:off x="723873" y="11314865"/>
          <a:ext cx="988542" cy="165075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F9FDB3E-5962-4ED8-A988-9725DC94F74B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8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822829</xdr:colOff>
      <xdr:row>42</xdr:row>
      <xdr:rowOff>2390</xdr:rowOff>
    </xdr:from>
    <xdr:to>
      <xdr:col>2</xdr:col>
      <xdr:colOff>468419</xdr:colOff>
      <xdr:row>42</xdr:row>
      <xdr:rowOff>181679</xdr:rowOff>
    </xdr:to>
    <xdr:sp macro="" textlink="calculs!P4">
      <xdr:nvSpPr>
        <xdr:cNvPr id="33" name="Rectangle 32"/>
        <xdr:cNvSpPr/>
      </xdr:nvSpPr>
      <xdr:spPr>
        <a:xfrm>
          <a:off x="1203829" y="8327240"/>
          <a:ext cx="998140" cy="17928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539EBF6-3778-4F9E-9385-BAF9E89D3464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177128</xdr:colOff>
      <xdr:row>47</xdr:row>
      <xdr:rowOff>289142</xdr:rowOff>
    </xdr:from>
    <xdr:to>
      <xdr:col>1</xdr:col>
      <xdr:colOff>468359</xdr:colOff>
      <xdr:row>49</xdr:row>
      <xdr:rowOff>72981</xdr:rowOff>
    </xdr:to>
    <xdr:sp macro="" textlink="calculs!N5">
      <xdr:nvSpPr>
        <xdr:cNvPr id="34" name="Rectangle 33"/>
        <xdr:cNvSpPr/>
      </xdr:nvSpPr>
      <xdr:spPr>
        <a:xfrm>
          <a:off x="558128" y="9604592"/>
          <a:ext cx="291231" cy="288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C70B289-2A60-447B-AD5A-82F3131FE17E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14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1</xdr:col>
      <xdr:colOff>330103</xdr:colOff>
      <xdr:row>47</xdr:row>
      <xdr:rowOff>305755</xdr:rowOff>
    </xdr:from>
    <xdr:to>
      <xdr:col>1</xdr:col>
      <xdr:colOff>1229914</xdr:colOff>
      <xdr:row>49</xdr:row>
      <xdr:rowOff>32224</xdr:rowOff>
    </xdr:to>
    <xdr:sp macro="" textlink="calculs!Q4">
      <xdr:nvSpPr>
        <xdr:cNvPr id="35" name="Rectangle 34"/>
        <xdr:cNvSpPr/>
      </xdr:nvSpPr>
      <xdr:spPr>
        <a:xfrm>
          <a:off x="711103" y="9621205"/>
          <a:ext cx="899811" cy="2312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7174351-2E2D-447D-863E-DE223F50567C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16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10582</xdr:colOff>
      <xdr:row>37</xdr:row>
      <xdr:rowOff>176568</xdr:rowOff>
    </xdr:from>
    <xdr:to>
      <xdr:col>8</xdr:col>
      <xdr:colOff>990916</xdr:colOff>
      <xdr:row>63</xdr:row>
      <xdr:rowOff>9525</xdr:rowOff>
    </xdr:to>
    <xdr:sp macro="" textlink="">
      <xdr:nvSpPr>
        <xdr:cNvPr id="36" name="Rectangle à coins arrondis 35"/>
        <xdr:cNvSpPr/>
      </xdr:nvSpPr>
      <xdr:spPr>
        <a:xfrm>
          <a:off x="391582" y="7548918"/>
          <a:ext cx="9057534" cy="4909782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57150</xdr:colOff>
      <xdr:row>39</xdr:row>
      <xdr:rowOff>27514</xdr:rowOff>
    </xdr:from>
    <xdr:to>
      <xdr:col>8</xdr:col>
      <xdr:colOff>666750</xdr:colOff>
      <xdr:row>49</xdr:row>
      <xdr:rowOff>180975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695325</xdr:colOff>
      <xdr:row>50</xdr:row>
      <xdr:rowOff>124314</xdr:rowOff>
    </xdr:from>
    <xdr:to>
      <xdr:col>4</xdr:col>
      <xdr:colOff>993952</xdr:colOff>
      <xdr:row>62</xdr:row>
      <xdr:rowOff>161925</xdr:rowOff>
    </xdr:to>
    <xdr:graphicFrame macro="">
      <xdr:nvGraphicFramePr>
        <xdr:cNvPr id="32" name="Graphique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714375</xdr:colOff>
      <xdr:row>56</xdr:row>
      <xdr:rowOff>186108</xdr:rowOff>
    </xdr:from>
    <xdr:to>
      <xdr:col>3</xdr:col>
      <xdr:colOff>675496</xdr:colOff>
      <xdr:row>58</xdr:row>
      <xdr:rowOff>813</xdr:rowOff>
    </xdr:to>
    <xdr:sp macro="" textlink="calculs!O16">
      <xdr:nvSpPr>
        <xdr:cNvPr id="54" name="Rectangle 53"/>
        <xdr:cNvSpPr/>
      </xdr:nvSpPr>
      <xdr:spPr>
        <a:xfrm>
          <a:off x="2447925" y="11301783"/>
          <a:ext cx="980296" cy="1957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753BDA4-9FF6-47F8-9E5F-4D7E5C1C97B5}" type="TxLink">
            <a:rPr lang="en-US" sz="105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105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4</xdr:col>
      <xdr:colOff>714375</xdr:colOff>
      <xdr:row>51</xdr:row>
      <xdr:rowOff>9526</xdr:rowOff>
    </xdr:from>
    <xdr:to>
      <xdr:col>8</xdr:col>
      <xdr:colOff>533400</xdr:colOff>
      <xdr:row>62</xdr:row>
      <xdr:rowOff>12870</xdr:rowOff>
    </xdr:to>
    <xdr:graphicFrame macro="">
      <xdr:nvGraphicFramePr>
        <xdr:cNvPr id="60" name="Graphique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163311</xdr:colOff>
      <xdr:row>85</xdr:row>
      <xdr:rowOff>238576</xdr:rowOff>
    </xdr:from>
    <xdr:to>
      <xdr:col>1</xdr:col>
      <xdr:colOff>447494</xdr:colOff>
      <xdr:row>87</xdr:row>
      <xdr:rowOff>127673</xdr:rowOff>
    </xdr:to>
    <xdr:sp macro="" textlink="calculs!N32">
      <xdr:nvSpPr>
        <xdr:cNvPr id="9" name="Rectangle 8"/>
        <xdr:cNvSpPr/>
      </xdr:nvSpPr>
      <xdr:spPr>
        <a:xfrm>
          <a:off x="544311" y="17031151"/>
          <a:ext cx="284183" cy="3939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B2A148E-62C9-45C9-BDF2-37D9B71C3237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18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1</xdr:col>
      <xdr:colOff>302264</xdr:colOff>
      <xdr:row>85</xdr:row>
      <xdr:rowOff>246811</xdr:rowOff>
    </xdr:from>
    <xdr:to>
      <xdr:col>1</xdr:col>
      <xdr:colOff>1211047</xdr:colOff>
      <xdr:row>87</xdr:row>
      <xdr:rowOff>82228</xdr:rowOff>
    </xdr:to>
    <xdr:sp macro="" textlink="calculs!Q31">
      <xdr:nvSpPr>
        <xdr:cNvPr id="10" name="Rectangle 9"/>
        <xdr:cNvSpPr/>
      </xdr:nvSpPr>
      <xdr:spPr>
        <a:xfrm>
          <a:off x="683264" y="17039386"/>
          <a:ext cx="908783" cy="3402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CC3BECA-7873-44DF-BDB1-7B3D56BCEEB8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24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340551</xdr:colOff>
      <xdr:row>92</xdr:row>
      <xdr:rowOff>28218</xdr:rowOff>
    </xdr:from>
    <xdr:to>
      <xdr:col>1</xdr:col>
      <xdr:colOff>1331881</xdr:colOff>
      <xdr:row>93</xdr:row>
      <xdr:rowOff>8281</xdr:rowOff>
    </xdr:to>
    <xdr:sp macro="" textlink="calculs!P35">
      <xdr:nvSpPr>
        <xdr:cNvPr id="3" name="Rectangle 2"/>
        <xdr:cNvSpPr/>
      </xdr:nvSpPr>
      <xdr:spPr>
        <a:xfrm>
          <a:off x="721551" y="18201918"/>
          <a:ext cx="991330" cy="170563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A02350A-D52E-4FF8-92C3-90C7407DED02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352268</xdr:colOff>
      <xdr:row>95</xdr:row>
      <xdr:rowOff>21687</xdr:rowOff>
    </xdr:from>
    <xdr:to>
      <xdr:col>1</xdr:col>
      <xdr:colOff>1343598</xdr:colOff>
      <xdr:row>96</xdr:row>
      <xdr:rowOff>1750</xdr:rowOff>
    </xdr:to>
    <xdr:sp macro="" textlink="calculs!P31">
      <xdr:nvSpPr>
        <xdr:cNvPr id="4" name="Rectangle 3"/>
        <xdr:cNvSpPr/>
      </xdr:nvSpPr>
      <xdr:spPr>
        <a:xfrm>
          <a:off x="733268" y="18766887"/>
          <a:ext cx="991330" cy="170563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3A69A84-4F12-481A-917B-F09144944DE7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4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840165</xdr:colOff>
      <xdr:row>80</xdr:row>
      <xdr:rowOff>13965</xdr:rowOff>
    </xdr:from>
    <xdr:to>
      <xdr:col>2</xdr:col>
      <xdr:colOff>478945</xdr:colOff>
      <xdr:row>80</xdr:row>
      <xdr:rowOff>184528</xdr:rowOff>
    </xdr:to>
    <xdr:sp macro="" textlink="calculs!P31">
      <xdr:nvSpPr>
        <xdr:cNvPr id="8" name="Rectangle 7"/>
        <xdr:cNvSpPr/>
      </xdr:nvSpPr>
      <xdr:spPr>
        <a:xfrm>
          <a:off x="1221165" y="15777840"/>
          <a:ext cx="991330" cy="170563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C67A7BF-3472-4132-BF43-F81FAAC95D56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8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19050</xdr:colOff>
      <xdr:row>76</xdr:row>
      <xdr:rowOff>19050</xdr:rowOff>
    </xdr:from>
    <xdr:to>
      <xdr:col>8</xdr:col>
      <xdr:colOff>990427</xdr:colOff>
      <xdr:row>102</xdr:row>
      <xdr:rowOff>19050</xdr:rowOff>
    </xdr:to>
    <xdr:sp macro="" textlink="">
      <xdr:nvSpPr>
        <xdr:cNvPr id="11" name="Rectangle à coins arrondis 10"/>
        <xdr:cNvSpPr/>
      </xdr:nvSpPr>
      <xdr:spPr>
        <a:xfrm>
          <a:off x="400050" y="14944725"/>
          <a:ext cx="9048577" cy="5153025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76200</xdr:colOff>
      <xdr:row>77</xdr:row>
      <xdr:rowOff>19050</xdr:rowOff>
    </xdr:from>
    <xdr:to>
      <xdr:col>8</xdr:col>
      <xdr:colOff>676275</xdr:colOff>
      <xdr:row>88</xdr:row>
      <xdr:rowOff>9525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800100</xdr:colOff>
      <xdr:row>89</xdr:row>
      <xdr:rowOff>114299</xdr:rowOff>
    </xdr:from>
    <xdr:to>
      <xdr:col>5</xdr:col>
      <xdr:colOff>155657</xdr:colOff>
      <xdr:row>101</xdr:row>
      <xdr:rowOff>142874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952500</xdr:colOff>
      <xdr:row>96</xdr:row>
      <xdr:rowOff>0</xdr:rowOff>
    </xdr:from>
    <xdr:to>
      <xdr:col>3</xdr:col>
      <xdr:colOff>913621</xdr:colOff>
      <xdr:row>97</xdr:row>
      <xdr:rowOff>9525</xdr:rowOff>
    </xdr:to>
    <xdr:sp macro="" textlink="calculs!O43">
      <xdr:nvSpPr>
        <xdr:cNvPr id="57" name="Rectangle 56"/>
        <xdr:cNvSpPr/>
      </xdr:nvSpPr>
      <xdr:spPr>
        <a:xfrm>
          <a:off x="2686050" y="19011900"/>
          <a:ext cx="980296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D2ED6A4-5467-4520-81FC-54C87A310381}" type="TxLink">
            <a:rPr lang="en-US" sz="105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12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4</xdr:col>
      <xdr:colOff>628649</xdr:colOff>
      <xdr:row>89</xdr:row>
      <xdr:rowOff>0</xdr:rowOff>
    </xdr:from>
    <xdr:to>
      <xdr:col>8</xdr:col>
      <xdr:colOff>590549</xdr:colOff>
      <xdr:row>101</xdr:row>
      <xdr:rowOff>19050</xdr:rowOff>
    </xdr:to>
    <xdr:graphicFrame macro="">
      <xdr:nvGraphicFramePr>
        <xdr:cNvPr id="61" name="Graphique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8</xdr:col>
      <xdr:colOff>962025</xdr:colOff>
      <xdr:row>5</xdr:row>
      <xdr:rowOff>142875</xdr:rowOff>
    </xdr:to>
    <xdr:grpSp>
      <xdr:nvGrpSpPr>
        <xdr:cNvPr id="38" name="Groupe 37"/>
        <xdr:cNvGrpSpPr/>
      </xdr:nvGrpSpPr>
      <xdr:grpSpPr>
        <a:xfrm>
          <a:off x="381000" y="200025"/>
          <a:ext cx="9039225" cy="942975"/>
          <a:chOff x="180975" y="171450"/>
          <a:chExt cx="9305925" cy="1009650"/>
        </a:xfrm>
      </xdr:grpSpPr>
      <xdr:sp macro="" textlink="">
        <xdr:nvSpPr>
          <xdr:cNvPr id="39" name="Rectangle à coins arrondis 38"/>
          <xdr:cNvSpPr/>
        </xdr:nvSpPr>
        <xdr:spPr>
          <a:xfrm>
            <a:off x="180976" y="1714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0" name="Rectangle avec coins arrondis du même côté 39"/>
          <xdr:cNvSpPr/>
        </xdr:nvSpPr>
        <xdr:spPr>
          <a:xfrm rot="10800000">
            <a:off x="180975" y="7524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41" name="Rectangle 40"/>
          <xdr:cNvSpPr/>
        </xdr:nvSpPr>
        <xdr:spPr>
          <a:xfrm>
            <a:off x="328761" y="2667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42" name="Rectangle 41"/>
          <xdr:cNvSpPr/>
        </xdr:nvSpPr>
        <xdr:spPr>
          <a:xfrm>
            <a:off x="1340519" y="2667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43" name="Rectangle 42">
            <a:hlinkClick xmlns:r="http://schemas.openxmlformats.org/officeDocument/2006/relationships" r:id="rId10"/>
          </xdr:cNvPr>
          <xdr:cNvSpPr/>
        </xdr:nvSpPr>
        <xdr:spPr>
          <a:xfrm>
            <a:off x="306499" y="7715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  <xdr:twoCellAnchor>
    <xdr:from>
      <xdr:col>1</xdr:col>
      <xdr:colOff>828675</xdr:colOff>
      <xdr:row>83</xdr:row>
      <xdr:rowOff>9525</xdr:rowOff>
    </xdr:from>
    <xdr:to>
      <xdr:col>2</xdr:col>
      <xdr:colOff>467455</xdr:colOff>
      <xdr:row>83</xdr:row>
      <xdr:rowOff>180088</xdr:rowOff>
    </xdr:to>
    <xdr:sp macro="" textlink="calculs!N31">
      <xdr:nvSpPr>
        <xdr:cNvPr id="44" name="Rectangle 43"/>
        <xdr:cNvSpPr/>
      </xdr:nvSpPr>
      <xdr:spPr>
        <a:xfrm>
          <a:off x="1209675" y="16344900"/>
          <a:ext cx="991330" cy="170563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87B020E-7E94-490C-85D1-263E3D8BFAB4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4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790575</xdr:colOff>
      <xdr:row>45</xdr:row>
      <xdr:rowOff>9525</xdr:rowOff>
    </xdr:from>
    <xdr:to>
      <xdr:col>2</xdr:col>
      <xdr:colOff>436165</xdr:colOff>
      <xdr:row>45</xdr:row>
      <xdr:rowOff>188814</xdr:rowOff>
    </xdr:to>
    <xdr:sp macro="" textlink="calculs!N4">
      <xdr:nvSpPr>
        <xdr:cNvPr id="45" name="Rectangle 44"/>
        <xdr:cNvSpPr/>
      </xdr:nvSpPr>
      <xdr:spPr>
        <a:xfrm>
          <a:off x="1171575" y="8905875"/>
          <a:ext cx="998140" cy="17928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FE20365-28B4-45F8-96EF-2546F075F036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809625</xdr:colOff>
      <xdr:row>18</xdr:row>
      <xdr:rowOff>19050</xdr:rowOff>
    </xdr:from>
    <xdr:to>
      <xdr:col>2</xdr:col>
      <xdr:colOff>448725</xdr:colOff>
      <xdr:row>19</xdr:row>
      <xdr:rowOff>14149</xdr:rowOff>
    </xdr:to>
    <xdr:sp macro="" textlink="calculs!N58">
      <xdr:nvSpPr>
        <xdr:cNvPr id="46" name="Rectangle 45"/>
        <xdr:cNvSpPr/>
      </xdr:nvSpPr>
      <xdr:spPr>
        <a:xfrm>
          <a:off x="1190625" y="3590925"/>
          <a:ext cx="991650" cy="18559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F686A77-A0D8-490F-8339-C33D8C715BAD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en-US" sz="2800" b="1" i="0" u="none" strike="noStrike">
            <a:solidFill>
              <a:srgbClr val="000000"/>
            </a:solidFill>
            <a:latin typeface="Calibri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609600</xdr:colOff>
      <xdr:row>24</xdr:row>
      <xdr:rowOff>28575</xdr:rowOff>
    </xdr:from>
    <xdr:to>
      <xdr:col>7</xdr:col>
      <xdr:colOff>485775</xdr:colOff>
      <xdr:row>25</xdr:row>
      <xdr:rowOff>19050</xdr:rowOff>
    </xdr:to>
    <xdr:sp macro="" textlink="$C$10">
      <xdr:nvSpPr>
        <xdr:cNvPr id="47" name="Rectangle 46"/>
        <xdr:cNvSpPr/>
      </xdr:nvSpPr>
      <xdr:spPr>
        <a:xfrm>
          <a:off x="7029450" y="4867275"/>
          <a:ext cx="895350" cy="180975"/>
        </a:xfrm>
        <a:prstGeom prst="rect">
          <a:avLst/>
        </a:prstGeom>
        <a:solidFill>
          <a:sysClr val="window" lastClr="FFFFFF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fld id="{084A01D5-CEF5-485C-B1C9-99343FA0097C}" type="TxLink">
            <a:rPr lang="en-US" sz="10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l"/>
            <a:t>Juillet</a:t>
          </a:fld>
          <a:endParaRPr lang="fr-FR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561975</xdr:colOff>
      <xdr:row>51</xdr:row>
      <xdr:rowOff>85725</xdr:rowOff>
    </xdr:from>
    <xdr:to>
      <xdr:col>7</xdr:col>
      <xdr:colOff>438150</xdr:colOff>
      <xdr:row>52</xdr:row>
      <xdr:rowOff>76200</xdr:rowOff>
    </xdr:to>
    <xdr:sp macro="" textlink="$C$10">
      <xdr:nvSpPr>
        <xdr:cNvPr id="48" name="Rectangle 47"/>
        <xdr:cNvSpPr/>
      </xdr:nvSpPr>
      <xdr:spPr>
        <a:xfrm>
          <a:off x="6981825" y="10287000"/>
          <a:ext cx="895350" cy="180975"/>
        </a:xfrm>
        <a:prstGeom prst="rect">
          <a:avLst/>
        </a:prstGeom>
        <a:solidFill>
          <a:sysClr val="window" lastClr="FFFFFF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fld id="{312341D9-DCA6-4313-8614-789C1A4ACC31}" type="TxLink">
            <a:rPr lang="en-US" sz="10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l"/>
            <a:t>Juillet</a:t>
          </a:fld>
          <a:endParaRPr lang="fr-FR" sz="7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609600</xdr:colOff>
      <xdr:row>89</xdr:row>
      <xdr:rowOff>76200</xdr:rowOff>
    </xdr:from>
    <xdr:to>
      <xdr:col>7</xdr:col>
      <xdr:colOff>485775</xdr:colOff>
      <xdr:row>90</xdr:row>
      <xdr:rowOff>66675</xdr:rowOff>
    </xdr:to>
    <xdr:sp macro="" textlink="$C$10">
      <xdr:nvSpPr>
        <xdr:cNvPr id="49" name="Rectangle 48"/>
        <xdr:cNvSpPr/>
      </xdr:nvSpPr>
      <xdr:spPr>
        <a:xfrm>
          <a:off x="7029450" y="17868900"/>
          <a:ext cx="895350" cy="180975"/>
        </a:xfrm>
        <a:prstGeom prst="rect">
          <a:avLst/>
        </a:prstGeom>
        <a:solidFill>
          <a:sysClr val="window" lastClr="FFFFFF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fld id="{312341D9-DCA6-4313-8614-789C1A4ACC31}" type="TxLink">
            <a:rPr lang="en-US" sz="10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l"/>
            <a:t>Juillet</a:t>
          </a:fld>
          <a:endParaRPr lang="fr-FR" sz="7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38100</xdr:colOff>
      <xdr:row>33</xdr:row>
      <xdr:rowOff>1</xdr:rowOff>
    </xdr:from>
    <xdr:to>
      <xdr:col>2</xdr:col>
      <xdr:colOff>330061</xdr:colOff>
      <xdr:row>34</xdr:row>
      <xdr:rowOff>57151</xdr:rowOff>
    </xdr:to>
    <xdr:sp macro="" textlink="calculs!D96">
      <xdr:nvSpPr>
        <xdr:cNvPr id="50" name="Rectangle 49"/>
        <xdr:cNvSpPr/>
      </xdr:nvSpPr>
      <xdr:spPr>
        <a:xfrm>
          <a:off x="1666875" y="12258676"/>
          <a:ext cx="29196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42ACEF0-394E-4A53-8FC8-F4B8B7AF06E3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18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2</xdr:col>
      <xdr:colOff>105733</xdr:colOff>
      <xdr:row>32</xdr:row>
      <xdr:rowOff>115055</xdr:rowOff>
    </xdr:from>
    <xdr:to>
      <xdr:col>3</xdr:col>
      <xdr:colOff>217225</xdr:colOff>
      <xdr:row>34</xdr:row>
      <xdr:rowOff>95511</xdr:rowOff>
    </xdr:to>
    <xdr:sp macro="" textlink="calculs!C96">
      <xdr:nvSpPr>
        <xdr:cNvPr id="52" name="Rectangle 51"/>
        <xdr:cNvSpPr/>
      </xdr:nvSpPr>
      <xdr:spPr>
        <a:xfrm>
          <a:off x="1734508" y="12183230"/>
          <a:ext cx="1130667" cy="3614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65AF29F-FA1D-4AB9-A206-DD014D4295EB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28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38100</xdr:colOff>
      <xdr:row>61</xdr:row>
      <xdr:rowOff>1</xdr:rowOff>
    </xdr:from>
    <xdr:to>
      <xdr:col>2</xdr:col>
      <xdr:colOff>330061</xdr:colOff>
      <xdr:row>62</xdr:row>
      <xdr:rowOff>57151</xdr:rowOff>
    </xdr:to>
    <xdr:sp macro="" textlink="calculs!F97">
      <xdr:nvSpPr>
        <xdr:cNvPr id="53" name="Rectangle 52"/>
        <xdr:cNvSpPr/>
      </xdr:nvSpPr>
      <xdr:spPr>
        <a:xfrm>
          <a:off x="1771650" y="6553201"/>
          <a:ext cx="29196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71E0245-C406-418A-8804-1356175905E4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20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2</xdr:col>
      <xdr:colOff>105733</xdr:colOff>
      <xdr:row>60</xdr:row>
      <xdr:rowOff>115055</xdr:rowOff>
    </xdr:from>
    <xdr:to>
      <xdr:col>3</xdr:col>
      <xdr:colOff>217225</xdr:colOff>
      <xdr:row>62</xdr:row>
      <xdr:rowOff>95511</xdr:rowOff>
    </xdr:to>
    <xdr:sp macro="" textlink="calculs!F96">
      <xdr:nvSpPr>
        <xdr:cNvPr id="55" name="Rectangle 54"/>
        <xdr:cNvSpPr/>
      </xdr:nvSpPr>
      <xdr:spPr>
        <a:xfrm>
          <a:off x="1839283" y="6477755"/>
          <a:ext cx="1130667" cy="3614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5767BC2-1E15-498D-9215-B8B0533572B8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32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38100</xdr:colOff>
      <xdr:row>100</xdr:row>
      <xdr:rowOff>1</xdr:rowOff>
    </xdr:from>
    <xdr:to>
      <xdr:col>2</xdr:col>
      <xdr:colOff>330061</xdr:colOff>
      <xdr:row>101</xdr:row>
      <xdr:rowOff>57151</xdr:rowOff>
    </xdr:to>
    <xdr:sp macro="" textlink="calculs!I97">
      <xdr:nvSpPr>
        <xdr:cNvPr id="56" name="Rectangle 55"/>
        <xdr:cNvSpPr/>
      </xdr:nvSpPr>
      <xdr:spPr>
        <a:xfrm>
          <a:off x="1771650" y="12106276"/>
          <a:ext cx="29196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10F37E3-B1AB-4233-BB4F-6BF2B1268781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28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2</xdr:col>
      <xdr:colOff>105733</xdr:colOff>
      <xdr:row>99</xdr:row>
      <xdr:rowOff>115055</xdr:rowOff>
    </xdr:from>
    <xdr:to>
      <xdr:col>3</xdr:col>
      <xdr:colOff>217225</xdr:colOff>
      <xdr:row>101</xdr:row>
      <xdr:rowOff>95511</xdr:rowOff>
    </xdr:to>
    <xdr:sp macro="" textlink="calculs!I96">
      <xdr:nvSpPr>
        <xdr:cNvPr id="62" name="Rectangle 61"/>
        <xdr:cNvSpPr/>
      </xdr:nvSpPr>
      <xdr:spPr>
        <a:xfrm>
          <a:off x="1839283" y="12030830"/>
          <a:ext cx="1130667" cy="3614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AF29AD0-21D6-4E6E-9488-DF5559FF7D36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3600" b="1">
            <a:latin typeface="Arial Black" panose="020B0A040201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28575</xdr:rowOff>
    </xdr:from>
    <xdr:to>
      <xdr:col>14</xdr:col>
      <xdr:colOff>161925</xdr:colOff>
      <xdr:row>6</xdr:row>
      <xdr:rowOff>19050</xdr:rowOff>
    </xdr:to>
    <xdr:grpSp>
      <xdr:nvGrpSpPr>
        <xdr:cNvPr id="8" name="Groupe 7"/>
        <xdr:cNvGrpSpPr/>
      </xdr:nvGrpSpPr>
      <xdr:grpSpPr>
        <a:xfrm>
          <a:off x="619125" y="219075"/>
          <a:ext cx="9667875" cy="942975"/>
          <a:chOff x="619125" y="219075"/>
          <a:chExt cx="9667875" cy="942975"/>
        </a:xfrm>
      </xdr:grpSpPr>
      <xdr:sp macro="" textlink="">
        <xdr:nvSpPr>
          <xdr:cNvPr id="3" name="Rectangle à coins arrondis 2"/>
          <xdr:cNvSpPr/>
        </xdr:nvSpPr>
        <xdr:spPr>
          <a:xfrm>
            <a:off x="619126" y="219075"/>
            <a:ext cx="9667874" cy="942975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" name="Rectangle avec coins arrondis du même côté 3"/>
          <xdr:cNvSpPr/>
        </xdr:nvSpPr>
        <xdr:spPr>
          <a:xfrm rot="10800000">
            <a:off x="619125" y="761729"/>
            <a:ext cx="9667874" cy="400316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5" name="Rectangle 4"/>
          <xdr:cNvSpPr/>
        </xdr:nvSpPr>
        <xdr:spPr>
          <a:xfrm>
            <a:off x="772659" y="308036"/>
            <a:ext cx="1115590" cy="3647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6" name="Rectangle 5"/>
          <xdr:cNvSpPr/>
        </xdr:nvSpPr>
        <xdr:spPr>
          <a:xfrm>
            <a:off x="1823769" y="308036"/>
            <a:ext cx="2344412" cy="3647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7" name="Rectangle 6">
            <a:hlinkClick xmlns:r="http://schemas.openxmlformats.org/officeDocument/2006/relationships" r:id="rId1"/>
          </xdr:cNvPr>
          <xdr:cNvSpPr/>
        </xdr:nvSpPr>
        <xdr:spPr>
          <a:xfrm>
            <a:off x="749531" y="779522"/>
            <a:ext cx="1331246" cy="364736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12</xdr:col>
      <xdr:colOff>495300</xdr:colOff>
      <xdr:row>5</xdr:row>
      <xdr:rowOff>180975</xdr:rowOff>
    </xdr:to>
    <xdr:grpSp>
      <xdr:nvGrpSpPr>
        <xdr:cNvPr id="2" name="Groupe 1"/>
        <xdr:cNvGrpSpPr/>
      </xdr:nvGrpSpPr>
      <xdr:grpSpPr>
        <a:xfrm>
          <a:off x="419100" y="114300"/>
          <a:ext cx="8982075" cy="1019175"/>
          <a:chOff x="419100" y="114300"/>
          <a:chExt cx="8982075" cy="1019175"/>
        </a:xfrm>
      </xdr:grpSpPr>
      <xdr:sp macro="" textlink="">
        <xdr:nvSpPr>
          <xdr:cNvPr id="33" name="Rectangle à coins arrondis 32"/>
          <xdr:cNvSpPr/>
        </xdr:nvSpPr>
        <xdr:spPr>
          <a:xfrm>
            <a:off x="419101" y="114300"/>
            <a:ext cx="8982074" cy="1019175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4" name="Rectangle avec coins arrondis du même côté 33"/>
          <xdr:cNvSpPr/>
        </xdr:nvSpPr>
        <xdr:spPr>
          <a:xfrm rot="10800000">
            <a:off x="419100" y="700805"/>
            <a:ext cx="8982074" cy="432665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37" name="Rectangle 36"/>
          <xdr:cNvSpPr/>
        </xdr:nvSpPr>
        <xdr:spPr>
          <a:xfrm>
            <a:off x="561743" y="210450"/>
            <a:ext cx="1036454" cy="39420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39" name="Rectangle 38"/>
          <xdr:cNvSpPr/>
        </xdr:nvSpPr>
        <xdr:spPr>
          <a:xfrm>
            <a:off x="1538291" y="210450"/>
            <a:ext cx="2178109" cy="39420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40" name="Rectangle 39">
            <a:hlinkClick xmlns:r="http://schemas.openxmlformats.org/officeDocument/2006/relationships" r:id="rId1"/>
          </xdr:cNvPr>
          <xdr:cNvSpPr/>
        </xdr:nvSpPr>
        <xdr:spPr>
          <a:xfrm>
            <a:off x="540256" y="720036"/>
            <a:ext cx="1236813" cy="394209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  <xdr:twoCellAnchor>
    <xdr:from>
      <xdr:col>3</xdr:col>
      <xdr:colOff>85725</xdr:colOff>
      <xdr:row>14</xdr:row>
      <xdr:rowOff>0</xdr:rowOff>
    </xdr:from>
    <xdr:to>
      <xdr:col>12</xdr:col>
      <xdr:colOff>657225</xdr:colOff>
      <xdr:row>27</xdr:row>
      <xdr:rowOff>1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152400</xdr:colOff>
      <xdr:row>27</xdr:row>
      <xdr:rowOff>114300</xdr:rowOff>
    </xdr:from>
    <xdr:to>
      <xdr:col>13</xdr:col>
      <xdr:colOff>323850</xdr:colOff>
      <xdr:row>40</xdr:row>
      <xdr:rowOff>123825</xdr:rowOff>
    </xdr:to>
    <xdr:graphicFrame macro="">
      <xdr:nvGraphicFramePr>
        <xdr:cNvPr id="30" name="Graphique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428625</xdr:colOff>
      <xdr:row>35</xdr:row>
      <xdr:rowOff>9525</xdr:rowOff>
    </xdr:from>
    <xdr:to>
      <xdr:col>11</xdr:col>
      <xdr:colOff>694546</xdr:colOff>
      <xdr:row>36</xdr:row>
      <xdr:rowOff>28575</xdr:rowOff>
    </xdr:to>
    <xdr:sp macro="" textlink="calculs!AE16">
      <xdr:nvSpPr>
        <xdr:cNvPr id="31" name="Rectangle 30"/>
        <xdr:cNvSpPr/>
      </xdr:nvSpPr>
      <xdr:spPr>
        <a:xfrm>
          <a:off x="7791450" y="6381750"/>
          <a:ext cx="980296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093D1E7-AF9C-4301-921C-DCFC21E1DA14}" type="TxLink">
            <a:rPr lang="en-US" sz="105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8</xdr:col>
      <xdr:colOff>746891</xdr:colOff>
      <xdr:row>31</xdr:row>
      <xdr:rowOff>9525</xdr:rowOff>
    </xdr:from>
    <xdr:to>
      <xdr:col>9</xdr:col>
      <xdr:colOff>862241</xdr:colOff>
      <xdr:row>32</xdr:row>
      <xdr:rowOff>22079</xdr:rowOff>
    </xdr:to>
    <xdr:sp macro="" textlink="calculs!AF8">
      <xdr:nvSpPr>
        <xdr:cNvPr id="41" name="Rectangle 40"/>
        <xdr:cNvSpPr/>
      </xdr:nvSpPr>
      <xdr:spPr>
        <a:xfrm>
          <a:off x="6357116" y="5686425"/>
          <a:ext cx="991650" cy="17447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628E6EB-2255-48DD-9504-F0A62F95A8BA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3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771525</xdr:colOff>
      <xdr:row>34</xdr:row>
      <xdr:rowOff>12784</xdr:rowOff>
    </xdr:from>
    <xdr:to>
      <xdr:col>10</xdr:col>
      <xdr:colOff>10575</xdr:colOff>
      <xdr:row>35</xdr:row>
      <xdr:rowOff>33049</xdr:rowOff>
    </xdr:to>
    <xdr:sp macro="" textlink="calculs!AE4">
      <xdr:nvSpPr>
        <xdr:cNvPr id="42" name="Rectangle 41"/>
        <xdr:cNvSpPr/>
      </xdr:nvSpPr>
      <xdr:spPr>
        <a:xfrm>
          <a:off x="6381750" y="6194509"/>
          <a:ext cx="991650" cy="210765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242CF96-BB1D-4BC2-86A5-C394C3E579F5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44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314325</xdr:colOff>
      <xdr:row>22</xdr:row>
      <xdr:rowOff>224611</xdr:rowOff>
    </xdr:from>
    <xdr:to>
      <xdr:col>1</xdr:col>
      <xdr:colOff>217508</xdr:colOff>
      <xdr:row>24</xdr:row>
      <xdr:rowOff>142283</xdr:rowOff>
    </xdr:to>
    <xdr:sp macro="" textlink="calculs!AD5">
      <xdr:nvSpPr>
        <xdr:cNvPr id="13" name="Rectangle 12"/>
        <xdr:cNvSpPr/>
      </xdr:nvSpPr>
      <xdr:spPr>
        <a:xfrm>
          <a:off x="314325" y="4367986"/>
          <a:ext cx="284183" cy="47964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0576D03-4AE9-4A96-BFB3-D45912555F9F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20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1</xdr:col>
      <xdr:colOff>72278</xdr:colOff>
      <xdr:row>22</xdr:row>
      <xdr:rowOff>232846</xdr:rowOff>
    </xdr:from>
    <xdr:to>
      <xdr:col>2</xdr:col>
      <xdr:colOff>104761</xdr:colOff>
      <xdr:row>24</xdr:row>
      <xdr:rowOff>96838</xdr:rowOff>
    </xdr:to>
    <xdr:sp macro="" textlink="calculs!AG4">
      <xdr:nvSpPr>
        <xdr:cNvPr id="14" name="Rectangle 13"/>
        <xdr:cNvSpPr/>
      </xdr:nvSpPr>
      <xdr:spPr>
        <a:xfrm>
          <a:off x="453278" y="4376221"/>
          <a:ext cx="908783" cy="4259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288BB73-2287-469E-89D9-DA059DDE66CC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28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372054</xdr:colOff>
      <xdr:row>17</xdr:row>
      <xdr:rowOff>19050</xdr:rowOff>
    </xdr:from>
    <xdr:to>
      <xdr:col>2</xdr:col>
      <xdr:colOff>487084</xdr:colOff>
      <xdr:row>17</xdr:row>
      <xdr:rowOff>189613</xdr:rowOff>
    </xdr:to>
    <xdr:sp macro="" textlink="calculs!AF4">
      <xdr:nvSpPr>
        <xdr:cNvPr id="15" name="Rectangle 14"/>
        <xdr:cNvSpPr/>
      </xdr:nvSpPr>
      <xdr:spPr>
        <a:xfrm>
          <a:off x="753054" y="3276600"/>
          <a:ext cx="991330" cy="170563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81A202D-6020-47DE-830E-D385025A799A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36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361950</xdr:colOff>
      <xdr:row>20</xdr:row>
      <xdr:rowOff>28576</xdr:rowOff>
    </xdr:from>
    <xdr:to>
      <xdr:col>2</xdr:col>
      <xdr:colOff>504169</xdr:colOff>
      <xdr:row>21</xdr:row>
      <xdr:rowOff>28575</xdr:rowOff>
    </xdr:to>
    <xdr:sp macro="" textlink="calculs!AD4">
      <xdr:nvSpPr>
        <xdr:cNvPr id="16" name="Rectangle 15"/>
        <xdr:cNvSpPr/>
      </xdr:nvSpPr>
      <xdr:spPr>
        <a:xfrm>
          <a:off x="742950" y="3838576"/>
          <a:ext cx="1018519" cy="17144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B17FDD3-446A-4627-9AE4-DD7B87C583D9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4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76200</xdr:colOff>
      <xdr:row>41</xdr:row>
      <xdr:rowOff>0</xdr:rowOff>
    </xdr:from>
    <xdr:to>
      <xdr:col>12</xdr:col>
      <xdr:colOff>657225</xdr:colOff>
      <xdr:row>54</xdr:row>
      <xdr:rowOff>9526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171450</xdr:colOff>
      <xdr:row>54</xdr:row>
      <xdr:rowOff>133350</xdr:rowOff>
    </xdr:from>
    <xdr:to>
      <xdr:col>13</xdr:col>
      <xdr:colOff>342900</xdr:colOff>
      <xdr:row>69</xdr:row>
      <xdr:rowOff>85725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746891</xdr:colOff>
      <xdr:row>58</xdr:row>
      <xdr:rowOff>19050</xdr:rowOff>
    </xdr:from>
    <xdr:to>
      <xdr:col>9</xdr:col>
      <xdr:colOff>862241</xdr:colOff>
      <xdr:row>59</xdr:row>
      <xdr:rowOff>31604</xdr:rowOff>
    </xdr:to>
    <xdr:sp macro="" textlink="calculs!AN8">
      <xdr:nvSpPr>
        <xdr:cNvPr id="19" name="Rectangle 18"/>
        <xdr:cNvSpPr/>
      </xdr:nvSpPr>
      <xdr:spPr>
        <a:xfrm>
          <a:off x="6471416" y="10896600"/>
          <a:ext cx="991650" cy="17447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7F894CF-4AFD-4608-8C15-DABFCBE25159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36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752475</xdr:colOff>
      <xdr:row>61</xdr:row>
      <xdr:rowOff>0</xdr:rowOff>
    </xdr:from>
    <xdr:to>
      <xdr:col>9</xdr:col>
      <xdr:colOff>867825</xdr:colOff>
      <xdr:row>62</xdr:row>
      <xdr:rowOff>19050</xdr:rowOff>
    </xdr:to>
    <xdr:sp macro="" textlink="calculs!AM4">
      <xdr:nvSpPr>
        <xdr:cNvPr id="20" name="Rectangle 19"/>
        <xdr:cNvSpPr/>
      </xdr:nvSpPr>
      <xdr:spPr>
        <a:xfrm>
          <a:off x="6477000" y="11363325"/>
          <a:ext cx="991650" cy="180975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BC81145-FDF0-46CC-A225-22C7D868D298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48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314325</xdr:colOff>
      <xdr:row>49</xdr:row>
      <xdr:rowOff>196036</xdr:rowOff>
    </xdr:from>
    <xdr:to>
      <xdr:col>1</xdr:col>
      <xdr:colOff>217508</xdr:colOff>
      <xdr:row>52</xdr:row>
      <xdr:rowOff>27983</xdr:rowOff>
    </xdr:to>
    <xdr:sp macro="" textlink="calculs!AL5">
      <xdr:nvSpPr>
        <xdr:cNvPr id="21" name="Rectangle 20"/>
        <xdr:cNvSpPr/>
      </xdr:nvSpPr>
      <xdr:spPr>
        <a:xfrm>
          <a:off x="314325" y="9511486"/>
          <a:ext cx="284183" cy="5082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29ED312-4AAC-41F8-9DCF-8B5394D46E6B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24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1</xdr:col>
      <xdr:colOff>72278</xdr:colOff>
      <xdr:row>49</xdr:row>
      <xdr:rowOff>204271</xdr:rowOff>
    </xdr:from>
    <xdr:to>
      <xdr:col>2</xdr:col>
      <xdr:colOff>104761</xdr:colOff>
      <xdr:row>51</xdr:row>
      <xdr:rowOff>144463</xdr:rowOff>
    </xdr:to>
    <xdr:sp macro="" textlink="calculs!AO4">
      <xdr:nvSpPr>
        <xdr:cNvPr id="22" name="Rectangle 21"/>
        <xdr:cNvSpPr/>
      </xdr:nvSpPr>
      <xdr:spPr>
        <a:xfrm>
          <a:off x="453278" y="9519721"/>
          <a:ext cx="908783" cy="4545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C8BB6E9-19E6-4E5C-91F5-8CC012035A15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32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381579</xdr:colOff>
      <xdr:row>44</xdr:row>
      <xdr:rowOff>0</xdr:rowOff>
    </xdr:from>
    <xdr:to>
      <xdr:col>2</xdr:col>
      <xdr:colOff>496609</xdr:colOff>
      <xdr:row>45</xdr:row>
      <xdr:rowOff>8638</xdr:rowOff>
    </xdr:to>
    <xdr:sp macro="" textlink="calculs!AM4">
      <xdr:nvSpPr>
        <xdr:cNvPr id="23" name="Rectangle 22"/>
        <xdr:cNvSpPr/>
      </xdr:nvSpPr>
      <xdr:spPr>
        <a:xfrm>
          <a:off x="762579" y="8267700"/>
          <a:ext cx="991330" cy="170563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9E842F5-3427-4C0F-B639-0D5EE5C7B192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36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371475</xdr:colOff>
      <xdr:row>47</xdr:row>
      <xdr:rowOff>19051</xdr:rowOff>
    </xdr:from>
    <xdr:to>
      <xdr:col>2</xdr:col>
      <xdr:colOff>513694</xdr:colOff>
      <xdr:row>47</xdr:row>
      <xdr:rowOff>190500</xdr:rowOff>
    </xdr:to>
    <xdr:sp macro="" textlink="calculs!AL4">
      <xdr:nvSpPr>
        <xdr:cNvPr id="24" name="Rectangle 23"/>
        <xdr:cNvSpPr/>
      </xdr:nvSpPr>
      <xdr:spPr>
        <a:xfrm>
          <a:off x="752475" y="8848726"/>
          <a:ext cx="1018519" cy="17144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F7A517C-C4FA-40AC-A2DA-72539EE5447E}" type="TxLink">
            <a:rPr lang="en-US" sz="1200" b="1" i="0" u="none" strike="noStrike">
              <a:solidFill>
                <a:srgbClr val="000000"/>
              </a:solidFill>
              <a:latin typeface="+mn-lt"/>
              <a:cs typeface="Times New Roman" panose="02020603050405020304" pitchFamily="18" charset="0"/>
            </a:rPr>
            <a:pPr algn="ctr"/>
            <a:t>0 €</a:t>
          </a:fld>
          <a:endParaRPr lang="fr-FR" sz="48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457200</xdr:colOff>
      <xdr:row>62</xdr:row>
      <xdr:rowOff>0</xdr:rowOff>
    </xdr:from>
    <xdr:to>
      <xdr:col>12</xdr:col>
      <xdr:colOff>8746</xdr:colOff>
      <xdr:row>63</xdr:row>
      <xdr:rowOff>19050</xdr:rowOff>
    </xdr:to>
    <xdr:sp macro="" textlink="calculs!AM16">
      <xdr:nvSpPr>
        <xdr:cNvPr id="25" name="Rectangle 24"/>
        <xdr:cNvSpPr/>
      </xdr:nvSpPr>
      <xdr:spPr>
        <a:xfrm>
          <a:off x="7934325" y="11620500"/>
          <a:ext cx="980296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492D880-1ED5-445C-847C-0DB446F0A86C}" type="TxLink">
            <a:rPr lang="en-US" sz="105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66675</xdr:colOff>
      <xdr:row>82</xdr:row>
      <xdr:rowOff>0</xdr:rowOff>
    </xdr:from>
    <xdr:to>
      <xdr:col>12</xdr:col>
      <xdr:colOff>657225</xdr:colOff>
      <xdr:row>95</xdr:row>
      <xdr:rowOff>9526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746891</xdr:colOff>
      <xdr:row>99</xdr:row>
      <xdr:rowOff>19050</xdr:rowOff>
    </xdr:from>
    <xdr:to>
      <xdr:col>9</xdr:col>
      <xdr:colOff>862241</xdr:colOff>
      <xdr:row>100</xdr:row>
      <xdr:rowOff>31604</xdr:rowOff>
    </xdr:to>
    <xdr:sp macro="" textlink="calculs!AV8">
      <xdr:nvSpPr>
        <xdr:cNvPr id="29" name="Rectangle 28"/>
        <xdr:cNvSpPr/>
      </xdr:nvSpPr>
      <xdr:spPr>
        <a:xfrm>
          <a:off x="6471416" y="11001375"/>
          <a:ext cx="991650" cy="17447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6B97449-2EA4-4A6A-9782-02C3A7B42E6D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4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752475</xdr:colOff>
      <xdr:row>102</xdr:row>
      <xdr:rowOff>0</xdr:rowOff>
    </xdr:from>
    <xdr:to>
      <xdr:col>9</xdr:col>
      <xdr:colOff>867825</xdr:colOff>
      <xdr:row>103</xdr:row>
      <xdr:rowOff>19050</xdr:rowOff>
    </xdr:to>
    <xdr:sp macro="" textlink="calculs!AU4">
      <xdr:nvSpPr>
        <xdr:cNvPr id="32" name="Rectangle 31"/>
        <xdr:cNvSpPr/>
      </xdr:nvSpPr>
      <xdr:spPr>
        <a:xfrm>
          <a:off x="6477000" y="11487150"/>
          <a:ext cx="991650" cy="190500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6A8DE41-4DBA-4BA6-87B6-1361A6E86527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54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323850</xdr:colOff>
      <xdr:row>90</xdr:row>
      <xdr:rowOff>196036</xdr:rowOff>
    </xdr:from>
    <xdr:to>
      <xdr:col>1</xdr:col>
      <xdr:colOff>227033</xdr:colOff>
      <xdr:row>93</xdr:row>
      <xdr:rowOff>27983</xdr:rowOff>
    </xdr:to>
    <xdr:sp macro="" textlink="calculs!AT5">
      <xdr:nvSpPr>
        <xdr:cNvPr id="35" name="Rectangle 34"/>
        <xdr:cNvSpPr/>
      </xdr:nvSpPr>
      <xdr:spPr>
        <a:xfrm>
          <a:off x="323850" y="16921936"/>
          <a:ext cx="284183" cy="5082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C0AF792-7599-4390-92D9-D28052D62260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28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1</xdr:col>
      <xdr:colOff>81803</xdr:colOff>
      <xdr:row>90</xdr:row>
      <xdr:rowOff>204271</xdr:rowOff>
    </xdr:from>
    <xdr:to>
      <xdr:col>2</xdr:col>
      <xdr:colOff>114286</xdr:colOff>
      <xdr:row>92</xdr:row>
      <xdr:rowOff>144463</xdr:rowOff>
    </xdr:to>
    <xdr:sp macro="" textlink="calculs!AW4">
      <xdr:nvSpPr>
        <xdr:cNvPr id="36" name="Rectangle 35"/>
        <xdr:cNvSpPr/>
      </xdr:nvSpPr>
      <xdr:spPr>
        <a:xfrm>
          <a:off x="462803" y="16930171"/>
          <a:ext cx="908783" cy="4545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9FCBAB6-1D60-42E7-8152-07673259CE02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36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381579</xdr:colOff>
      <xdr:row>85</xdr:row>
      <xdr:rowOff>0</xdr:rowOff>
    </xdr:from>
    <xdr:to>
      <xdr:col>2</xdr:col>
      <xdr:colOff>496609</xdr:colOff>
      <xdr:row>86</xdr:row>
      <xdr:rowOff>8638</xdr:rowOff>
    </xdr:to>
    <xdr:sp macro="" textlink="calculs!AU4">
      <xdr:nvSpPr>
        <xdr:cNvPr id="38" name="Rectangle 37"/>
        <xdr:cNvSpPr/>
      </xdr:nvSpPr>
      <xdr:spPr>
        <a:xfrm>
          <a:off x="762579" y="8305800"/>
          <a:ext cx="991330" cy="170563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5248791-14A3-431A-AFE9-0F8D056D8AFC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4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371475</xdr:colOff>
      <xdr:row>88</xdr:row>
      <xdr:rowOff>19051</xdr:rowOff>
    </xdr:from>
    <xdr:to>
      <xdr:col>2</xdr:col>
      <xdr:colOff>513694</xdr:colOff>
      <xdr:row>88</xdr:row>
      <xdr:rowOff>190500</xdr:rowOff>
    </xdr:to>
    <xdr:sp macro="" textlink="calculs!AT4">
      <xdr:nvSpPr>
        <xdr:cNvPr id="43" name="Rectangle 42"/>
        <xdr:cNvSpPr/>
      </xdr:nvSpPr>
      <xdr:spPr>
        <a:xfrm>
          <a:off x="752475" y="8886826"/>
          <a:ext cx="1018519" cy="17144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9C142CC-D87D-40A9-99F9-6CC7CCA49CFC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54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514350</xdr:colOff>
      <xdr:row>103</xdr:row>
      <xdr:rowOff>9525</xdr:rowOff>
    </xdr:from>
    <xdr:to>
      <xdr:col>12</xdr:col>
      <xdr:colOff>65896</xdr:colOff>
      <xdr:row>104</xdr:row>
      <xdr:rowOff>28575</xdr:rowOff>
    </xdr:to>
    <xdr:sp macro="" textlink="calculs!AU16">
      <xdr:nvSpPr>
        <xdr:cNvPr id="44" name="Rectangle 43"/>
        <xdr:cNvSpPr/>
      </xdr:nvSpPr>
      <xdr:spPr>
        <a:xfrm>
          <a:off x="7991475" y="19050000"/>
          <a:ext cx="980296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C5B2717-DD12-47CF-949D-A28ADDED0E12}" type="TxLink">
            <a:rPr lang="en-US" sz="105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8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9</xdr:col>
      <xdr:colOff>219075</xdr:colOff>
      <xdr:row>95</xdr:row>
      <xdr:rowOff>133350</xdr:rowOff>
    </xdr:from>
    <xdr:to>
      <xdr:col>13</xdr:col>
      <xdr:colOff>390525</xdr:colOff>
      <xdr:row>110</xdr:row>
      <xdr:rowOff>85725</xdr:rowOff>
    </xdr:to>
    <xdr:graphicFrame macro="">
      <xdr:nvGraphicFramePr>
        <xdr:cNvPr id="45" name="Graphique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19050</xdr:rowOff>
    </xdr:from>
    <xdr:to>
      <xdr:col>11</xdr:col>
      <xdr:colOff>314325</xdr:colOff>
      <xdr:row>6</xdr:row>
      <xdr:rowOff>76200</xdr:rowOff>
    </xdr:to>
    <xdr:grpSp>
      <xdr:nvGrpSpPr>
        <xdr:cNvPr id="2" name="Groupe 1"/>
        <xdr:cNvGrpSpPr/>
      </xdr:nvGrpSpPr>
      <xdr:grpSpPr>
        <a:xfrm>
          <a:off x="238125" y="209550"/>
          <a:ext cx="9305925" cy="1009650"/>
          <a:chOff x="238125" y="209550"/>
          <a:chExt cx="9305925" cy="1009650"/>
        </a:xfrm>
      </xdr:grpSpPr>
      <xdr:sp macro="" textlink="">
        <xdr:nvSpPr>
          <xdr:cNvPr id="10" name="Rectangle à coins arrondis 9"/>
          <xdr:cNvSpPr/>
        </xdr:nvSpPr>
        <xdr:spPr>
          <a:xfrm>
            <a:off x="238126" y="2095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" name="Rectangle avec coins arrondis du même côté 10"/>
          <xdr:cNvSpPr/>
        </xdr:nvSpPr>
        <xdr:spPr>
          <a:xfrm rot="10800000">
            <a:off x="238125" y="7905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12" name="Rectangle 11"/>
          <xdr:cNvSpPr/>
        </xdr:nvSpPr>
        <xdr:spPr>
          <a:xfrm>
            <a:off x="385911" y="3048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13" name="Rectangle 12"/>
          <xdr:cNvSpPr/>
        </xdr:nvSpPr>
        <xdr:spPr>
          <a:xfrm>
            <a:off x="1397669" y="3048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14" name="Rectangle 13">
            <a:hlinkClick xmlns:r="http://schemas.openxmlformats.org/officeDocument/2006/relationships" r:id="rId1"/>
          </xdr:cNvPr>
          <xdr:cNvSpPr/>
        </xdr:nvSpPr>
        <xdr:spPr>
          <a:xfrm>
            <a:off x="363649" y="8096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9525</xdr:rowOff>
    </xdr:from>
    <xdr:to>
      <xdr:col>10</xdr:col>
      <xdr:colOff>838200</xdr:colOff>
      <xdr:row>6</xdr:row>
      <xdr:rowOff>66675</xdr:rowOff>
    </xdr:to>
    <xdr:grpSp>
      <xdr:nvGrpSpPr>
        <xdr:cNvPr id="2" name="Groupe 1"/>
        <xdr:cNvGrpSpPr/>
      </xdr:nvGrpSpPr>
      <xdr:grpSpPr>
        <a:xfrm>
          <a:off x="123825" y="200025"/>
          <a:ext cx="9305925" cy="1009650"/>
          <a:chOff x="123825" y="200025"/>
          <a:chExt cx="9305925" cy="1009650"/>
        </a:xfrm>
      </xdr:grpSpPr>
      <xdr:sp macro="" textlink="">
        <xdr:nvSpPr>
          <xdr:cNvPr id="9" name="Rectangle à coins arrondis 8"/>
          <xdr:cNvSpPr/>
        </xdr:nvSpPr>
        <xdr:spPr>
          <a:xfrm>
            <a:off x="123826" y="200025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" name="Rectangle avec coins arrondis du même côté 9"/>
          <xdr:cNvSpPr/>
        </xdr:nvSpPr>
        <xdr:spPr>
          <a:xfrm rot="10800000">
            <a:off x="123825" y="781049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11" name="Rectangle 10"/>
          <xdr:cNvSpPr/>
        </xdr:nvSpPr>
        <xdr:spPr>
          <a:xfrm>
            <a:off x="271611" y="295276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12" name="Rectangle 11"/>
          <xdr:cNvSpPr/>
        </xdr:nvSpPr>
        <xdr:spPr>
          <a:xfrm>
            <a:off x="1283369" y="295276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Rectangle 12">
            <a:hlinkClick xmlns:r="http://schemas.openxmlformats.org/officeDocument/2006/relationships" r:id="rId1"/>
          </xdr:cNvPr>
          <xdr:cNvSpPr/>
        </xdr:nvSpPr>
        <xdr:spPr>
          <a:xfrm>
            <a:off x="249349" y="800100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250453</xdr:colOff>
      <xdr:row>26</xdr:row>
      <xdr:rowOff>188023</xdr:rowOff>
    </xdr:from>
    <xdr:to>
      <xdr:col>1</xdr:col>
      <xdr:colOff>1238250</xdr:colOff>
      <xdr:row>27</xdr:row>
      <xdr:rowOff>180974</xdr:rowOff>
    </xdr:to>
    <xdr:sp macro="" textlink="calculs!X8">
      <xdr:nvSpPr>
        <xdr:cNvPr id="28" name="Rectangle 27"/>
        <xdr:cNvSpPr/>
      </xdr:nvSpPr>
      <xdr:spPr>
        <a:xfrm>
          <a:off x="631453" y="5350573"/>
          <a:ext cx="987797" cy="183451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33780A8-7F51-441B-AC64-0E72E1C72229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66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231378</xdr:colOff>
      <xdr:row>30</xdr:row>
      <xdr:rowOff>13375</xdr:rowOff>
    </xdr:from>
    <xdr:to>
      <xdr:col>1</xdr:col>
      <xdr:colOff>1232020</xdr:colOff>
      <xdr:row>30</xdr:row>
      <xdr:rowOff>182735</xdr:rowOff>
    </xdr:to>
    <xdr:sp macro="" textlink="calculs!X4">
      <xdr:nvSpPr>
        <xdr:cNvPr id="29" name="Rectangle 28"/>
        <xdr:cNvSpPr/>
      </xdr:nvSpPr>
      <xdr:spPr>
        <a:xfrm>
          <a:off x="612378" y="5937925"/>
          <a:ext cx="1000642" cy="169360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F2A58A9-327D-4CD0-9768-5AA08F0C1D6E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en-US" sz="4000" b="1">
            <a:latin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521325</xdr:colOff>
      <xdr:row>16</xdr:row>
      <xdr:rowOff>12736</xdr:rowOff>
    </xdr:from>
    <xdr:to>
      <xdr:col>2</xdr:col>
      <xdr:colOff>502792</xdr:colOff>
      <xdr:row>16</xdr:row>
      <xdr:rowOff>180335</xdr:rowOff>
    </xdr:to>
    <xdr:sp macro="" textlink="calculs!W4">
      <xdr:nvSpPr>
        <xdr:cNvPr id="33" name="Rectangle 32"/>
        <xdr:cNvSpPr/>
      </xdr:nvSpPr>
      <xdr:spPr>
        <a:xfrm>
          <a:off x="902325" y="3307265"/>
          <a:ext cx="1225320" cy="16759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D3F57A8-4FE5-4B75-9313-1077E0A905D4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/>
            </a:rPr>
            <a:pPr algn="ctr"/>
            <a:t>0 €</a:t>
          </a:fld>
          <a:endParaRPr lang="fr-FR" sz="2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74688</xdr:colOff>
      <xdr:row>21</xdr:row>
      <xdr:rowOff>150981</xdr:rowOff>
    </xdr:from>
    <xdr:to>
      <xdr:col>1</xdr:col>
      <xdr:colOff>366649</xdr:colOff>
      <xdr:row>24</xdr:row>
      <xdr:rowOff>18853</xdr:rowOff>
    </xdr:to>
    <xdr:sp macro="" textlink="calculs!V5">
      <xdr:nvSpPr>
        <xdr:cNvPr id="34" name="Rectangle 33"/>
        <xdr:cNvSpPr/>
      </xdr:nvSpPr>
      <xdr:spPr>
        <a:xfrm>
          <a:off x="455688" y="4199106"/>
          <a:ext cx="291961" cy="563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369C18D-5F42-49AE-8D79-76FBA4A9835F}" type="TxLink">
            <a:rPr lang="en-US" sz="1200" b="1" i="0" u="none" strike="noStrike">
              <a:solidFill>
                <a:schemeClr val="accent5">
                  <a:lumMod val="50000"/>
                </a:schemeClr>
              </a:solidFill>
              <a:latin typeface="Wingdings 3"/>
            </a:rPr>
            <a:pPr algn="ctr"/>
            <a:t>q</a:t>
          </a:fld>
          <a:endParaRPr lang="en-US" sz="1400" b="1" i="0" u="none" strike="noStrike">
            <a:solidFill>
              <a:schemeClr val="accent5">
                <a:lumMod val="50000"/>
              </a:schemeClr>
            </a:solidFill>
            <a:latin typeface="Calibri"/>
          </a:endParaRPr>
        </a:p>
      </xdr:txBody>
    </xdr:sp>
    <xdr:clientData/>
  </xdr:twoCellAnchor>
  <xdr:twoCellAnchor>
    <xdr:from>
      <xdr:col>1</xdr:col>
      <xdr:colOff>228046</xdr:colOff>
      <xdr:row>21</xdr:row>
      <xdr:rowOff>151736</xdr:rowOff>
    </xdr:from>
    <xdr:to>
      <xdr:col>2</xdr:col>
      <xdr:colOff>110938</xdr:colOff>
      <xdr:row>23</xdr:row>
      <xdr:rowOff>160767</xdr:rowOff>
    </xdr:to>
    <xdr:sp macro="" textlink="calculs!Y4">
      <xdr:nvSpPr>
        <xdr:cNvPr id="35" name="Rectangle 34"/>
        <xdr:cNvSpPr/>
      </xdr:nvSpPr>
      <xdr:spPr>
        <a:xfrm>
          <a:off x="609046" y="4199861"/>
          <a:ext cx="1130667" cy="5138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F425FCB-EA19-4117-A172-E1CCD6D4C1B4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18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371474</xdr:colOff>
      <xdr:row>11</xdr:row>
      <xdr:rowOff>0</xdr:rowOff>
    </xdr:from>
    <xdr:to>
      <xdr:col>8</xdr:col>
      <xdr:colOff>971550</xdr:colOff>
      <xdr:row>36</xdr:row>
      <xdr:rowOff>19050</xdr:rowOff>
    </xdr:to>
    <xdr:sp macro="" textlink="">
      <xdr:nvSpPr>
        <xdr:cNvPr id="36" name="Rectangle à coins arrondis 35"/>
        <xdr:cNvSpPr/>
      </xdr:nvSpPr>
      <xdr:spPr>
        <a:xfrm>
          <a:off x="371474" y="2330824"/>
          <a:ext cx="8791576" cy="4972050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57150</xdr:colOff>
      <xdr:row>12</xdr:row>
      <xdr:rowOff>26891</xdr:rowOff>
    </xdr:from>
    <xdr:to>
      <xdr:col>8</xdr:col>
      <xdr:colOff>628650</xdr:colOff>
      <xdr:row>22</xdr:row>
      <xdr:rowOff>171450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657225</xdr:colOff>
      <xdr:row>23</xdr:row>
      <xdr:rowOff>152399</xdr:rowOff>
    </xdr:from>
    <xdr:to>
      <xdr:col>5</xdr:col>
      <xdr:colOff>133350</xdr:colOff>
      <xdr:row>35</xdr:row>
      <xdr:rowOff>152399</xdr:rowOff>
    </xdr:to>
    <xdr:graphicFrame macro="">
      <xdr:nvGraphicFramePr>
        <xdr:cNvPr id="32" name="Graphique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496421</xdr:colOff>
      <xdr:row>30</xdr:row>
      <xdr:rowOff>20731</xdr:rowOff>
    </xdr:from>
    <xdr:to>
      <xdr:col>3</xdr:col>
      <xdr:colOff>456982</xdr:colOff>
      <xdr:row>31</xdr:row>
      <xdr:rowOff>30256</xdr:rowOff>
    </xdr:to>
    <xdr:sp macro="" textlink="calculs!W16">
      <xdr:nvSpPr>
        <xdr:cNvPr id="21" name="Rectangle 20"/>
        <xdr:cNvSpPr/>
      </xdr:nvSpPr>
      <xdr:spPr>
        <a:xfrm>
          <a:off x="2125196" y="5945281"/>
          <a:ext cx="979736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EE66D33-5A1D-4196-8246-B3BA069098D4}" type="TxLink">
            <a:rPr lang="en-US" sz="105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en-US" sz="900" b="1" i="0" u="none" strike="noStrike">
            <a:solidFill>
              <a:srgbClr val="00000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4</xdr:col>
      <xdr:colOff>600075</xdr:colOff>
      <xdr:row>23</xdr:row>
      <xdr:rowOff>171450</xdr:rowOff>
    </xdr:from>
    <xdr:to>
      <xdr:col>8</xdr:col>
      <xdr:colOff>295275</xdr:colOff>
      <xdr:row>35</xdr:row>
      <xdr:rowOff>171450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114301</xdr:colOff>
      <xdr:row>1</xdr:row>
      <xdr:rowOff>19050</xdr:rowOff>
    </xdr:from>
    <xdr:to>
      <xdr:col>8</xdr:col>
      <xdr:colOff>981076</xdr:colOff>
      <xdr:row>6</xdr:row>
      <xdr:rowOff>76200</xdr:rowOff>
    </xdr:to>
    <xdr:grpSp>
      <xdr:nvGrpSpPr>
        <xdr:cNvPr id="18" name="Groupe 17"/>
        <xdr:cNvGrpSpPr/>
      </xdr:nvGrpSpPr>
      <xdr:grpSpPr>
        <a:xfrm>
          <a:off x="114301" y="209550"/>
          <a:ext cx="9048750" cy="1009650"/>
          <a:chOff x="180975" y="171450"/>
          <a:chExt cx="9305925" cy="1009650"/>
        </a:xfrm>
      </xdr:grpSpPr>
      <xdr:sp macro="" textlink="">
        <xdr:nvSpPr>
          <xdr:cNvPr id="19" name="Rectangle à coins arrondis 18"/>
          <xdr:cNvSpPr/>
        </xdr:nvSpPr>
        <xdr:spPr>
          <a:xfrm>
            <a:off x="180976" y="1714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0" name="Rectangle avec coins arrondis du même côté 19"/>
          <xdr:cNvSpPr/>
        </xdr:nvSpPr>
        <xdr:spPr>
          <a:xfrm rot="10800000">
            <a:off x="180975" y="7524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22" name="Rectangle 21"/>
          <xdr:cNvSpPr/>
        </xdr:nvSpPr>
        <xdr:spPr>
          <a:xfrm>
            <a:off x="328761" y="2667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24" name="Rectangle 23"/>
          <xdr:cNvSpPr/>
        </xdr:nvSpPr>
        <xdr:spPr>
          <a:xfrm>
            <a:off x="1340519" y="2667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25" name="Rectangle 24">
            <a:hlinkClick xmlns:r="http://schemas.openxmlformats.org/officeDocument/2006/relationships" r:id="rId4"/>
          </xdr:cNvPr>
          <xdr:cNvSpPr/>
        </xdr:nvSpPr>
        <xdr:spPr>
          <a:xfrm>
            <a:off x="306499" y="7715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  <xdr:twoCellAnchor>
    <xdr:from>
      <xdr:col>1</xdr:col>
      <xdr:colOff>552450</xdr:colOff>
      <xdr:row>19</xdr:row>
      <xdr:rowOff>9525</xdr:rowOff>
    </xdr:from>
    <xdr:to>
      <xdr:col>2</xdr:col>
      <xdr:colOff>533917</xdr:colOff>
      <xdr:row>19</xdr:row>
      <xdr:rowOff>177124</xdr:rowOff>
    </xdr:to>
    <xdr:sp macro="" textlink="calculs!V4">
      <xdr:nvSpPr>
        <xdr:cNvPr id="26" name="Rectangle 25"/>
        <xdr:cNvSpPr/>
      </xdr:nvSpPr>
      <xdr:spPr>
        <a:xfrm>
          <a:off x="933450" y="3676650"/>
          <a:ext cx="1229242" cy="16759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74F8D2E-DCF0-49D6-8969-29E21A2C7B7A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/>
            </a:rPr>
            <a:pPr algn="ctr"/>
            <a:t>0 €</a:t>
          </a:fld>
          <a:endParaRPr lang="fr-FR" sz="2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619125</xdr:colOff>
      <xdr:row>24</xdr:row>
      <xdr:rowOff>66674</xdr:rowOff>
    </xdr:from>
    <xdr:to>
      <xdr:col>7</xdr:col>
      <xdr:colOff>447675</xdr:colOff>
      <xdr:row>25</xdr:row>
      <xdr:rowOff>38099</xdr:rowOff>
    </xdr:to>
    <xdr:sp macro="" textlink="$C$10">
      <xdr:nvSpPr>
        <xdr:cNvPr id="27" name="Rectangle 26"/>
        <xdr:cNvSpPr/>
      </xdr:nvSpPr>
      <xdr:spPr>
        <a:xfrm>
          <a:off x="6762750" y="4810124"/>
          <a:ext cx="847725" cy="200025"/>
        </a:xfrm>
        <a:prstGeom prst="rect">
          <a:avLst/>
        </a:prstGeom>
        <a:solidFill>
          <a:sysClr val="window" lastClr="FFFFFF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fld id="{00D2373F-623F-4860-AF6B-E992D83EE21D}" type="TxLink">
            <a:rPr lang="en-US" sz="10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l"/>
            <a:t>Mars</a:t>
          </a:fld>
          <a:endParaRPr lang="fr-FR" sz="36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38100</xdr:colOff>
      <xdr:row>34</xdr:row>
      <xdr:rowOff>1</xdr:rowOff>
    </xdr:from>
    <xdr:to>
      <xdr:col>2</xdr:col>
      <xdr:colOff>330061</xdr:colOff>
      <xdr:row>35</xdr:row>
      <xdr:rowOff>57151</xdr:rowOff>
    </xdr:to>
    <xdr:sp macro="" textlink="calculs!D91">
      <xdr:nvSpPr>
        <xdr:cNvPr id="30" name="Rectangle 29"/>
        <xdr:cNvSpPr/>
      </xdr:nvSpPr>
      <xdr:spPr>
        <a:xfrm>
          <a:off x="1666875" y="6724651"/>
          <a:ext cx="291961" cy="2667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3761DE-057F-4CF0-BC41-2464FD7596A5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16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2</xdr:col>
      <xdr:colOff>105733</xdr:colOff>
      <xdr:row>33</xdr:row>
      <xdr:rowOff>115055</xdr:rowOff>
    </xdr:from>
    <xdr:to>
      <xdr:col>3</xdr:col>
      <xdr:colOff>217225</xdr:colOff>
      <xdr:row>35</xdr:row>
      <xdr:rowOff>95511</xdr:rowOff>
    </xdr:to>
    <xdr:sp macro="" textlink="calculs!C91">
      <xdr:nvSpPr>
        <xdr:cNvPr id="31" name="Rectangle 30"/>
        <xdr:cNvSpPr/>
      </xdr:nvSpPr>
      <xdr:spPr>
        <a:xfrm>
          <a:off x="1734508" y="6649205"/>
          <a:ext cx="1130667" cy="3805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93EFD82-C80C-4909-B443-9D0F298F2238}" type="TxLink">
            <a:rPr lang="en-US" sz="1200" b="0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2000" b="1">
            <a:latin typeface="Arial Black" panose="020B0A040201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152400</xdr:rowOff>
    </xdr:from>
    <xdr:to>
      <xdr:col>8</xdr:col>
      <xdr:colOff>1343025</xdr:colOff>
      <xdr:row>6</xdr:row>
      <xdr:rowOff>0</xdr:rowOff>
    </xdr:to>
    <xdr:grpSp>
      <xdr:nvGrpSpPr>
        <xdr:cNvPr id="2" name="Groupe 1"/>
        <xdr:cNvGrpSpPr/>
      </xdr:nvGrpSpPr>
      <xdr:grpSpPr>
        <a:xfrm>
          <a:off x="400050" y="152400"/>
          <a:ext cx="8724900" cy="1000125"/>
          <a:chOff x="400050" y="152400"/>
          <a:chExt cx="8591550" cy="1000125"/>
        </a:xfrm>
      </xdr:grpSpPr>
      <xdr:sp macro="" textlink="">
        <xdr:nvSpPr>
          <xdr:cNvPr id="21" name="Rectangle à coins arrondis 20"/>
          <xdr:cNvSpPr/>
        </xdr:nvSpPr>
        <xdr:spPr>
          <a:xfrm>
            <a:off x="400051" y="152400"/>
            <a:ext cx="8591549" cy="1000125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2" name="Rectangle avec coins arrondis du même côté 21"/>
          <xdr:cNvSpPr/>
        </xdr:nvSpPr>
        <xdr:spPr>
          <a:xfrm rot="10800000">
            <a:off x="400050" y="727943"/>
            <a:ext cx="8591549" cy="424577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23" name="Rectangle 22"/>
          <xdr:cNvSpPr/>
        </xdr:nvSpPr>
        <xdr:spPr>
          <a:xfrm>
            <a:off x="536491" y="246752"/>
            <a:ext cx="991391" cy="3868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24" name="Rectangle 23"/>
          <xdr:cNvSpPr/>
        </xdr:nvSpPr>
        <xdr:spPr>
          <a:xfrm>
            <a:off x="1470581" y="246752"/>
            <a:ext cx="2083409" cy="3868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25" name="Rectangle 24">
            <a:hlinkClick xmlns:r="http://schemas.openxmlformats.org/officeDocument/2006/relationships" r:id="rId1"/>
          </xdr:cNvPr>
          <xdr:cNvSpPr/>
        </xdr:nvSpPr>
        <xdr:spPr>
          <a:xfrm>
            <a:off x="515938" y="746814"/>
            <a:ext cx="1183038" cy="386841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28574</xdr:colOff>
      <xdr:row>1</xdr:row>
      <xdr:rowOff>19050</xdr:rowOff>
    </xdr:from>
    <xdr:to>
      <xdr:col>8</xdr:col>
      <xdr:colOff>1352549</xdr:colOff>
      <xdr:row>6</xdr:row>
      <xdr:rowOff>85725</xdr:rowOff>
    </xdr:to>
    <xdr:grpSp>
      <xdr:nvGrpSpPr>
        <xdr:cNvPr id="22" name="Groupe 21"/>
        <xdr:cNvGrpSpPr/>
      </xdr:nvGrpSpPr>
      <xdr:grpSpPr>
        <a:xfrm>
          <a:off x="409574" y="209550"/>
          <a:ext cx="9039225" cy="1019175"/>
          <a:chOff x="180975" y="171450"/>
          <a:chExt cx="9305925" cy="1009650"/>
        </a:xfrm>
      </xdr:grpSpPr>
      <xdr:sp macro="" textlink="">
        <xdr:nvSpPr>
          <xdr:cNvPr id="23" name="Rectangle à coins arrondis 22"/>
          <xdr:cNvSpPr/>
        </xdr:nvSpPr>
        <xdr:spPr>
          <a:xfrm>
            <a:off x="180976" y="1714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4" name="Rectangle avec coins arrondis du même côté 23"/>
          <xdr:cNvSpPr/>
        </xdr:nvSpPr>
        <xdr:spPr>
          <a:xfrm rot="10800000">
            <a:off x="180975" y="7524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25" name="Rectangle 24"/>
          <xdr:cNvSpPr/>
        </xdr:nvSpPr>
        <xdr:spPr>
          <a:xfrm>
            <a:off x="328761" y="2667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26" name="Rectangle 25"/>
          <xdr:cNvSpPr/>
        </xdr:nvSpPr>
        <xdr:spPr>
          <a:xfrm>
            <a:off x="1340519" y="2667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27" name="Rectangle 26">
            <a:hlinkClick xmlns:r="http://schemas.openxmlformats.org/officeDocument/2006/relationships" r:id="rId1"/>
          </xdr:cNvPr>
          <xdr:cNvSpPr/>
        </xdr:nvSpPr>
        <xdr:spPr>
          <a:xfrm>
            <a:off x="306499" y="7715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152400</xdr:rowOff>
    </xdr:from>
    <xdr:to>
      <xdr:col>8</xdr:col>
      <xdr:colOff>1323975</xdr:colOff>
      <xdr:row>6</xdr:row>
      <xdr:rowOff>0</xdr:rowOff>
    </xdr:to>
    <xdr:grpSp>
      <xdr:nvGrpSpPr>
        <xdr:cNvPr id="2" name="Groupe 1"/>
        <xdr:cNvGrpSpPr/>
      </xdr:nvGrpSpPr>
      <xdr:grpSpPr>
        <a:xfrm>
          <a:off x="400050" y="152400"/>
          <a:ext cx="8705850" cy="1000125"/>
          <a:chOff x="180975" y="171450"/>
          <a:chExt cx="9305925" cy="1009650"/>
        </a:xfrm>
      </xdr:grpSpPr>
      <xdr:sp macro="" textlink="">
        <xdr:nvSpPr>
          <xdr:cNvPr id="3" name="Rectangle à coins arrondis 2"/>
          <xdr:cNvSpPr/>
        </xdr:nvSpPr>
        <xdr:spPr>
          <a:xfrm>
            <a:off x="180976" y="1714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" name="Rectangle avec coins arrondis du même côté 3"/>
          <xdr:cNvSpPr/>
        </xdr:nvSpPr>
        <xdr:spPr>
          <a:xfrm rot="10800000">
            <a:off x="180975" y="7524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5" name="Rectangle 4"/>
          <xdr:cNvSpPr/>
        </xdr:nvSpPr>
        <xdr:spPr>
          <a:xfrm>
            <a:off x="328761" y="2667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6" name="Rectangle 5"/>
          <xdr:cNvSpPr/>
        </xdr:nvSpPr>
        <xdr:spPr>
          <a:xfrm>
            <a:off x="1340519" y="2667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7" name="Rectangle 6">
            <a:hlinkClick xmlns:r="http://schemas.openxmlformats.org/officeDocument/2006/relationships" r:id="rId1"/>
          </xdr:cNvPr>
          <xdr:cNvSpPr/>
        </xdr:nvSpPr>
        <xdr:spPr>
          <a:xfrm>
            <a:off x="306499" y="7715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95</xdr:row>
      <xdr:rowOff>28575</xdr:rowOff>
    </xdr:from>
    <xdr:to>
      <xdr:col>1</xdr:col>
      <xdr:colOff>1228725</xdr:colOff>
      <xdr:row>96</xdr:row>
      <xdr:rowOff>9524</xdr:rowOff>
    </xdr:to>
    <xdr:sp macro="" textlink="calculs!E4">
      <xdr:nvSpPr>
        <xdr:cNvPr id="33" name="Rectangle 32"/>
        <xdr:cNvSpPr/>
      </xdr:nvSpPr>
      <xdr:spPr>
        <a:xfrm>
          <a:off x="638174" y="18802350"/>
          <a:ext cx="971551" cy="17144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FB94E65-E35E-433B-A512-637A79985ED1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16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609600</xdr:colOff>
      <xdr:row>95</xdr:row>
      <xdr:rowOff>0</xdr:rowOff>
    </xdr:from>
    <xdr:to>
      <xdr:col>3</xdr:col>
      <xdr:colOff>570721</xdr:colOff>
      <xdr:row>96</xdr:row>
      <xdr:rowOff>9525</xdr:rowOff>
    </xdr:to>
    <xdr:sp macro="" textlink="calculs!D16">
      <xdr:nvSpPr>
        <xdr:cNvPr id="57" name="Rectangle 56"/>
        <xdr:cNvSpPr/>
      </xdr:nvSpPr>
      <xdr:spPr>
        <a:xfrm>
          <a:off x="2238375" y="18773775"/>
          <a:ext cx="980296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4908BBB-B32D-4BC3-8CFD-87B927F0721C}" type="TxLink">
            <a:rPr lang="en-US" sz="105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10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213210</xdr:colOff>
      <xdr:row>25</xdr:row>
      <xdr:rowOff>19049</xdr:rowOff>
    </xdr:from>
    <xdr:to>
      <xdr:col>1</xdr:col>
      <xdr:colOff>1228725</xdr:colOff>
      <xdr:row>25</xdr:row>
      <xdr:rowOff>180975</xdr:rowOff>
    </xdr:to>
    <xdr:sp macro="" textlink="calculs!E62">
      <xdr:nvSpPr>
        <xdr:cNvPr id="78" name="Rectangle 77"/>
        <xdr:cNvSpPr/>
      </xdr:nvSpPr>
      <xdr:spPr>
        <a:xfrm>
          <a:off x="594210" y="4952999"/>
          <a:ext cx="1015515" cy="161926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A366FAD-CE86-493A-B70F-25187798BE38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en-US" sz="1600" b="1"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733424</xdr:colOff>
      <xdr:row>14</xdr:row>
      <xdr:rowOff>187721</xdr:rowOff>
    </xdr:from>
    <xdr:to>
      <xdr:col>2</xdr:col>
      <xdr:colOff>503472</xdr:colOff>
      <xdr:row>16</xdr:row>
      <xdr:rowOff>0</xdr:rowOff>
    </xdr:to>
    <xdr:sp macro="" textlink="calculs!D58">
      <xdr:nvSpPr>
        <xdr:cNvPr id="81" name="Rectangle 80"/>
        <xdr:cNvSpPr/>
      </xdr:nvSpPr>
      <xdr:spPr>
        <a:xfrm>
          <a:off x="1114424" y="2902346"/>
          <a:ext cx="1017823" cy="19327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7D05E8B-12C3-43DF-A23F-0B4DF8A743CC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112256</xdr:colOff>
      <xdr:row>20</xdr:row>
      <xdr:rowOff>146961</xdr:rowOff>
    </xdr:from>
    <xdr:to>
      <xdr:col>1</xdr:col>
      <xdr:colOff>418227</xdr:colOff>
      <xdr:row>23</xdr:row>
      <xdr:rowOff>24164</xdr:rowOff>
    </xdr:to>
    <xdr:sp macro="" textlink="calculs!C59">
      <xdr:nvSpPr>
        <xdr:cNvPr id="82" name="Rectangle 81"/>
        <xdr:cNvSpPr/>
      </xdr:nvSpPr>
      <xdr:spPr>
        <a:xfrm>
          <a:off x="493256" y="4004586"/>
          <a:ext cx="305971" cy="5725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A9F765A-64F2-4B37-9493-0066DAD43C56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1800" b="1" i="0" u="none" strike="noStrike">
            <a:solidFill>
              <a:srgbClr val="002060"/>
            </a:solidFill>
            <a:latin typeface="Wingdings 3" panose="05040102010807070707" pitchFamily="18" charset="2"/>
          </a:endParaRPr>
        </a:p>
      </xdr:txBody>
    </xdr:sp>
    <xdr:clientData/>
  </xdr:twoCellAnchor>
  <xdr:twoCellAnchor>
    <xdr:from>
      <xdr:col>1</xdr:col>
      <xdr:colOff>272645</xdr:colOff>
      <xdr:row>20</xdr:row>
      <xdr:rowOff>166393</xdr:rowOff>
    </xdr:from>
    <xdr:to>
      <xdr:col>1</xdr:col>
      <xdr:colOff>1218000</xdr:colOff>
      <xdr:row>22</xdr:row>
      <xdr:rowOff>169530</xdr:rowOff>
    </xdr:to>
    <xdr:sp macro="" textlink="calculs!F58">
      <xdr:nvSpPr>
        <xdr:cNvPr id="83" name="Rectangle 82"/>
        <xdr:cNvSpPr/>
      </xdr:nvSpPr>
      <xdr:spPr>
        <a:xfrm>
          <a:off x="653645" y="4024018"/>
          <a:ext cx="945355" cy="5079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F3D197F-83D0-4340-AA1B-71354536E7A0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24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361950</xdr:colOff>
      <xdr:row>10</xdr:row>
      <xdr:rowOff>161923</xdr:rowOff>
    </xdr:from>
    <xdr:to>
      <xdr:col>8</xdr:col>
      <xdr:colOff>990601</xdr:colOff>
      <xdr:row>36</xdr:row>
      <xdr:rowOff>152399</xdr:rowOff>
    </xdr:to>
    <xdr:sp macro="" textlink="">
      <xdr:nvSpPr>
        <xdr:cNvPr id="84" name="Rectangle à coins arrondis 83"/>
        <xdr:cNvSpPr/>
      </xdr:nvSpPr>
      <xdr:spPr>
        <a:xfrm>
          <a:off x="361950" y="2095498"/>
          <a:ext cx="8839201" cy="5143501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66675</xdr:colOff>
      <xdr:row>12</xdr:row>
      <xdr:rowOff>9525</xdr:rowOff>
    </xdr:from>
    <xdr:to>
      <xdr:col>8</xdr:col>
      <xdr:colOff>685801</xdr:colOff>
      <xdr:row>21</xdr:row>
      <xdr:rowOff>180975</xdr:rowOff>
    </xdr:to>
    <xdr:graphicFrame macro="">
      <xdr:nvGraphicFramePr>
        <xdr:cNvPr id="86" name="Graphique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1190625</xdr:colOff>
      <xdr:row>22</xdr:row>
      <xdr:rowOff>133350</xdr:rowOff>
    </xdr:from>
    <xdr:to>
      <xdr:col>4</xdr:col>
      <xdr:colOff>981075</xdr:colOff>
      <xdr:row>34</xdr:row>
      <xdr:rowOff>161925</xdr:rowOff>
    </xdr:to>
    <xdr:graphicFrame macro="">
      <xdr:nvGraphicFramePr>
        <xdr:cNvPr id="93" name="Graphique 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1009650</xdr:colOff>
      <xdr:row>28</xdr:row>
      <xdr:rowOff>180975</xdr:rowOff>
    </xdr:from>
    <xdr:to>
      <xdr:col>3</xdr:col>
      <xdr:colOff>970771</xdr:colOff>
      <xdr:row>30</xdr:row>
      <xdr:rowOff>0</xdr:rowOff>
    </xdr:to>
    <xdr:sp macro="" textlink="calculs!D70">
      <xdr:nvSpPr>
        <xdr:cNvPr id="52" name="Rectangle 51"/>
        <xdr:cNvSpPr/>
      </xdr:nvSpPr>
      <xdr:spPr>
        <a:xfrm>
          <a:off x="2638425" y="5686425"/>
          <a:ext cx="980296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BFAEDC4-FA8B-46BE-9C48-A1F4C80695EC}" type="TxLink">
            <a:rPr lang="en-US" sz="105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11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19049</xdr:colOff>
      <xdr:row>22</xdr:row>
      <xdr:rowOff>76200</xdr:rowOff>
    </xdr:from>
    <xdr:to>
      <xdr:col>8</xdr:col>
      <xdr:colOff>733425</xdr:colOff>
      <xdr:row>31</xdr:row>
      <xdr:rowOff>0</xdr:rowOff>
    </xdr:to>
    <xdr:graphicFrame macro="">
      <xdr:nvGraphicFramePr>
        <xdr:cNvPr id="55" name="Graphique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231608</xdr:colOff>
      <xdr:row>53</xdr:row>
      <xdr:rowOff>20580</xdr:rowOff>
    </xdr:from>
    <xdr:to>
      <xdr:col>1</xdr:col>
      <xdr:colOff>1238250</xdr:colOff>
      <xdr:row>54</xdr:row>
      <xdr:rowOff>10835</xdr:rowOff>
    </xdr:to>
    <xdr:sp macro="" textlink="calculs!E35">
      <xdr:nvSpPr>
        <xdr:cNvPr id="65" name="Rectangle 64"/>
        <xdr:cNvSpPr/>
      </xdr:nvSpPr>
      <xdr:spPr>
        <a:xfrm>
          <a:off x="612608" y="10593330"/>
          <a:ext cx="1006642" cy="180755"/>
        </a:xfrm>
        <a:prstGeom prst="rect">
          <a:avLst/>
        </a:prstGeom>
        <a:solidFill>
          <a:sysClr val="window" lastClr="FFFFFF"/>
        </a:solidFill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472F361-31DC-4696-BEB5-E76429E7BCF1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238125</xdr:colOff>
      <xdr:row>56</xdr:row>
      <xdr:rowOff>14783</xdr:rowOff>
    </xdr:from>
    <xdr:to>
      <xdr:col>1</xdr:col>
      <xdr:colOff>1242027</xdr:colOff>
      <xdr:row>57</xdr:row>
      <xdr:rowOff>15615</xdr:rowOff>
    </xdr:to>
    <xdr:sp macro="" textlink="calculs!E31">
      <xdr:nvSpPr>
        <xdr:cNvPr id="66" name="Rectangle 65"/>
        <xdr:cNvSpPr/>
      </xdr:nvSpPr>
      <xdr:spPr>
        <a:xfrm>
          <a:off x="619125" y="11159033"/>
          <a:ext cx="1003902" cy="191332"/>
        </a:xfrm>
        <a:prstGeom prst="rect">
          <a:avLst/>
        </a:prstGeom>
        <a:solidFill>
          <a:sysClr val="window" lastClr="FFFFFF"/>
        </a:solidFill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8FBE546-C57B-406E-8A47-FA046948E0A5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4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742951</xdr:colOff>
      <xdr:row>42</xdr:row>
      <xdr:rowOff>6811</xdr:rowOff>
    </xdr:from>
    <xdr:to>
      <xdr:col>2</xdr:col>
      <xdr:colOff>504826</xdr:colOff>
      <xdr:row>42</xdr:row>
      <xdr:rowOff>203283</xdr:rowOff>
    </xdr:to>
    <xdr:sp macro="" textlink="calculs!E31">
      <xdr:nvSpPr>
        <xdr:cNvPr id="68" name="Rectangle 67"/>
        <xdr:cNvSpPr/>
      </xdr:nvSpPr>
      <xdr:spPr>
        <a:xfrm>
          <a:off x="1123951" y="8341186"/>
          <a:ext cx="1009650" cy="196472"/>
        </a:xfrm>
        <a:prstGeom prst="rect">
          <a:avLst/>
        </a:prstGeom>
        <a:solidFill>
          <a:sysClr val="window" lastClr="FFFFFF"/>
        </a:solidFill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3A7FEF8-448D-43B5-A275-239F55F38A1E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2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162595</xdr:colOff>
      <xdr:row>47</xdr:row>
      <xdr:rowOff>162197</xdr:rowOff>
    </xdr:from>
    <xdr:to>
      <xdr:col>1</xdr:col>
      <xdr:colOff>443623</xdr:colOff>
      <xdr:row>49</xdr:row>
      <xdr:rowOff>188278</xdr:rowOff>
    </xdr:to>
    <xdr:sp macro="" textlink="calculs!C32">
      <xdr:nvSpPr>
        <xdr:cNvPr id="69" name="Rectangle 68"/>
        <xdr:cNvSpPr/>
      </xdr:nvSpPr>
      <xdr:spPr>
        <a:xfrm>
          <a:off x="543595" y="9534797"/>
          <a:ext cx="281028" cy="530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DEAB07F-7B80-4CD6-BAD4-1A4420A18292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1600" b="1" i="0" u="none" strike="noStrike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300005</xdr:colOff>
      <xdr:row>47</xdr:row>
      <xdr:rowOff>245568</xdr:rowOff>
    </xdr:from>
    <xdr:to>
      <xdr:col>1</xdr:col>
      <xdr:colOff>1168295</xdr:colOff>
      <xdr:row>49</xdr:row>
      <xdr:rowOff>101375</xdr:rowOff>
    </xdr:to>
    <xdr:sp macro="" textlink="calculs!F31">
      <xdr:nvSpPr>
        <xdr:cNvPr id="70" name="Rectangle 69"/>
        <xdr:cNvSpPr/>
      </xdr:nvSpPr>
      <xdr:spPr>
        <a:xfrm>
          <a:off x="681005" y="9618168"/>
          <a:ext cx="868290" cy="3606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CB80DF9-DCEA-4F8A-BDEB-E65326421831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20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0</xdr:colOff>
      <xdr:row>37</xdr:row>
      <xdr:rowOff>200024</xdr:rowOff>
    </xdr:from>
    <xdr:to>
      <xdr:col>8</xdr:col>
      <xdr:colOff>990601</xdr:colOff>
      <xdr:row>63</xdr:row>
      <xdr:rowOff>9525</xdr:rowOff>
    </xdr:to>
    <xdr:sp macro="" textlink="">
      <xdr:nvSpPr>
        <xdr:cNvPr id="71" name="Rectangle à coins arrondis 70"/>
        <xdr:cNvSpPr/>
      </xdr:nvSpPr>
      <xdr:spPr>
        <a:xfrm>
          <a:off x="381000" y="7486649"/>
          <a:ext cx="8820151" cy="5000626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85726</xdr:colOff>
      <xdr:row>39</xdr:row>
      <xdr:rowOff>2532</xdr:rowOff>
    </xdr:from>
    <xdr:to>
      <xdr:col>8</xdr:col>
      <xdr:colOff>647700</xdr:colOff>
      <xdr:row>49</xdr:row>
      <xdr:rowOff>180975</xdr:rowOff>
    </xdr:to>
    <xdr:graphicFrame macro="">
      <xdr:nvGraphicFramePr>
        <xdr:cNvPr id="73" name="Graphique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838200</xdr:colOff>
      <xdr:row>50</xdr:row>
      <xdr:rowOff>106828</xdr:rowOff>
    </xdr:from>
    <xdr:to>
      <xdr:col>4</xdr:col>
      <xdr:colOff>795462</xdr:colOff>
      <xdr:row>61</xdr:row>
      <xdr:rowOff>190499</xdr:rowOff>
    </xdr:to>
    <xdr:graphicFrame macro="">
      <xdr:nvGraphicFramePr>
        <xdr:cNvPr id="46" name="Graphique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809625</xdr:colOff>
      <xdr:row>56</xdr:row>
      <xdr:rowOff>6002</xdr:rowOff>
    </xdr:from>
    <xdr:to>
      <xdr:col>3</xdr:col>
      <xdr:colOff>770746</xdr:colOff>
      <xdr:row>57</xdr:row>
      <xdr:rowOff>10694</xdr:rowOff>
    </xdr:to>
    <xdr:sp macro="" textlink="calculs!D43">
      <xdr:nvSpPr>
        <xdr:cNvPr id="54" name="Rectangle 53"/>
        <xdr:cNvSpPr/>
      </xdr:nvSpPr>
      <xdr:spPr>
        <a:xfrm>
          <a:off x="2438400" y="11312177"/>
          <a:ext cx="980296" cy="1951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F2BBEB6-A862-406D-93E4-C255C6F0F695}" type="TxLink">
            <a:rPr lang="en-US" sz="105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11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4</xdr:col>
      <xdr:colOff>714375</xdr:colOff>
      <xdr:row>50</xdr:row>
      <xdr:rowOff>172352</xdr:rowOff>
    </xdr:from>
    <xdr:to>
      <xdr:col>8</xdr:col>
      <xdr:colOff>552451</xdr:colOff>
      <xdr:row>61</xdr:row>
      <xdr:rowOff>190499</xdr:rowOff>
    </xdr:to>
    <xdr:graphicFrame macro="">
      <xdr:nvGraphicFramePr>
        <xdr:cNvPr id="59" name="Graphique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276224</xdr:colOff>
      <xdr:row>92</xdr:row>
      <xdr:rowOff>6631</xdr:rowOff>
    </xdr:from>
    <xdr:to>
      <xdr:col>2</xdr:col>
      <xdr:colOff>0</xdr:colOff>
      <xdr:row>92</xdr:row>
      <xdr:rowOff>167509</xdr:rowOff>
    </xdr:to>
    <xdr:sp macro="" textlink="calculs!E8">
      <xdr:nvSpPr>
        <xdr:cNvPr id="32" name="Rectangle 31"/>
        <xdr:cNvSpPr/>
      </xdr:nvSpPr>
      <xdr:spPr>
        <a:xfrm>
          <a:off x="657224" y="18208906"/>
          <a:ext cx="971551" cy="160878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DFEE56C-8EA3-48FD-810A-BBFE76DAC991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16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715239</xdr:colOff>
      <xdr:row>79</xdr:row>
      <xdr:rowOff>181289</xdr:rowOff>
    </xdr:from>
    <xdr:to>
      <xdr:col>2</xdr:col>
      <xdr:colOff>544999</xdr:colOff>
      <xdr:row>80</xdr:row>
      <xdr:rowOff>180974</xdr:rowOff>
    </xdr:to>
    <xdr:sp macro="" textlink="calculs!E4">
      <xdr:nvSpPr>
        <xdr:cNvPr id="10" name="Rectangle 9"/>
        <xdr:cNvSpPr/>
      </xdr:nvSpPr>
      <xdr:spPr>
        <a:xfrm>
          <a:off x="1096239" y="15716564"/>
          <a:ext cx="1077535" cy="190185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6DB1747-0F1B-4362-A24D-E4EFB7EE7B22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78914</xdr:colOff>
      <xdr:row>85</xdr:row>
      <xdr:rowOff>205572</xdr:rowOff>
    </xdr:from>
    <xdr:to>
      <xdr:col>1</xdr:col>
      <xdr:colOff>393310</xdr:colOff>
      <xdr:row>87</xdr:row>
      <xdr:rowOff>163777</xdr:rowOff>
    </xdr:to>
    <xdr:sp macro="" textlink="calculs!C5">
      <xdr:nvSpPr>
        <xdr:cNvPr id="11" name="Rectangle 10"/>
        <xdr:cNvSpPr/>
      </xdr:nvSpPr>
      <xdr:spPr>
        <a:xfrm>
          <a:off x="459914" y="17112447"/>
          <a:ext cx="314396" cy="4630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310B1BF-93F1-48CF-A63B-C84A15F72D3E}" type="TxLink">
            <a:rPr lang="en-US" sz="1100" b="0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11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1</xdr:col>
      <xdr:colOff>244056</xdr:colOff>
      <xdr:row>85</xdr:row>
      <xdr:rowOff>225094</xdr:rowOff>
    </xdr:from>
    <xdr:to>
      <xdr:col>1</xdr:col>
      <xdr:colOff>1215441</xdr:colOff>
      <xdr:row>87</xdr:row>
      <xdr:rowOff>115885</xdr:rowOff>
    </xdr:to>
    <xdr:sp macro="" textlink="calculs!F4">
      <xdr:nvSpPr>
        <xdr:cNvPr id="13" name="Rectangle 12"/>
        <xdr:cNvSpPr/>
      </xdr:nvSpPr>
      <xdr:spPr>
        <a:xfrm>
          <a:off x="625056" y="17131969"/>
          <a:ext cx="971385" cy="3956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4B77F7A-8804-45FF-9EFD-6290579CA55B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en-US" sz="1400" b="1" i="0" u="none" strike="noStrike">
            <a:solidFill>
              <a:srgbClr val="00000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361950</xdr:colOff>
      <xdr:row>76</xdr:row>
      <xdr:rowOff>9525</xdr:rowOff>
    </xdr:from>
    <xdr:to>
      <xdr:col>8</xdr:col>
      <xdr:colOff>981076</xdr:colOff>
      <xdr:row>101</xdr:row>
      <xdr:rowOff>9525</xdr:rowOff>
    </xdr:to>
    <xdr:sp macro="" textlink="">
      <xdr:nvSpPr>
        <xdr:cNvPr id="25" name="Rectangle à coins arrondis 24"/>
        <xdr:cNvSpPr/>
      </xdr:nvSpPr>
      <xdr:spPr>
        <a:xfrm>
          <a:off x="361950" y="15163800"/>
          <a:ext cx="8829676" cy="5000625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793668</xdr:colOff>
      <xdr:row>88</xdr:row>
      <xdr:rowOff>190499</xdr:rowOff>
    </xdr:from>
    <xdr:to>
      <xdr:col>4</xdr:col>
      <xdr:colOff>750930</xdr:colOff>
      <xdr:row>101</xdr:row>
      <xdr:rowOff>19050</xdr:rowOff>
    </xdr:to>
    <xdr:graphicFrame macro="">
      <xdr:nvGraphicFramePr>
        <xdr:cNvPr id="95" name="Graphique 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742950</xdr:colOff>
      <xdr:row>89</xdr:row>
      <xdr:rowOff>1229</xdr:rowOff>
    </xdr:from>
    <xdr:to>
      <xdr:col>8</xdr:col>
      <xdr:colOff>581026</xdr:colOff>
      <xdr:row>100</xdr:row>
      <xdr:rowOff>0</xdr:rowOff>
    </xdr:to>
    <xdr:graphicFrame macro="">
      <xdr:nvGraphicFramePr>
        <xdr:cNvPr id="60" name="Graphique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57150</xdr:colOff>
      <xdr:row>77</xdr:row>
      <xdr:rowOff>10244</xdr:rowOff>
    </xdr:from>
    <xdr:to>
      <xdr:col>8</xdr:col>
      <xdr:colOff>666750</xdr:colOff>
      <xdr:row>87</xdr:row>
      <xdr:rowOff>180975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1</xdr:colOff>
      <xdr:row>1</xdr:row>
      <xdr:rowOff>0</xdr:rowOff>
    </xdr:from>
    <xdr:to>
      <xdr:col>8</xdr:col>
      <xdr:colOff>971551</xdr:colOff>
      <xdr:row>6</xdr:row>
      <xdr:rowOff>66675</xdr:rowOff>
    </xdr:to>
    <xdr:grpSp>
      <xdr:nvGrpSpPr>
        <xdr:cNvPr id="41" name="Groupe 40"/>
        <xdr:cNvGrpSpPr/>
      </xdr:nvGrpSpPr>
      <xdr:grpSpPr>
        <a:xfrm>
          <a:off x="381001" y="190500"/>
          <a:ext cx="8801100" cy="1019175"/>
          <a:chOff x="180975" y="171450"/>
          <a:chExt cx="9305925" cy="1009650"/>
        </a:xfrm>
      </xdr:grpSpPr>
      <xdr:sp macro="" textlink="">
        <xdr:nvSpPr>
          <xdr:cNvPr id="42" name="Rectangle à coins arrondis 41"/>
          <xdr:cNvSpPr/>
        </xdr:nvSpPr>
        <xdr:spPr>
          <a:xfrm>
            <a:off x="180976" y="171450"/>
            <a:ext cx="9305924" cy="1009650"/>
          </a:xfrm>
          <a:prstGeom prst="roundRect">
            <a:avLst/>
          </a:prstGeom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3" name="Rectangle avec coins arrondis du même côté 42"/>
          <xdr:cNvSpPr/>
        </xdr:nvSpPr>
        <xdr:spPr>
          <a:xfrm rot="10800000">
            <a:off x="180975" y="752474"/>
            <a:ext cx="9305924" cy="428621"/>
          </a:xfrm>
          <a:prstGeom prst="round2SameRect">
            <a:avLst/>
          </a:prstGeom>
          <a:solidFill>
            <a:schemeClr val="accent5">
              <a:lumMod val="50000"/>
            </a:schemeClr>
          </a:solidFill>
          <a:ln w="57150"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calculs!J1">
        <xdr:nvSpPr>
          <xdr:cNvPr id="45" name="Rectangle 44"/>
          <xdr:cNvSpPr/>
        </xdr:nvSpPr>
        <xdr:spPr>
          <a:xfrm>
            <a:off x="328761" y="266701"/>
            <a:ext cx="1073824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67577E2-8493-4B3D-98AB-A12027EE581B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21:13:25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calculs!J2">
        <xdr:nvSpPr>
          <xdr:cNvPr id="53" name="Rectangle 52"/>
          <xdr:cNvSpPr/>
        </xdr:nvSpPr>
        <xdr:spPr>
          <a:xfrm>
            <a:off x="1340519" y="266701"/>
            <a:ext cx="2256641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E8FD426-A919-4845-8145-EE86B6CDC8A3}" type="TxLink">
              <a:rPr lang="en-US" sz="1600" b="1" i="0" u="none" strike="noStrike">
                <a:solidFill>
                  <a:schemeClr val="accent5">
                    <a:lumMod val="50000"/>
                  </a:schemeClr>
                </a:solidFill>
                <a:latin typeface="Calibri"/>
              </a:rPr>
              <a:pPr algn="ctr"/>
              <a:t>mercredi 17 août 2016</a:t>
            </a:fld>
            <a:endParaRPr lang="en-US" sz="3200" b="1">
              <a:solidFill>
                <a:schemeClr val="accent5">
                  <a:lumMod val="50000"/>
                </a:schemeClr>
              </a:solidFill>
            </a:endParaRPr>
          </a:p>
        </xdr:txBody>
      </xdr:sp>
      <xdr:sp macro="" textlink="">
        <xdr:nvSpPr>
          <xdr:cNvPr id="56" name="Rectangle 55">
            <a:hlinkClick xmlns:r="http://schemas.openxmlformats.org/officeDocument/2006/relationships" r:id="rId10"/>
          </xdr:cNvPr>
          <xdr:cNvSpPr/>
        </xdr:nvSpPr>
        <xdr:spPr>
          <a:xfrm>
            <a:off x="306499" y="771525"/>
            <a:ext cx="1281406" cy="390525"/>
          </a:xfrm>
          <a:prstGeom prst="rect">
            <a:avLst/>
          </a:prstGeom>
          <a:noFill/>
          <a:ln w="38100">
            <a:solidFill>
              <a:srgbClr val="ED7F10"/>
            </a:solidFill>
          </a:ln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 b="1" i="0" u="none" strike="noStrike">
                <a:solidFill>
                  <a:srgbClr val="ED7F10"/>
                </a:solidFill>
                <a:latin typeface="Britannic Bold" panose="020B0903060703020204" pitchFamily="34" charset="0"/>
              </a:rPr>
              <a:t>SOMMAIRE</a:t>
            </a:r>
          </a:p>
        </xdr:txBody>
      </xdr:sp>
    </xdr:grpSp>
    <xdr:clientData/>
  </xdr:twoCellAnchor>
  <xdr:twoCellAnchor>
    <xdr:from>
      <xdr:col>1</xdr:col>
      <xdr:colOff>209550</xdr:colOff>
      <xdr:row>28</xdr:row>
      <xdr:rowOff>0</xdr:rowOff>
    </xdr:from>
    <xdr:to>
      <xdr:col>1</xdr:col>
      <xdr:colOff>1242070</xdr:colOff>
      <xdr:row>28</xdr:row>
      <xdr:rowOff>177160</xdr:rowOff>
    </xdr:to>
    <xdr:sp macro="" textlink="calculs!D58">
      <xdr:nvSpPr>
        <xdr:cNvPr id="38" name="Rectangle 37"/>
        <xdr:cNvSpPr/>
      </xdr:nvSpPr>
      <xdr:spPr>
        <a:xfrm>
          <a:off x="590550" y="5505450"/>
          <a:ext cx="1032520" cy="177160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2B6F86C-4E73-439F-9550-21F28B252FE8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en-US" sz="1600" b="1"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715239</xdr:colOff>
      <xdr:row>82</xdr:row>
      <xdr:rowOff>181289</xdr:rowOff>
    </xdr:from>
    <xdr:to>
      <xdr:col>2</xdr:col>
      <xdr:colOff>544999</xdr:colOff>
      <xdr:row>83</xdr:row>
      <xdr:rowOff>180974</xdr:rowOff>
    </xdr:to>
    <xdr:sp macro="" textlink="calculs!C4">
      <xdr:nvSpPr>
        <xdr:cNvPr id="50" name="Rectangle 49"/>
        <xdr:cNvSpPr/>
      </xdr:nvSpPr>
      <xdr:spPr>
        <a:xfrm>
          <a:off x="1096239" y="15888014"/>
          <a:ext cx="1077535" cy="190185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71E8012-BC01-44D0-91D1-A2F1AE10C9D9}" type="TxLink">
            <a:rPr lang="en-US" sz="1200" b="1" i="0" u="none" strike="noStrike">
              <a:solidFill>
                <a:srgbClr val="000000"/>
              </a:solidFill>
              <a:latin typeface="+mn-lt"/>
              <a:cs typeface="Times New Roman" panose="02020603050405020304" pitchFamily="18" charset="0"/>
            </a:rPr>
            <a:pPr algn="ctr"/>
            <a:t>0 €</a:t>
          </a:fld>
          <a:endParaRPr lang="fr-FR" sz="1600" b="1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752475</xdr:colOff>
      <xdr:row>45</xdr:row>
      <xdr:rowOff>9525</xdr:rowOff>
    </xdr:from>
    <xdr:to>
      <xdr:col>2</xdr:col>
      <xdr:colOff>514350</xdr:colOff>
      <xdr:row>46</xdr:row>
      <xdr:rowOff>15497</xdr:rowOff>
    </xdr:to>
    <xdr:sp macro="" textlink="calculs!C31">
      <xdr:nvSpPr>
        <xdr:cNvPr id="51" name="Rectangle 50"/>
        <xdr:cNvSpPr/>
      </xdr:nvSpPr>
      <xdr:spPr>
        <a:xfrm>
          <a:off x="1133475" y="9001125"/>
          <a:ext cx="1009650" cy="196472"/>
        </a:xfrm>
        <a:prstGeom prst="rect">
          <a:avLst/>
        </a:prstGeom>
        <a:solidFill>
          <a:sysClr val="window" lastClr="FFFFFF"/>
        </a:solidFill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5ECADC7-D2F9-418A-9BEF-683734C765FD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3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733424</xdr:colOff>
      <xdr:row>17</xdr:row>
      <xdr:rowOff>187721</xdr:rowOff>
    </xdr:from>
    <xdr:to>
      <xdr:col>2</xdr:col>
      <xdr:colOff>503472</xdr:colOff>
      <xdr:row>19</xdr:row>
      <xdr:rowOff>0</xdr:rowOff>
    </xdr:to>
    <xdr:sp macro="" textlink="calculs!C58">
      <xdr:nvSpPr>
        <xdr:cNvPr id="58" name="Rectangle 57"/>
        <xdr:cNvSpPr/>
      </xdr:nvSpPr>
      <xdr:spPr>
        <a:xfrm>
          <a:off x="1114424" y="2902346"/>
          <a:ext cx="1017823" cy="193279"/>
        </a:xfrm>
        <a:prstGeom prst="rect">
          <a:avLst/>
        </a:prstGeom>
        <a:noFill/>
        <a:ln w="38100">
          <a:solidFill>
            <a:schemeClr val="accent5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5A6DBDB-A0A2-4F47-8D28-660F3911B729}" type="TxLink">
            <a:rPr lang="en-US" sz="12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ctr"/>
            <a:t>0 €</a:t>
          </a:fld>
          <a:endParaRPr lang="fr-FR" sz="36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523876</xdr:colOff>
      <xdr:row>51</xdr:row>
      <xdr:rowOff>76200</xdr:rowOff>
    </xdr:from>
    <xdr:to>
      <xdr:col>7</xdr:col>
      <xdr:colOff>247651</xdr:colOff>
      <xdr:row>52</xdr:row>
      <xdr:rowOff>28575</xdr:rowOff>
    </xdr:to>
    <xdr:sp macro="" textlink="$C$10">
      <xdr:nvSpPr>
        <xdr:cNvPr id="44" name="Rectangle 43"/>
        <xdr:cNvSpPr/>
      </xdr:nvSpPr>
      <xdr:spPr>
        <a:xfrm>
          <a:off x="6696076" y="10391775"/>
          <a:ext cx="742950" cy="142875"/>
        </a:xfrm>
        <a:prstGeom prst="rect">
          <a:avLst/>
        </a:prstGeom>
        <a:solidFill>
          <a:sysClr val="window" lastClr="FFFFFF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fld id="{0C346832-89D8-48E7-9104-58156698B6BA}" type="TxLink">
            <a:rPr lang="en-US" sz="10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l"/>
            <a:t>Juillet</a:t>
          </a:fld>
          <a:endParaRPr lang="fr-FR" sz="7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542925</xdr:colOff>
      <xdr:row>89</xdr:row>
      <xdr:rowOff>85725</xdr:rowOff>
    </xdr:from>
    <xdr:to>
      <xdr:col>7</xdr:col>
      <xdr:colOff>419100</xdr:colOff>
      <xdr:row>90</xdr:row>
      <xdr:rowOff>76200</xdr:rowOff>
    </xdr:to>
    <xdr:sp macro="" textlink="$C$10">
      <xdr:nvSpPr>
        <xdr:cNvPr id="47" name="Rectangle 46"/>
        <xdr:cNvSpPr/>
      </xdr:nvSpPr>
      <xdr:spPr>
        <a:xfrm>
          <a:off x="6715125" y="17935575"/>
          <a:ext cx="895350" cy="180975"/>
        </a:xfrm>
        <a:prstGeom prst="rect">
          <a:avLst/>
        </a:prstGeom>
        <a:solidFill>
          <a:sysClr val="window" lastClr="FFFFFF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fld id="{312341D9-DCA6-4313-8614-789C1A4ACC31}" type="TxLink">
            <a:rPr lang="en-US" sz="10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l"/>
            <a:t>Juillet</a:t>
          </a:fld>
          <a:endParaRPr lang="fr-FR" sz="7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38100</xdr:colOff>
      <xdr:row>61</xdr:row>
      <xdr:rowOff>1</xdr:rowOff>
    </xdr:from>
    <xdr:to>
      <xdr:col>2</xdr:col>
      <xdr:colOff>330061</xdr:colOff>
      <xdr:row>62</xdr:row>
      <xdr:rowOff>57151</xdr:rowOff>
    </xdr:to>
    <xdr:sp macro="" textlink="calculs!I87">
      <xdr:nvSpPr>
        <xdr:cNvPr id="48" name="Rectangle 47"/>
        <xdr:cNvSpPr/>
      </xdr:nvSpPr>
      <xdr:spPr>
        <a:xfrm>
          <a:off x="1666875" y="6724651"/>
          <a:ext cx="29196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CE3AC38-4250-4BC2-812E-59CD357F404F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16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2</xdr:col>
      <xdr:colOff>105733</xdr:colOff>
      <xdr:row>60</xdr:row>
      <xdr:rowOff>115055</xdr:rowOff>
    </xdr:from>
    <xdr:to>
      <xdr:col>3</xdr:col>
      <xdr:colOff>217225</xdr:colOff>
      <xdr:row>62</xdr:row>
      <xdr:rowOff>95511</xdr:rowOff>
    </xdr:to>
    <xdr:sp macro="" textlink="calculs!I86">
      <xdr:nvSpPr>
        <xdr:cNvPr id="49" name="Rectangle 48"/>
        <xdr:cNvSpPr/>
      </xdr:nvSpPr>
      <xdr:spPr>
        <a:xfrm>
          <a:off x="1734508" y="6649205"/>
          <a:ext cx="1130667" cy="3614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51A36C5-99A3-4727-803C-A79FD986B937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24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38100</xdr:colOff>
      <xdr:row>99</xdr:row>
      <xdr:rowOff>1</xdr:rowOff>
    </xdr:from>
    <xdr:to>
      <xdr:col>2</xdr:col>
      <xdr:colOff>330061</xdr:colOff>
      <xdr:row>100</xdr:row>
      <xdr:rowOff>57151</xdr:rowOff>
    </xdr:to>
    <xdr:sp macro="" textlink="calculs!F87">
      <xdr:nvSpPr>
        <xdr:cNvPr id="61" name="Rectangle 60"/>
        <xdr:cNvSpPr/>
      </xdr:nvSpPr>
      <xdr:spPr>
        <a:xfrm>
          <a:off x="1666875" y="12258676"/>
          <a:ext cx="29196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5BB2792F-6888-4BD2-BB68-F8BD99672A65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1600" b="1" i="0" u="none" strike="noStrike">
            <a:solidFill>
              <a:srgbClr val="002060"/>
            </a:solidFill>
            <a:latin typeface="Calibri"/>
          </a:endParaRPr>
        </a:p>
      </xdr:txBody>
    </xdr:sp>
    <xdr:clientData/>
  </xdr:twoCellAnchor>
  <xdr:twoCellAnchor>
    <xdr:from>
      <xdr:col>2</xdr:col>
      <xdr:colOff>105733</xdr:colOff>
      <xdr:row>98</xdr:row>
      <xdr:rowOff>115055</xdr:rowOff>
    </xdr:from>
    <xdr:to>
      <xdr:col>3</xdr:col>
      <xdr:colOff>217225</xdr:colOff>
      <xdr:row>100</xdr:row>
      <xdr:rowOff>95511</xdr:rowOff>
    </xdr:to>
    <xdr:sp macro="" textlink="calculs!F86">
      <xdr:nvSpPr>
        <xdr:cNvPr id="62" name="Rectangle 61"/>
        <xdr:cNvSpPr/>
      </xdr:nvSpPr>
      <xdr:spPr>
        <a:xfrm>
          <a:off x="1734508" y="12183230"/>
          <a:ext cx="1130667" cy="3614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EB523B2-99AB-454D-8072-E071D065B278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24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31</xdr:row>
      <xdr:rowOff>180221</xdr:rowOff>
    </xdr:from>
    <xdr:to>
      <xdr:col>2</xdr:col>
      <xdr:colOff>291961</xdr:colOff>
      <xdr:row>33</xdr:row>
      <xdr:rowOff>18296</xdr:rowOff>
    </xdr:to>
    <xdr:sp macro="" textlink="calculs!D86">
      <xdr:nvSpPr>
        <xdr:cNvPr id="63" name="Rectangle 62"/>
        <xdr:cNvSpPr/>
      </xdr:nvSpPr>
      <xdr:spPr>
        <a:xfrm>
          <a:off x="1628775" y="6295271"/>
          <a:ext cx="29196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4880279-34FA-4B51-B62A-A0EF9CA2CA26}" type="TxLink">
            <a:rPr lang="en-US" sz="1200" b="1" i="0" u="none" strike="noStrike">
              <a:solidFill>
                <a:srgbClr val="002060"/>
              </a:solidFill>
              <a:latin typeface="Wingdings 3"/>
            </a:rPr>
            <a:pPr algn="ctr"/>
            <a:t>q</a:t>
          </a:fld>
          <a:endParaRPr lang="en-US" sz="2000" b="1" i="0" u="none" strike="noStrike">
            <a:solidFill>
              <a:srgbClr val="002060"/>
            </a:solidFill>
            <a:latin typeface="Wingdings 3" panose="05040102010807070707" pitchFamily="18" charset="2"/>
          </a:endParaRPr>
        </a:p>
      </xdr:txBody>
    </xdr:sp>
    <xdr:clientData/>
  </xdr:twoCellAnchor>
  <xdr:twoCellAnchor>
    <xdr:from>
      <xdr:col>2</xdr:col>
      <xdr:colOff>67633</xdr:colOff>
      <xdr:row>31</xdr:row>
      <xdr:rowOff>104775</xdr:rowOff>
    </xdr:from>
    <xdr:to>
      <xdr:col>3</xdr:col>
      <xdr:colOff>179125</xdr:colOff>
      <xdr:row>33</xdr:row>
      <xdr:rowOff>56656</xdr:rowOff>
    </xdr:to>
    <xdr:sp macro="" textlink="calculs!C86">
      <xdr:nvSpPr>
        <xdr:cNvPr id="64" name="Rectangle 63"/>
        <xdr:cNvSpPr/>
      </xdr:nvSpPr>
      <xdr:spPr>
        <a:xfrm>
          <a:off x="1696408" y="6219825"/>
          <a:ext cx="1130667" cy="3614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5D1B60B-55C4-4A1B-A9EE-958A98379701}" type="TxLink">
            <a:rPr lang="en-US" sz="1200" b="1" i="0" u="none" strike="noStrike">
              <a:solidFill>
                <a:srgbClr val="000000"/>
              </a:solidFill>
              <a:latin typeface="Arial Black" panose="020B0A04020102020204" pitchFamily="34" charset="0"/>
            </a:rPr>
            <a:pPr algn="ctr"/>
            <a:t>#DIV/0!</a:t>
          </a:fld>
          <a:endParaRPr lang="fr-FR" sz="2800" b="1">
            <a:latin typeface="Arial Black" panose="020B0A04020102020204" pitchFamily="34" charset="0"/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0.49849</cdr:x>
      <cdr:y>0.04735</cdr:y>
    </cdr:from>
    <cdr:to>
      <cdr:x>0.71946</cdr:x>
      <cdr:y>0.15909</cdr:y>
    </cdr:to>
    <cdr:sp macro="" textlink="'TABLEAU DE BORD ATELIER'!$C$10">
      <cdr:nvSpPr>
        <cdr:cNvPr id="2" name="Rectangle 1"/>
        <cdr:cNvSpPr/>
      </cdr:nvSpPr>
      <cdr:spPr>
        <a:xfrm xmlns:a="http://schemas.openxmlformats.org/drawingml/2006/main">
          <a:off x="2098675" y="79374"/>
          <a:ext cx="930276" cy="1873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38100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99439172-B6F3-4009-9E3A-6B33D6C104CC}" type="TxLink">
            <a:rPr lang="en-US" sz="1000" b="1" i="0" u="none" strike="noStrike">
              <a:solidFill>
                <a:srgbClr val="000000"/>
              </a:solidFill>
              <a:latin typeface="Calibri"/>
              <a:cs typeface="Times New Roman" panose="02020603050405020304" pitchFamily="18" charset="0"/>
            </a:rPr>
            <a:pPr algn="l"/>
            <a:t>Juillet</a:t>
          </a:fld>
          <a:endParaRPr lang="fr-FR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8:O88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5" x14ac:dyDescent="0.25"/>
  <cols>
    <col min="1" max="1" width="5.7109375" style="72" customWidth="1"/>
    <col min="2" max="3" width="12.7109375" style="72" customWidth="1"/>
    <col min="4" max="4" width="5.7109375" style="72" customWidth="1"/>
    <col min="5" max="6" width="12.7109375" style="72" customWidth="1"/>
    <col min="7" max="7" width="5.7109375" style="72" customWidth="1"/>
    <col min="8" max="9" width="12.7109375" style="72" customWidth="1"/>
    <col min="10" max="10" width="5.7109375" style="72" customWidth="1"/>
    <col min="11" max="12" width="12.7109375" style="72" customWidth="1"/>
    <col min="13" max="13" width="5.7109375" style="72" customWidth="1"/>
    <col min="14" max="15" width="12.7109375" style="72" customWidth="1"/>
    <col min="16" max="16" width="5.7109375" style="72" customWidth="1"/>
    <col min="17" max="16384" width="11.42578125" style="72"/>
  </cols>
  <sheetData>
    <row r="8" spans="1:15" ht="15.75" thickBot="1" x14ac:dyDescent="0.3"/>
    <row r="9" spans="1:15" ht="15.75" thickTop="1" x14ac:dyDescent="0.25">
      <c r="B9" s="828" t="s">
        <v>111</v>
      </c>
      <c r="C9" s="829"/>
      <c r="E9" s="832" t="s">
        <v>0</v>
      </c>
      <c r="F9" s="833"/>
      <c r="H9" s="828" t="s">
        <v>1</v>
      </c>
      <c r="I9" s="829"/>
      <c r="K9" s="836" t="s">
        <v>42</v>
      </c>
      <c r="L9" s="837"/>
    </row>
    <row r="10" spans="1:15" ht="15" customHeight="1" thickBot="1" x14ac:dyDescent="0.3">
      <c r="B10" s="830"/>
      <c r="C10" s="831"/>
      <c r="E10" s="834"/>
      <c r="F10" s="835"/>
      <c r="H10" s="830"/>
      <c r="I10" s="831"/>
      <c r="K10" s="838"/>
      <c r="L10" s="839"/>
    </row>
    <row r="11" spans="1:15" ht="15" customHeight="1" thickTop="1" x14ac:dyDescent="0.25">
      <c r="A11" s="5"/>
      <c r="D11" s="5"/>
      <c r="M11" s="150"/>
      <c r="N11" s="150"/>
      <c r="O11" s="150"/>
    </row>
    <row r="12" spans="1:15" ht="15" customHeight="1" x14ac:dyDescent="0.25">
      <c r="A12" s="5"/>
      <c r="D12" s="7"/>
      <c r="M12" s="150"/>
      <c r="N12" s="150"/>
      <c r="O12" s="150"/>
    </row>
    <row r="13" spans="1:15" ht="15" customHeight="1" x14ac:dyDescent="0.25">
      <c r="A13" s="5"/>
      <c r="B13" s="6"/>
      <c r="C13" s="6"/>
      <c r="D13" s="4"/>
      <c r="F13" s="5"/>
      <c r="G13" s="6"/>
      <c r="H13" s="6"/>
      <c r="I13" s="4"/>
    </row>
    <row r="14" spans="1:15" ht="15" customHeight="1" x14ac:dyDescent="0.25">
      <c r="A14" s="5"/>
      <c r="B14" s="2"/>
      <c r="C14" s="2"/>
      <c r="D14" s="1"/>
      <c r="E14" s="2"/>
      <c r="F14" s="5"/>
      <c r="G14" s="2"/>
      <c r="H14" s="2"/>
      <c r="I14" s="2"/>
    </row>
    <row r="15" spans="1:15" ht="15" customHeight="1" x14ac:dyDescent="0.25">
      <c r="A15" s="5"/>
      <c r="B15" s="5"/>
      <c r="C15" s="5"/>
      <c r="D15" s="5"/>
      <c r="F15" s="5"/>
      <c r="G15" s="5"/>
      <c r="H15" s="5"/>
      <c r="I15" s="5"/>
    </row>
    <row r="16" spans="1:15" ht="15" customHeight="1" x14ac:dyDescent="0.25">
      <c r="A16" s="5"/>
      <c r="B16" s="5"/>
      <c r="C16" s="5"/>
      <c r="D16" s="5"/>
      <c r="F16" s="5"/>
      <c r="G16" s="5"/>
      <c r="H16" s="5"/>
      <c r="I16" s="5"/>
    </row>
    <row r="17" spans="1:10" ht="15" customHeight="1" x14ac:dyDescent="0.25">
      <c r="A17" s="5"/>
      <c r="B17" s="5"/>
      <c r="C17" s="5"/>
      <c r="D17" s="5"/>
      <c r="F17" s="5"/>
      <c r="G17" s="5"/>
      <c r="H17" s="5"/>
      <c r="I17" s="5"/>
    </row>
    <row r="18" spans="1:10" ht="15" customHeight="1" x14ac:dyDescent="0.25">
      <c r="A18" s="5"/>
      <c r="B18" s="5"/>
      <c r="C18" s="5"/>
      <c r="D18" s="5"/>
      <c r="F18" s="5"/>
      <c r="G18" s="5"/>
      <c r="H18" s="5"/>
      <c r="I18" s="5"/>
    </row>
    <row r="19" spans="1:10" ht="15" customHeight="1" x14ac:dyDescent="0.25">
      <c r="A19" s="5"/>
      <c r="B19" s="5"/>
      <c r="C19" s="5"/>
      <c r="D19" s="5"/>
      <c r="F19" s="5"/>
      <c r="G19" s="5"/>
      <c r="H19" s="5"/>
      <c r="I19" s="5"/>
    </row>
    <row r="20" spans="1:10" ht="15" customHeight="1" x14ac:dyDescent="0.25">
      <c r="A20" s="5"/>
      <c r="B20" s="5"/>
      <c r="C20" s="5"/>
      <c r="D20" s="5"/>
      <c r="F20" s="5"/>
      <c r="G20" s="5"/>
      <c r="H20" s="5"/>
      <c r="I20" s="5"/>
    </row>
    <row r="21" spans="1:10" ht="15" customHeight="1" x14ac:dyDescent="0.25">
      <c r="A21" s="5"/>
      <c r="B21" s="5"/>
      <c r="C21" s="5"/>
      <c r="D21" s="5"/>
      <c r="F21" s="5"/>
      <c r="G21" s="5"/>
      <c r="H21" s="5"/>
      <c r="I21" s="5"/>
    </row>
    <row r="22" spans="1:10" ht="15" customHeight="1" x14ac:dyDescent="0.25">
      <c r="A22" s="5"/>
      <c r="B22" s="5"/>
      <c r="C22" s="5"/>
      <c r="D22" s="5"/>
      <c r="F22" s="5"/>
      <c r="G22" s="5"/>
      <c r="H22" s="5"/>
      <c r="I22" s="5"/>
    </row>
    <row r="23" spans="1:10" ht="15" customHeight="1" x14ac:dyDescent="0.25">
      <c r="A23" s="5"/>
      <c r="B23" s="5"/>
      <c r="C23" s="5"/>
      <c r="D23" s="5"/>
      <c r="F23" s="3"/>
      <c r="G23" s="5"/>
      <c r="H23" s="5"/>
      <c r="I23" s="5"/>
      <c r="J23" s="5"/>
    </row>
    <row r="24" spans="1:10" ht="15" customHeight="1" x14ac:dyDescent="0.25">
      <c r="A24" s="3"/>
      <c r="B24" s="3"/>
      <c r="C24" s="3"/>
    </row>
    <row r="25" spans="1:10" ht="15" customHeight="1" x14ac:dyDescent="0.25"/>
    <row r="26" spans="1:10" ht="15" customHeight="1" x14ac:dyDescent="0.25">
      <c r="B26" s="8"/>
      <c r="C26" s="8"/>
    </row>
    <row r="27" spans="1:10" ht="15" customHeight="1" x14ac:dyDescent="0.25">
      <c r="B27" s="8"/>
      <c r="C27" s="8"/>
    </row>
    <row r="28" spans="1:10" ht="15" customHeight="1" x14ac:dyDescent="0.25">
      <c r="B28" s="8"/>
      <c r="C28" s="8"/>
    </row>
    <row r="29" spans="1:10" ht="15" customHeight="1" x14ac:dyDescent="0.25"/>
    <row r="30" spans="1:10" ht="15" customHeight="1" x14ac:dyDescent="0.25"/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</sheetData>
  <mergeCells count="4">
    <mergeCell ref="H9:I10"/>
    <mergeCell ref="E9:F10"/>
    <mergeCell ref="B9:C10"/>
    <mergeCell ref="K9:L10"/>
  </mergeCells>
  <printOptions verticalCentered="1"/>
  <pageMargins left="0" right="0" top="0" bottom="0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B1:V31"/>
  <sheetViews>
    <sheetView zoomScaleNormal="100" workbookViewId="0">
      <pane ySplit="7" topLeftCell="A8" activePane="bottomLeft" state="frozen"/>
      <selection pane="bottomLeft" activeCell="B10" sqref="B10"/>
    </sheetView>
  </sheetViews>
  <sheetFormatPr baseColWidth="10" defaultRowHeight="14.25" x14ac:dyDescent="0.25"/>
  <cols>
    <col min="1" max="1" width="5.7109375" style="221" customWidth="1"/>
    <col min="2" max="2" width="15.7109375" style="241" customWidth="1"/>
    <col min="3" max="3" width="15.28515625" style="242" customWidth="1"/>
    <col min="4" max="4" width="15.28515625" style="243" customWidth="1"/>
    <col min="5" max="5" width="15.28515625" style="221" customWidth="1"/>
    <col min="6" max="6" width="14.7109375" style="221" customWidth="1"/>
    <col min="7" max="7" width="16.7109375" style="221" customWidth="1"/>
    <col min="8" max="9" width="22.7109375" style="221" customWidth="1"/>
    <col min="10" max="10" width="15.28515625" style="221" customWidth="1"/>
    <col min="11" max="11" width="5.7109375" style="222" customWidth="1"/>
    <col min="12" max="14" width="5.7109375" style="221" customWidth="1"/>
    <col min="15" max="15" width="8.28515625" style="223" bestFit="1" customWidth="1"/>
    <col min="16" max="16" width="13.7109375" style="223" bestFit="1" customWidth="1"/>
    <col min="17" max="17" width="23" style="223" bestFit="1" customWidth="1"/>
    <col min="18" max="18" width="8.85546875" style="223" bestFit="1" customWidth="1"/>
    <col min="19" max="19" width="7.85546875" style="223" bestFit="1" customWidth="1"/>
    <col min="20" max="20" width="6.7109375" style="223" bestFit="1" customWidth="1"/>
    <col min="21" max="21" width="7.7109375" style="223" bestFit="1" customWidth="1"/>
    <col min="22" max="22" width="6.7109375" style="223" bestFit="1" customWidth="1"/>
    <col min="23" max="16384" width="11.42578125" style="221"/>
  </cols>
  <sheetData>
    <row r="1" spans="2:22" ht="15.75" customHeight="1" x14ac:dyDescent="0.25"/>
    <row r="2" spans="2:22" ht="15" customHeight="1" x14ac:dyDescent="0.25">
      <c r="B2" s="221"/>
      <c r="P2" s="254"/>
      <c r="Q2" s="255"/>
    </row>
    <row r="3" spans="2:22" ht="15.75" customHeight="1" x14ac:dyDescent="0.25">
      <c r="P3" s="254"/>
      <c r="Q3" s="256"/>
    </row>
    <row r="5" spans="2:22" x14ac:dyDescent="0.25">
      <c r="P5" s="244"/>
      <c r="Q5" s="900"/>
      <c r="R5" s="900"/>
      <c r="S5" s="244"/>
    </row>
    <row r="6" spans="2:22" x14ac:dyDescent="0.25">
      <c r="P6" s="245"/>
      <c r="Q6" s="245"/>
      <c r="R6" s="245"/>
      <c r="S6" s="229"/>
    </row>
    <row r="7" spans="2:22" x14ac:dyDescent="0.25">
      <c r="O7" s="244"/>
      <c r="P7" s="257"/>
      <c r="Q7" s="257"/>
      <c r="S7" s="229"/>
    </row>
    <row r="8" spans="2:22" ht="12.95" customHeight="1" thickBot="1" x14ac:dyDescent="0.3">
      <c r="P8" s="245"/>
      <c r="Q8" s="245"/>
      <c r="R8" s="245"/>
      <c r="S8" s="229"/>
    </row>
    <row r="9" spans="2:22" ht="15" customHeight="1" thickBot="1" x14ac:dyDescent="0.3">
      <c r="D9" s="887" t="s">
        <v>19</v>
      </c>
      <c r="E9" s="888"/>
      <c r="F9" s="888"/>
      <c r="G9" s="888"/>
      <c r="H9" s="889"/>
      <c r="I9" s="890"/>
      <c r="J9" s="246"/>
    </row>
    <row r="10" spans="2:22" ht="15" customHeight="1" thickTop="1" thickBot="1" x14ac:dyDescent="0.3">
      <c r="B10" s="236" t="s">
        <v>114</v>
      </c>
      <c r="D10" s="704" t="s">
        <v>14</v>
      </c>
      <c r="E10" s="705" t="s">
        <v>15</v>
      </c>
      <c r="F10" s="709" t="s">
        <v>16</v>
      </c>
      <c r="G10" s="706" t="s">
        <v>109</v>
      </c>
      <c r="H10" s="742" t="s">
        <v>62</v>
      </c>
      <c r="I10" s="741" t="s">
        <v>65</v>
      </c>
      <c r="L10" s="247"/>
    </row>
    <row r="11" spans="2:22" ht="15" customHeight="1" thickBot="1" x14ac:dyDescent="0.3">
      <c r="D11" s="746">
        <f ca="1">C19</f>
        <v>0</v>
      </c>
      <c r="E11" s="747">
        <f ca="1">D19</f>
        <v>0</v>
      </c>
      <c r="F11" s="748">
        <f ca="1">E19</f>
        <v>0</v>
      </c>
      <c r="G11" s="726">
        <f ca="1">G19</f>
        <v>0</v>
      </c>
      <c r="H11" s="649">
        <f ca="1">H19</f>
        <v>0</v>
      </c>
      <c r="I11" s="240">
        <f ca="1">I19</f>
        <v>0</v>
      </c>
      <c r="K11" s="248"/>
    </row>
    <row r="12" spans="2:22" ht="12.95" customHeight="1" thickTop="1" thickBot="1" x14ac:dyDescent="0.3">
      <c r="B12" s="249"/>
      <c r="E12" s="250"/>
      <c r="F12" s="251"/>
      <c r="G12" s="247"/>
      <c r="H12" s="247"/>
    </row>
    <row r="13" spans="2:22" ht="15" customHeight="1" thickBot="1" x14ac:dyDescent="0.3">
      <c r="B13" s="236" t="s">
        <v>18</v>
      </c>
      <c r="D13" s="887" t="s">
        <v>21</v>
      </c>
      <c r="E13" s="888"/>
      <c r="F13" s="888"/>
      <c r="G13" s="888"/>
      <c r="H13" s="889"/>
      <c r="I13" s="890"/>
      <c r="J13" s="246"/>
      <c r="Q13" s="244"/>
      <c r="R13" s="244"/>
    </row>
    <row r="14" spans="2:22" ht="15" customHeight="1" thickTop="1" thickBot="1" x14ac:dyDescent="0.3">
      <c r="B14" s="237" t="s">
        <v>11</v>
      </c>
      <c r="D14" s="704" t="s">
        <v>14</v>
      </c>
      <c r="E14" s="705" t="s">
        <v>15</v>
      </c>
      <c r="F14" s="709" t="s">
        <v>16</v>
      </c>
      <c r="G14" s="706" t="s">
        <v>109</v>
      </c>
      <c r="H14" s="742" t="s">
        <v>62</v>
      </c>
      <c r="I14" s="741" t="s">
        <v>65</v>
      </c>
      <c r="P14" s="244"/>
      <c r="Q14" s="245"/>
      <c r="R14" s="245"/>
    </row>
    <row r="15" spans="2:22" ht="15" customHeight="1" thickBot="1" x14ac:dyDescent="0.3">
      <c r="B15" s="249"/>
      <c r="D15" s="746">
        <f>IFERROR(VLOOKUP(B14,B17:E31,2,FALSE),"")</f>
        <v>0</v>
      </c>
      <c r="E15" s="749">
        <f>IFERROR(VLOOKUP(B14,B17:E31,3,FALSE),"")</f>
        <v>0</v>
      </c>
      <c r="F15" s="748">
        <f>IFERROR(VLOOKUP(B14,B17:E31,4,FALSE),"")</f>
        <v>0</v>
      </c>
      <c r="G15" s="726">
        <f>IFERROR(VLOOKUP(B14,B17:G31,6,FALSE),"")</f>
        <v>0</v>
      </c>
      <c r="H15" s="649">
        <f>IFERROR(VLOOKUP(B14,B17:I31,7,FALSE),"")</f>
        <v>0</v>
      </c>
      <c r="I15" s="240">
        <f>IFERROR(VLOOKUP(B14,B17:I31,8,FALSE),"")</f>
        <v>0</v>
      </c>
      <c r="P15" s="244"/>
      <c r="Q15" s="245"/>
      <c r="R15" s="245"/>
    </row>
    <row r="16" spans="2:22" ht="12.95" customHeight="1" thickTop="1" thickBot="1" x14ac:dyDescent="0.3">
      <c r="P16" s="259"/>
      <c r="U16" s="228"/>
      <c r="V16" s="228"/>
    </row>
    <row r="17" spans="2:22" ht="15" customHeight="1" thickTop="1" x14ac:dyDescent="0.25">
      <c r="B17" s="228"/>
      <c r="C17" s="659" t="s">
        <v>14</v>
      </c>
      <c r="D17" s="660" t="s">
        <v>15</v>
      </c>
      <c r="E17" s="661" t="s">
        <v>16</v>
      </c>
      <c r="F17" s="881" t="s">
        <v>20</v>
      </c>
      <c r="G17" s="881"/>
      <c r="H17" s="901" t="s">
        <v>61</v>
      </c>
      <c r="I17" s="885" t="s">
        <v>65</v>
      </c>
      <c r="M17" s="244"/>
      <c r="N17" s="245"/>
      <c r="P17" s="231"/>
      <c r="Q17" s="232"/>
      <c r="R17" s="232"/>
      <c r="T17" s="231"/>
      <c r="U17" s="232"/>
      <c r="V17" s="232"/>
    </row>
    <row r="18" spans="2:22" ht="15" customHeight="1" thickBot="1" x14ac:dyDescent="0.3">
      <c r="B18" s="252"/>
      <c r="C18" s="662" t="s">
        <v>59</v>
      </c>
      <c r="D18" s="663" t="s">
        <v>59</v>
      </c>
      <c r="E18" s="664" t="s">
        <v>59</v>
      </c>
      <c r="F18" s="665" t="s">
        <v>17</v>
      </c>
      <c r="G18" s="675" t="s">
        <v>59</v>
      </c>
      <c r="H18" s="902"/>
      <c r="I18" s="886"/>
      <c r="M18" s="244"/>
      <c r="N18" s="245"/>
      <c r="P18" s="231"/>
      <c r="Q18" s="226"/>
      <c r="R18" s="226"/>
      <c r="T18" s="231"/>
      <c r="U18" s="226"/>
      <c r="V18" s="226"/>
    </row>
    <row r="19" spans="2:22" ht="15" customHeight="1" thickBot="1" x14ac:dyDescent="0.3">
      <c r="B19" s="260"/>
      <c r="C19" s="667">
        <f ca="1">SUM(OFFSET(C20,0,0,MATCH(B14,B20:B31,0)))</f>
        <v>0</v>
      </c>
      <c r="D19" s="668">
        <f ca="1">SUM(OFFSET(D20,0,0,MATCH(B14,B20:B31,0)))</f>
        <v>0</v>
      </c>
      <c r="E19" s="668">
        <f ca="1">SUM(OFFSET(E20,0,0,MATCH(B14,B20:B31,0)))</f>
        <v>0</v>
      </c>
      <c r="F19" s="703" t="e">
        <f ca="1">SUM((E19-D19)/D19)</f>
        <v>#DIV/0!</v>
      </c>
      <c r="G19" s="640">
        <f ca="1">SUM(OFFSET(G20,0,0,MATCH(B14,B20:B31,0)))</f>
        <v>0</v>
      </c>
      <c r="H19" s="641">
        <f ca="1">SUM(OFFSET(H20,0,0,MATCH(B14,B20:B31,0)))</f>
        <v>0</v>
      </c>
      <c r="I19" s="740">
        <f ca="1">SUM(OFFSET(I20,0,0,MATCH(B14,B20:B31,0)))</f>
        <v>0</v>
      </c>
    </row>
    <row r="20" spans="2:22" ht="14.85" customHeight="1" x14ac:dyDescent="0.25">
      <c r="B20" s="682" t="s">
        <v>6</v>
      </c>
      <c r="C20" s="735">
        <f>'Saisie CA'!B33</f>
        <v>0</v>
      </c>
      <c r="D20" s="678">
        <f>'Saisie CA'!C33</f>
        <v>0</v>
      </c>
      <c r="E20" s="676">
        <f>'Saisie CA'!D33</f>
        <v>0</v>
      </c>
      <c r="F20" s="238" t="e">
        <f>SUM((E20-D20)/D20)</f>
        <v>#DIV/0!</v>
      </c>
      <c r="G20" s="263">
        <f>SUM(E20-D20)</f>
        <v>0</v>
      </c>
      <c r="H20" s="787">
        <f>SUM(C20+D20)/2</f>
        <v>0</v>
      </c>
      <c r="I20" s="788">
        <f>SUM(E20-H20)</f>
        <v>0</v>
      </c>
      <c r="P20" s="225"/>
      <c r="Q20" s="226"/>
      <c r="R20" s="226"/>
      <c r="T20" s="225"/>
      <c r="U20" s="226"/>
      <c r="V20" s="226"/>
    </row>
    <row r="21" spans="2:22" ht="14.85" customHeight="1" x14ac:dyDescent="0.25">
      <c r="B21" s="683" t="s">
        <v>7</v>
      </c>
      <c r="C21" s="736">
        <f>'Saisie CA'!B34</f>
        <v>0</v>
      </c>
      <c r="D21" s="681">
        <f>'Saisie CA'!C34</f>
        <v>0</v>
      </c>
      <c r="E21" s="679">
        <f>'Saisie CA'!D34</f>
        <v>0</v>
      </c>
      <c r="F21" s="239" t="e">
        <f t="shared" ref="F21:F31" si="0">SUM((E21-D21)/D21)</f>
        <v>#DIV/0!</v>
      </c>
      <c r="G21" s="264">
        <f t="shared" ref="G21:G31" si="1">SUM(E21-D21)</f>
        <v>0</v>
      </c>
      <c r="H21" s="789">
        <f t="shared" ref="H21:H31" si="2">SUM(C21+D21)/2</f>
        <v>0</v>
      </c>
      <c r="I21" s="790">
        <f t="shared" ref="I21:I31" si="3">SUM(E21-H21)</f>
        <v>0</v>
      </c>
      <c r="P21" s="228"/>
      <c r="Q21" s="229"/>
      <c r="R21" s="229"/>
      <c r="T21" s="228"/>
      <c r="U21" s="229"/>
      <c r="V21" s="229"/>
    </row>
    <row r="22" spans="2:22" ht="14.85" customHeight="1" x14ac:dyDescent="0.25">
      <c r="B22" s="683" t="s">
        <v>8</v>
      </c>
      <c r="C22" s="736">
        <f>'Saisie CA'!B35</f>
        <v>0</v>
      </c>
      <c r="D22" s="681">
        <f>'Saisie CA'!C35</f>
        <v>0</v>
      </c>
      <c r="E22" s="679">
        <f>'Saisie CA'!D35</f>
        <v>0</v>
      </c>
      <c r="F22" s="239" t="e">
        <f t="shared" si="0"/>
        <v>#DIV/0!</v>
      </c>
      <c r="G22" s="264">
        <f t="shared" si="1"/>
        <v>0</v>
      </c>
      <c r="H22" s="789">
        <f t="shared" si="2"/>
        <v>0</v>
      </c>
      <c r="I22" s="790">
        <f t="shared" si="3"/>
        <v>0</v>
      </c>
      <c r="P22" s="228"/>
      <c r="Q22" s="230"/>
    </row>
    <row r="23" spans="2:22" ht="14.85" customHeight="1" x14ac:dyDescent="0.25">
      <c r="B23" s="683" t="s">
        <v>9</v>
      </c>
      <c r="C23" s="736">
        <f>'Saisie CA'!B36</f>
        <v>0</v>
      </c>
      <c r="D23" s="681">
        <f>'Saisie CA'!C36</f>
        <v>0</v>
      </c>
      <c r="E23" s="679">
        <f>'Saisie CA'!D36</f>
        <v>0</v>
      </c>
      <c r="F23" s="239" t="e">
        <f t="shared" si="0"/>
        <v>#DIV/0!</v>
      </c>
      <c r="G23" s="264">
        <f t="shared" si="1"/>
        <v>0</v>
      </c>
      <c r="H23" s="789">
        <f t="shared" si="2"/>
        <v>0</v>
      </c>
      <c r="I23" s="790">
        <f t="shared" si="3"/>
        <v>0</v>
      </c>
      <c r="P23" s="228"/>
      <c r="Q23" s="229"/>
      <c r="R23" s="229"/>
      <c r="U23" s="228"/>
      <c r="V23" s="228"/>
    </row>
    <row r="24" spans="2:22" ht="14.85" customHeight="1" x14ac:dyDescent="0.25">
      <c r="B24" s="683" t="s">
        <v>10</v>
      </c>
      <c r="C24" s="736">
        <f>'Saisie CA'!B37</f>
        <v>0</v>
      </c>
      <c r="D24" s="681">
        <f>'Saisie CA'!C37</f>
        <v>0</v>
      </c>
      <c r="E24" s="679">
        <f>'Saisie CA'!D37</f>
        <v>0</v>
      </c>
      <c r="F24" s="239" t="e">
        <f t="shared" si="0"/>
        <v>#DIV/0!</v>
      </c>
      <c r="G24" s="264">
        <f t="shared" si="1"/>
        <v>0</v>
      </c>
      <c r="H24" s="789">
        <f t="shared" si="2"/>
        <v>0</v>
      </c>
      <c r="I24" s="790">
        <f t="shared" si="3"/>
        <v>0</v>
      </c>
      <c r="P24" s="228"/>
      <c r="Q24" s="229"/>
      <c r="R24" s="229"/>
      <c r="T24" s="231"/>
      <c r="U24" s="232"/>
      <c r="V24" s="232"/>
    </row>
    <row r="25" spans="2:22" ht="14.85" customHeight="1" x14ac:dyDescent="0.25">
      <c r="B25" s="683" t="s">
        <v>11</v>
      </c>
      <c r="C25" s="736">
        <f>'Saisie CA'!B38</f>
        <v>0</v>
      </c>
      <c r="D25" s="681">
        <f>'Saisie CA'!C38</f>
        <v>0</v>
      </c>
      <c r="E25" s="679">
        <f>'Saisie CA'!D38</f>
        <v>0</v>
      </c>
      <c r="F25" s="239" t="e">
        <f t="shared" si="0"/>
        <v>#DIV/0!</v>
      </c>
      <c r="G25" s="264">
        <f t="shared" si="1"/>
        <v>0</v>
      </c>
      <c r="H25" s="789">
        <f t="shared" si="2"/>
        <v>0</v>
      </c>
      <c r="I25" s="790">
        <f t="shared" si="3"/>
        <v>0</v>
      </c>
      <c r="P25" s="228"/>
      <c r="Q25" s="229"/>
      <c r="R25" s="229"/>
      <c r="T25" s="231"/>
      <c r="U25" s="226"/>
      <c r="V25" s="226"/>
    </row>
    <row r="26" spans="2:22" ht="14.85" customHeight="1" x14ac:dyDescent="0.25">
      <c r="B26" s="683" t="s">
        <v>12</v>
      </c>
      <c r="C26" s="736">
        <f>'Saisie CA'!B39</f>
        <v>0</v>
      </c>
      <c r="D26" s="681">
        <f>'Saisie CA'!C39</f>
        <v>0</v>
      </c>
      <c r="E26" s="679">
        <f>'Saisie CA'!D39</f>
        <v>0</v>
      </c>
      <c r="F26" s="239" t="e">
        <f t="shared" si="0"/>
        <v>#DIV/0!</v>
      </c>
      <c r="G26" s="264">
        <f t="shared" si="1"/>
        <v>0</v>
      </c>
      <c r="H26" s="789">
        <f t="shared" si="2"/>
        <v>0</v>
      </c>
      <c r="I26" s="790">
        <f t="shared" si="3"/>
        <v>0</v>
      </c>
      <c r="P26" s="228"/>
      <c r="Q26" s="229"/>
      <c r="R26" s="229"/>
      <c r="T26" s="225"/>
      <c r="U26" s="226"/>
      <c r="V26" s="226"/>
    </row>
    <row r="27" spans="2:22" ht="14.85" customHeight="1" x14ac:dyDescent="0.25">
      <c r="B27" s="683" t="s">
        <v>13</v>
      </c>
      <c r="C27" s="736">
        <f>'Saisie CA'!B40</f>
        <v>0</v>
      </c>
      <c r="D27" s="681">
        <f>'Saisie CA'!C40</f>
        <v>0</v>
      </c>
      <c r="E27" s="679">
        <f>'Saisie CA'!D40</f>
        <v>0</v>
      </c>
      <c r="F27" s="239" t="e">
        <f t="shared" si="0"/>
        <v>#DIV/0!</v>
      </c>
      <c r="G27" s="264">
        <f t="shared" si="1"/>
        <v>0</v>
      </c>
      <c r="H27" s="789">
        <f t="shared" si="2"/>
        <v>0</v>
      </c>
      <c r="I27" s="790">
        <f t="shared" si="3"/>
        <v>0</v>
      </c>
      <c r="Q27" s="229"/>
      <c r="T27" s="228"/>
      <c r="U27" s="229"/>
      <c r="V27" s="229"/>
    </row>
    <row r="28" spans="2:22" ht="14.85" customHeight="1" x14ac:dyDescent="0.25">
      <c r="B28" s="683" t="s">
        <v>2</v>
      </c>
      <c r="C28" s="736">
        <f>'Saisie CA'!B41</f>
        <v>0</v>
      </c>
      <c r="D28" s="681">
        <f>'Saisie CA'!C41</f>
        <v>0</v>
      </c>
      <c r="E28" s="679">
        <f>'Saisie CA'!D41</f>
        <v>0</v>
      </c>
      <c r="F28" s="239" t="e">
        <f t="shared" si="0"/>
        <v>#DIV/0!</v>
      </c>
      <c r="G28" s="264">
        <f t="shared" si="1"/>
        <v>0</v>
      </c>
      <c r="H28" s="789">
        <f t="shared" si="2"/>
        <v>0</v>
      </c>
      <c r="I28" s="790">
        <f t="shared" si="3"/>
        <v>0</v>
      </c>
      <c r="Q28" s="229"/>
      <c r="T28" s="230"/>
    </row>
    <row r="29" spans="2:22" ht="14.85" customHeight="1" x14ac:dyDescent="0.25">
      <c r="B29" s="683" t="s">
        <v>3</v>
      </c>
      <c r="C29" s="736">
        <f>'Saisie CA'!B42</f>
        <v>0</v>
      </c>
      <c r="D29" s="681">
        <f>'Saisie CA'!C42</f>
        <v>0</v>
      </c>
      <c r="E29" s="679">
        <f>'Saisie CA'!D42</f>
        <v>0</v>
      </c>
      <c r="F29" s="239" t="e">
        <f t="shared" si="0"/>
        <v>#DIV/0!</v>
      </c>
      <c r="G29" s="264">
        <f t="shared" si="1"/>
        <v>0</v>
      </c>
      <c r="H29" s="789">
        <f t="shared" si="2"/>
        <v>0</v>
      </c>
      <c r="I29" s="790">
        <f t="shared" si="3"/>
        <v>0</v>
      </c>
      <c r="Q29" s="229"/>
      <c r="T29" s="230"/>
    </row>
    <row r="30" spans="2:22" ht="14.85" customHeight="1" x14ac:dyDescent="0.25">
      <c r="B30" s="683" t="s">
        <v>4</v>
      </c>
      <c r="C30" s="736">
        <f>'Saisie CA'!B43</f>
        <v>0</v>
      </c>
      <c r="D30" s="681">
        <f>'Saisie CA'!C43</f>
        <v>0</v>
      </c>
      <c r="E30" s="679">
        <f>'Saisie CA'!D43</f>
        <v>0</v>
      </c>
      <c r="F30" s="239" t="e">
        <f t="shared" si="0"/>
        <v>#DIV/0!</v>
      </c>
      <c r="G30" s="264">
        <f t="shared" si="1"/>
        <v>0</v>
      </c>
      <c r="H30" s="791">
        <f t="shared" si="2"/>
        <v>0</v>
      </c>
      <c r="I30" s="792">
        <f t="shared" si="3"/>
        <v>0</v>
      </c>
      <c r="Q30" s="233"/>
    </row>
    <row r="31" spans="2:22" ht="14.85" customHeight="1" thickBot="1" x14ac:dyDescent="0.3">
      <c r="B31" s="684" t="s">
        <v>5</v>
      </c>
      <c r="C31" s="737">
        <f>'Saisie CA'!B44</f>
        <v>0</v>
      </c>
      <c r="D31" s="694">
        <f>'Saisie CA'!C44</f>
        <v>0</v>
      </c>
      <c r="E31" s="738">
        <f>'Saisie CA'!D44</f>
        <v>0</v>
      </c>
      <c r="F31" s="695" t="e">
        <f t="shared" si="0"/>
        <v>#DIV/0!</v>
      </c>
      <c r="G31" s="719">
        <f t="shared" si="1"/>
        <v>0</v>
      </c>
      <c r="H31" s="793">
        <f t="shared" si="2"/>
        <v>0</v>
      </c>
      <c r="I31" s="794">
        <f t="shared" si="3"/>
        <v>0</v>
      </c>
    </row>
  </sheetData>
  <mergeCells count="6">
    <mergeCell ref="Q5:R5"/>
    <mergeCell ref="H17:H18"/>
    <mergeCell ref="I17:I18"/>
    <mergeCell ref="F17:G17"/>
    <mergeCell ref="D9:I9"/>
    <mergeCell ref="D13:I13"/>
  </mergeCells>
  <conditionalFormatting sqref="P7">
    <cfRule type="cellIs" dxfId="255" priority="16" operator="lessThan">
      <formula>$Q$6&lt;$P$6</formula>
    </cfRule>
    <cfRule type="cellIs" dxfId="254" priority="17" operator="lessThan">
      <formula>0</formula>
    </cfRule>
  </conditionalFormatting>
  <conditionalFormatting sqref="S6">
    <cfRule type="cellIs" dxfId="253" priority="13" operator="lessThan">
      <formula>0</formula>
    </cfRule>
    <cfRule type="cellIs" dxfId="252" priority="14" operator="lessThan">
      <formula>0</formula>
    </cfRule>
    <cfRule type="cellIs" dxfId="251" priority="15" operator="lessThan">
      <formula>0</formula>
    </cfRule>
  </conditionalFormatting>
  <conditionalFormatting sqref="I11 I15">
    <cfRule type="cellIs" dxfId="250" priority="7" operator="lessThan">
      <formula>0</formula>
    </cfRule>
    <cfRule type="cellIs" dxfId="249" priority="8" operator="greaterThan">
      <formula>0</formula>
    </cfRule>
  </conditionalFormatting>
  <conditionalFormatting sqref="F20:G31">
    <cfRule type="cellIs" dxfId="248" priority="11" operator="lessThan">
      <formula>0</formula>
    </cfRule>
    <cfRule type="cellIs" dxfId="247" priority="12" operator="greaterThan">
      <formula>0</formula>
    </cfRule>
  </conditionalFormatting>
  <conditionalFormatting sqref="F19:G19">
    <cfRule type="cellIs" dxfId="246" priority="5" operator="lessThan">
      <formula>0</formula>
    </cfRule>
    <cfRule type="cellIs" dxfId="245" priority="6" operator="greaterThan">
      <formula>0</formula>
    </cfRule>
  </conditionalFormatting>
  <conditionalFormatting sqref="G11 G15">
    <cfRule type="cellIs" dxfId="244" priority="3" operator="lessThan">
      <formula>0</formula>
    </cfRule>
    <cfRule type="cellIs" dxfId="243" priority="4" operator="greaterThan">
      <formula>0</formula>
    </cfRule>
  </conditionalFormatting>
  <conditionalFormatting sqref="I20:I31">
    <cfRule type="cellIs" dxfId="242" priority="9" operator="lessThan">
      <formula>0</formula>
    </cfRule>
    <cfRule type="cellIs" dxfId="241" priority="10" operator="greaterThan">
      <formula>0</formula>
    </cfRule>
  </conditionalFormatting>
  <conditionalFormatting sqref="I19">
    <cfRule type="cellIs" dxfId="240" priority="1" operator="greaterThan">
      <formula>0</formula>
    </cfRule>
    <cfRule type="cellIs" dxfId="239" priority="2" operator="lessThan">
      <formula>0</formula>
    </cfRule>
  </conditionalFormatting>
  <dataValidations count="1">
    <dataValidation type="list" allowBlank="1" showInputMessage="1" showErrorMessage="1" sqref="B14">
      <formula1>$B$20:$B$31</formula1>
    </dataValidation>
  </dataValidations>
  <printOptions horizontalCentered="1"/>
  <pageMargins left="0" right="0" top="0" bottom="0" header="0" footer="0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B1:V31"/>
  <sheetViews>
    <sheetView zoomScaleNormal="100" workbookViewId="0">
      <pane ySplit="7" topLeftCell="A8" activePane="bottomLeft" state="frozen"/>
      <selection pane="bottomLeft" activeCell="C14" sqref="C14"/>
    </sheetView>
  </sheetViews>
  <sheetFormatPr baseColWidth="10" defaultRowHeight="14.25" x14ac:dyDescent="0.25"/>
  <cols>
    <col min="1" max="1" width="5.7109375" style="221" customWidth="1"/>
    <col min="2" max="2" width="15.7109375" style="241" customWidth="1"/>
    <col min="3" max="3" width="15.28515625" style="242" customWidth="1"/>
    <col min="4" max="4" width="15.28515625" style="243" customWidth="1"/>
    <col min="5" max="5" width="15.28515625" style="221" customWidth="1"/>
    <col min="6" max="6" width="14.7109375" style="221" customWidth="1"/>
    <col min="7" max="7" width="16.7109375" style="221" customWidth="1"/>
    <col min="8" max="9" width="22.7109375" style="221" customWidth="1"/>
    <col min="10" max="10" width="15.28515625" style="221" customWidth="1"/>
    <col min="11" max="11" width="5.7109375" style="222" customWidth="1"/>
    <col min="12" max="14" width="5.7109375" style="221" customWidth="1"/>
    <col min="15" max="15" width="8.28515625" style="223" bestFit="1" customWidth="1"/>
    <col min="16" max="16" width="13.7109375" style="223" bestFit="1" customWidth="1"/>
    <col min="17" max="17" width="18.42578125" style="223" bestFit="1" customWidth="1"/>
    <col min="18" max="18" width="11.42578125" style="223"/>
    <col min="19" max="19" width="7.85546875" style="223" bestFit="1" customWidth="1"/>
    <col min="20" max="20" width="6.7109375" style="223" bestFit="1" customWidth="1"/>
    <col min="21" max="21" width="7.28515625" style="223" bestFit="1" customWidth="1"/>
    <col min="22" max="22" width="6.7109375" style="223" bestFit="1" customWidth="1"/>
    <col min="23" max="16384" width="11.42578125" style="221"/>
  </cols>
  <sheetData>
    <row r="1" spans="2:22" ht="15.75" customHeight="1" x14ac:dyDescent="0.25"/>
    <row r="2" spans="2:22" ht="15" customHeight="1" x14ac:dyDescent="0.25">
      <c r="B2" s="221"/>
      <c r="P2" s="254"/>
      <c r="Q2" s="255"/>
    </row>
    <row r="3" spans="2:22" ht="15.75" customHeight="1" x14ac:dyDescent="0.25">
      <c r="P3" s="254"/>
      <c r="Q3" s="256"/>
    </row>
    <row r="5" spans="2:22" x14ac:dyDescent="0.25">
      <c r="P5" s="244"/>
      <c r="Q5" s="900"/>
      <c r="R5" s="900"/>
      <c r="S5" s="244"/>
    </row>
    <row r="6" spans="2:22" x14ac:dyDescent="0.25">
      <c r="P6" s="245"/>
      <c r="Q6" s="245"/>
      <c r="R6" s="245"/>
      <c r="S6" s="229"/>
    </row>
    <row r="7" spans="2:22" x14ac:dyDescent="0.25">
      <c r="O7" s="244"/>
      <c r="P7" s="257"/>
      <c r="Q7" s="265"/>
      <c r="S7" s="229"/>
    </row>
    <row r="8" spans="2:22" ht="12.95" customHeight="1" thickBot="1" x14ac:dyDescent="0.3">
      <c r="P8" s="245"/>
      <c r="Q8" s="245"/>
      <c r="R8" s="245"/>
      <c r="S8" s="229"/>
    </row>
    <row r="9" spans="2:22" ht="15" customHeight="1" thickBot="1" x14ac:dyDescent="0.3">
      <c r="D9" s="887" t="s">
        <v>19</v>
      </c>
      <c r="E9" s="888"/>
      <c r="F9" s="888"/>
      <c r="G9" s="888"/>
      <c r="H9" s="889"/>
      <c r="I9" s="890"/>
      <c r="J9" s="246"/>
    </row>
    <row r="10" spans="2:22" ht="15" customHeight="1" thickTop="1" thickBot="1" x14ac:dyDescent="0.3">
      <c r="B10" s="236" t="s">
        <v>115</v>
      </c>
      <c r="D10" s="704" t="s">
        <v>14</v>
      </c>
      <c r="E10" s="705" t="s">
        <v>15</v>
      </c>
      <c r="F10" s="709" t="s">
        <v>16</v>
      </c>
      <c r="G10" s="706" t="s">
        <v>109</v>
      </c>
      <c r="H10" s="674" t="s">
        <v>61</v>
      </c>
      <c r="I10" s="642" t="s">
        <v>65</v>
      </c>
      <c r="L10" s="247"/>
    </row>
    <row r="11" spans="2:22" ht="15" customHeight="1" thickBot="1" x14ac:dyDescent="0.3">
      <c r="D11" s="746">
        <f ca="1">C19</f>
        <v>0</v>
      </c>
      <c r="E11" s="747">
        <f ca="1">D19</f>
        <v>0</v>
      </c>
      <c r="F11" s="748">
        <f ca="1">E19</f>
        <v>0</v>
      </c>
      <c r="G11" s="726">
        <f ca="1">G19</f>
        <v>0</v>
      </c>
      <c r="H11" s="745">
        <f ca="1">H19</f>
        <v>0</v>
      </c>
      <c r="I11" s="744">
        <f ca="1">I19</f>
        <v>0</v>
      </c>
      <c r="K11" s="248"/>
    </row>
    <row r="12" spans="2:22" ht="12.95" customHeight="1" thickTop="1" thickBot="1" x14ac:dyDescent="0.3">
      <c r="B12" s="249"/>
      <c r="E12" s="250"/>
      <c r="F12" s="251"/>
      <c r="G12" s="247"/>
      <c r="H12" s="247"/>
    </row>
    <row r="13" spans="2:22" ht="15" customHeight="1" thickBot="1" x14ac:dyDescent="0.3">
      <c r="B13" s="236" t="s">
        <v>18</v>
      </c>
      <c r="D13" s="887" t="s">
        <v>21</v>
      </c>
      <c r="E13" s="888"/>
      <c r="F13" s="888"/>
      <c r="G13" s="888"/>
      <c r="H13" s="889"/>
      <c r="I13" s="890"/>
      <c r="J13" s="246"/>
      <c r="Q13" s="244"/>
      <c r="R13" s="244"/>
    </row>
    <row r="14" spans="2:22" ht="15" customHeight="1" thickTop="1" thickBot="1" x14ac:dyDescent="0.3">
      <c r="B14" s="237" t="s">
        <v>11</v>
      </c>
      <c r="D14" s="704" t="s">
        <v>14</v>
      </c>
      <c r="E14" s="705" t="s">
        <v>15</v>
      </c>
      <c r="F14" s="709" t="s">
        <v>16</v>
      </c>
      <c r="G14" s="706" t="s">
        <v>109</v>
      </c>
      <c r="H14" s="674" t="s">
        <v>62</v>
      </c>
      <c r="I14" s="642" t="s">
        <v>65</v>
      </c>
      <c r="P14" s="244"/>
      <c r="Q14" s="266"/>
      <c r="R14" s="266"/>
    </row>
    <row r="15" spans="2:22" ht="15" customHeight="1" thickBot="1" x14ac:dyDescent="0.3">
      <c r="B15" s="249"/>
      <c r="D15" s="746">
        <f>IFERROR(VLOOKUP(B14,B17:E31,2,FALSE),"")</f>
        <v>0</v>
      </c>
      <c r="E15" s="749">
        <f>IFERROR(VLOOKUP(B14,B17:E31,3,FALSE),"")</f>
        <v>0</v>
      </c>
      <c r="F15" s="748">
        <f>IFERROR(VLOOKUP(B14,B17:E31,4,FALSE),"")</f>
        <v>0</v>
      </c>
      <c r="G15" s="726">
        <f>IFERROR(VLOOKUP(B14,B17:G31,6,FALSE),"")</f>
        <v>0</v>
      </c>
      <c r="H15" s="745">
        <f>IFERROR(VLOOKUP(B14,B17:I31,7,FALSE),"")</f>
        <v>0</v>
      </c>
      <c r="I15" s="744">
        <f>IFERROR(VLOOKUP(B14,B17:I31,8,FALSE),"")</f>
        <v>0</v>
      </c>
      <c r="P15" s="244"/>
      <c r="Q15" s="266"/>
      <c r="R15" s="266"/>
    </row>
    <row r="16" spans="2:22" ht="12.95" customHeight="1" thickTop="1" thickBot="1" x14ac:dyDescent="0.3">
      <c r="P16" s="259"/>
      <c r="U16" s="228"/>
      <c r="V16" s="228"/>
    </row>
    <row r="17" spans="2:22" ht="15" customHeight="1" thickTop="1" x14ac:dyDescent="0.25">
      <c r="B17" s="228"/>
      <c r="C17" s="659" t="s">
        <v>14</v>
      </c>
      <c r="D17" s="660" t="s">
        <v>15</v>
      </c>
      <c r="E17" s="661" t="s">
        <v>16</v>
      </c>
      <c r="F17" s="881" t="s">
        <v>20</v>
      </c>
      <c r="G17" s="882"/>
      <c r="H17" s="893" t="s">
        <v>61</v>
      </c>
      <c r="I17" s="885" t="s">
        <v>65</v>
      </c>
      <c r="M17" s="244"/>
      <c r="N17" s="245"/>
      <c r="P17" s="231"/>
      <c r="Q17" s="232"/>
      <c r="R17" s="232"/>
      <c r="T17" s="231"/>
      <c r="U17" s="232"/>
      <c r="V17" s="232"/>
    </row>
    <row r="18" spans="2:22" ht="15" customHeight="1" thickBot="1" x14ac:dyDescent="0.3">
      <c r="B18" s="252"/>
      <c r="C18" s="662" t="s">
        <v>59</v>
      </c>
      <c r="D18" s="663" t="s">
        <v>59</v>
      </c>
      <c r="E18" s="664" t="s">
        <v>59</v>
      </c>
      <c r="F18" s="665" t="s">
        <v>17</v>
      </c>
      <c r="G18" s="666" t="s">
        <v>59</v>
      </c>
      <c r="H18" s="894"/>
      <c r="I18" s="886"/>
      <c r="M18" s="244"/>
      <c r="N18" s="245"/>
      <c r="P18" s="231"/>
      <c r="Q18" s="226"/>
      <c r="R18" s="226"/>
      <c r="T18" s="231"/>
      <c r="U18" s="226"/>
      <c r="V18" s="226"/>
    </row>
    <row r="19" spans="2:22" ht="15" customHeight="1" thickBot="1" x14ac:dyDescent="0.3">
      <c r="B19" s="260"/>
      <c r="C19" s="667">
        <f ca="1">SUM(OFFSET(C20,0,0,MATCH(B14,B20:B31,0)))</f>
        <v>0</v>
      </c>
      <c r="D19" s="668">
        <f ca="1">SUM(OFFSET(D20,0,0,MATCH(B14,B20:B31,0)))</f>
        <v>0</v>
      </c>
      <c r="E19" s="668">
        <f ca="1">SUM(OFFSET(E20,0,0,MATCH(B14,B20:B31,0)))</f>
        <v>0</v>
      </c>
      <c r="F19" s="703" t="e">
        <f ca="1">SUM((E19-D19)/D19)</f>
        <v>#DIV/0!</v>
      </c>
      <c r="G19" s="671">
        <f ca="1">SUM(OFFSET(G20,0,0,MATCH(B14,B20:B31,0)))</f>
        <v>0</v>
      </c>
      <c r="H19" s="743">
        <f ca="1">SUM(OFFSET(H20,0,0,MATCH(B14,B20:B31,0)))</f>
        <v>0</v>
      </c>
      <c r="I19" s="740">
        <f ca="1">SUM(OFFSET(I20,0,0,MATCH(B14,B20:B31,0)))</f>
        <v>0</v>
      </c>
    </row>
    <row r="20" spans="2:22" ht="14.85" customHeight="1" x14ac:dyDescent="0.25">
      <c r="B20" s="682" t="s">
        <v>6</v>
      </c>
      <c r="C20" s="688">
        <f>'Saisie CA'!G33</f>
        <v>0</v>
      </c>
      <c r="D20" s="677">
        <f>'Saisie CA'!H33</f>
        <v>0</v>
      </c>
      <c r="E20" s="678">
        <f>'Saisie CA'!I33</f>
        <v>0</v>
      </c>
      <c r="F20" s="238" t="e">
        <f t="shared" ref="F20:F31" si="0">SUM((E20-D20)/D20)</f>
        <v>#DIV/0!</v>
      </c>
      <c r="G20" s="689">
        <f t="shared" ref="G20:G31" si="1">SUM(E20-D20)</f>
        <v>0</v>
      </c>
      <c r="H20" s="783">
        <f>SUM(C20+D20)/2</f>
        <v>0</v>
      </c>
      <c r="I20" s="784">
        <f t="shared" ref="I20:I31" si="2">SUM(E20-H20)</f>
        <v>0</v>
      </c>
      <c r="P20" s="225"/>
      <c r="Q20" s="226"/>
      <c r="R20" s="226"/>
      <c r="T20" s="225"/>
      <c r="U20" s="226"/>
      <c r="V20" s="226"/>
    </row>
    <row r="21" spans="2:22" ht="14.85" customHeight="1" x14ac:dyDescent="0.25">
      <c r="B21" s="683" t="s">
        <v>7</v>
      </c>
      <c r="C21" s="690">
        <f>'Saisie CA'!G34</f>
        <v>0</v>
      </c>
      <c r="D21" s="680">
        <f>'Saisie CA'!H34</f>
        <v>0</v>
      </c>
      <c r="E21" s="681">
        <f>'Saisie CA'!I34</f>
        <v>0</v>
      </c>
      <c r="F21" s="239" t="e">
        <f t="shared" si="0"/>
        <v>#DIV/0!</v>
      </c>
      <c r="G21" s="691">
        <f t="shared" si="1"/>
        <v>0</v>
      </c>
      <c r="H21" s="785">
        <f t="shared" ref="H21:H31" si="3">SUM(C21+D21)/2</f>
        <v>0</v>
      </c>
      <c r="I21" s="754">
        <f t="shared" si="2"/>
        <v>0</v>
      </c>
      <c r="P21" s="228"/>
      <c r="Q21" s="229"/>
      <c r="R21" s="229"/>
      <c r="T21" s="228"/>
      <c r="U21" s="229"/>
      <c r="V21" s="229"/>
    </row>
    <row r="22" spans="2:22" ht="14.85" customHeight="1" x14ac:dyDescent="0.25">
      <c r="B22" s="683" t="s">
        <v>8</v>
      </c>
      <c r="C22" s="690">
        <f>'Saisie CA'!G35</f>
        <v>0</v>
      </c>
      <c r="D22" s="680">
        <f>'Saisie CA'!H35</f>
        <v>0</v>
      </c>
      <c r="E22" s="681">
        <f>'Saisie CA'!I35</f>
        <v>0</v>
      </c>
      <c r="F22" s="239" t="e">
        <f t="shared" si="0"/>
        <v>#DIV/0!</v>
      </c>
      <c r="G22" s="691">
        <f t="shared" si="1"/>
        <v>0</v>
      </c>
      <c r="H22" s="785">
        <f t="shared" si="3"/>
        <v>0</v>
      </c>
      <c r="I22" s="754">
        <f t="shared" si="2"/>
        <v>0</v>
      </c>
      <c r="P22" s="228"/>
      <c r="Q22" s="230"/>
    </row>
    <row r="23" spans="2:22" ht="14.85" customHeight="1" x14ac:dyDescent="0.25">
      <c r="B23" s="683" t="s">
        <v>9</v>
      </c>
      <c r="C23" s="690">
        <f>'Saisie CA'!G36</f>
        <v>0</v>
      </c>
      <c r="D23" s="680">
        <f>'Saisie CA'!H36</f>
        <v>0</v>
      </c>
      <c r="E23" s="681">
        <f>'Saisie CA'!I36</f>
        <v>0</v>
      </c>
      <c r="F23" s="239" t="e">
        <f t="shared" si="0"/>
        <v>#DIV/0!</v>
      </c>
      <c r="G23" s="691">
        <f t="shared" si="1"/>
        <v>0</v>
      </c>
      <c r="H23" s="785">
        <f t="shared" si="3"/>
        <v>0</v>
      </c>
      <c r="I23" s="754">
        <f t="shared" si="2"/>
        <v>0</v>
      </c>
      <c r="P23" s="228"/>
      <c r="Q23" s="229"/>
      <c r="R23" s="229"/>
      <c r="U23" s="228"/>
      <c r="V23" s="228"/>
    </row>
    <row r="24" spans="2:22" ht="14.85" customHeight="1" x14ac:dyDescent="0.25">
      <c r="B24" s="683" t="s">
        <v>10</v>
      </c>
      <c r="C24" s="690">
        <f>'Saisie CA'!G37</f>
        <v>0</v>
      </c>
      <c r="D24" s="680">
        <f>'Saisie CA'!H37</f>
        <v>0</v>
      </c>
      <c r="E24" s="681">
        <f>'Saisie CA'!I37</f>
        <v>0</v>
      </c>
      <c r="F24" s="239" t="e">
        <f t="shared" si="0"/>
        <v>#DIV/0!</v>
      </c>
      <c r="G24" s="691">
        <f t="shared" si="1"/>
        <v>0</v>
      </c>
      <c r="H24" s="785">
        <f t="shared" si="3"/>
        <v>0</v>
      </c>
      <c r="I24" s="754">
        <f t="shared" si="2"/>
        <v>0</v>
      </c>
      <c r="P24" s="228"/>
      <c r="Q24" s="229"/>
      <c r="R24" s="229"/>
      <c r="T24" s="231"/>
      <c r="U24" s="232"/>
      <c r="V24" s="232"/>
    </row>
    <row r="25" spans="2:22" ht="14.85" customHeight="1" x14ac:dyDescent="0.25">
      <c r="B25" s="683" t="s">
        <v>11</v>
      </c>
      <c r="C25" s="690">
        <f>'Saisie CA'!G38</f>
        <v>0</v>
      </c>
      <c r="D25" s="680">
        <f>'Saisie CA'!H38</f>
        <v>0</v>
      </c>
      <c r="E25" s="681">
        <f>'Saisie CA'!I38</f>
        <v>0</v>
      </c>
      <c r="F25" s="239" t="e">
        <f t="shared" si="0"/>
        <v>#DIV/0!</v>
      </c>
      <c r="G25" s="691">
        <f t="shared" si="1"/>
        <v>0</v>
      </c>
      <c r="H25" s="785">
        <f t="shared" si="3"/>
        <v>0</v>
      </c>
      <c r="I25" s="754">
        <f t="shared" si="2"/>
        <v>0</v>
      </c>
      <c r="P25" s="228"/>
      <c r="Q25" s="229"/>
      <c r="R25" s="229"/>
      <c r="T25" s="231"/>
      <c r="U25" s="226"/>
      <c r="V25" s="226"/>
    </row>
    <row r="26" spans="2:22" ht="14.85" customHeight="1" x14ac:dyDescent="0.25">
      <c r="B26" s="683" t="s">
        <v>12</v>
      </c>
      <c r="C26" s="690">
        <f>'Saisie CA'!G39</f>
        <v>0</v>
      </c>
      <c r="D26" s="680">
        <f>'Saisie CA'!H39</f>
        <v>0</v>
      </c>
      <c r="E26" s="681">
        <f>'Saisie CA'!I39</f>
        <v>0</v>
      </c>
      <c r="F26" s="239" t="e">
        <f t="shared" si="0"/>
        <v>#DIV/0!</v>
      </c>
      <c r="G26" s="691">
        <f t="shared" si="1"/>
        <v>0</v>
      </c>
      <c r="H26" s="785">
        <f t="shared" si="3"/>
        <v>0</v>
      </c>
      <c r="I26" s="754">
        <f t="shared" si="2"/>
        <v>0</v>
      </c>
      <c r="P26" s="228"/>
      <c r="Q26" s="229"/>
      <c r="R26" s="229"/>
      <c r="T26" s="225"/>
      <c r="U26" s="226"/>
      <c r="V26" s="226"/>
    </row>
    <row r="27" spans="2:22" ht="14.85" customHeight="1" x14ac:dyDescent="0.25">
      <c r="B27" s="683" t="s">
        <v>13</v>
      </c>
      <c r="C27" s="690">
        <f>'Saisie CA'!G40</f>
        <v>0</v>
      </c>
      <c r="D27" s="680">
        <f>'Saisie CA'!H40</f>
        <v>0</v>
      </c>
      <c r="E27" s="681">
        <f>'Saisie CA'!I40</f>
        <v>0</v>
      </c>
      <c r="F27" s="239" t="e">
        <f t="shared" si="0"/>
        <v>#DIV/0!</v>
      </c>
      <c r="G27" s="691">
        <f t="shared" si="1"/>
        <v>0</v>
      </c>
      <c r="H27" s="785">
        <f t="shared" si="3"/>
        <v>0</v>
      </c>
      <c r="I27" s="754">
        <f t="shared" si="2"/>
        <v>0</v>
      </c>
      <c r="Q27" s="229"/>
      <c r="T27" s="228"/>
      <c r="U27" s="229"/>
      <c r="V27" s="229"/>
    </row>
    <row r="28" spans="2:22" ht="14.85" customHeight="1" x14ac:dyDescent="0.25">
      <c r="B28" s="683" t="s">
        <v>2</v>
      </c>
      <c r="C28" s="690">
        <f>'Saisie CA'!G41</f>
        <v>0</v>
      </c>
      <c r="D28" s="680">
        <f>'Saisie CA'!H41</f>
        <v>0</v>
      </c>
      <c r="E28" s="681">
        <f>'Saisie CA'!I41</f>
        <v>0</v>
      </c>
      <c r="F28" s="239" t="e">
        <f t="shared" si="0"/>
        <v>#DIV/0!</v>
      </c>
      <c r="G28" s="691">
        <f t="shared" si="1"/>
        <v>0</v>
      </c>
      <c r="H28" s="785">
        <f t="shared" si="3"/>
        <v>0</v>
      </c>
      <c r="I28" s="754">
        <f t="shared" si="2"/>
        <v>0</v>
      </c>
      <c r="Q28" s="229"/>
      <c r="T28" s="230"/>
    </row>
    <row r="29" spans="2:22" ht="14.85" customHeight="1" x14ac:dyDescent="0.25">
      <c r="B29" s="683" t="s">
        <v>3</v>
      </c>
      <c r="C29" s="690">
        <f>'Saisie CA'!G42</f>
        <v>0</v>
      </c>
      <c r="D29" s="680">
        <f>'Saisie CA'!H42</f>
        <v>0</v>
      </c>
      <c r="E29" s="681">
        <f>'Saisie CA'!I42</f>
        <v>0</v>
      </c>
      <c r="F29" s="239" t="e">
        <f t="shared" si="0"/>
        <v>#DIV/0!</v>
      </c>
      <c r="G29" s="691">
        <f t="shared" si="1"/>
        <v>0</v>
      </c>
      <c r="H29" s="785">
        <f t="shared" si="3"/>
        <v>0</v>
      </c>
      <c r="I29" s="754">
        <f t="shared" si="2"/>
        <v>0</v>
      </c>
      <c r="Q29" s="229"/>
      <c r="T29" s="230"/>
    </row>
    <row r="30" spans="2:22" ht="14.85" customHeight="1" x14ac:dyDescent="0.25">
      <c r="B30" s="683" t="s">
        <v>4</v>
      </c>
      <c r="C30" s="690">
        <f>'Saisie CA'!G43</f>
        <v>0</v>
      </c>
      <c r="D30" s="680">
        <f>'Saisie CA'!H43</f>
        <v>0</v>
      </c>
      <c r="E30" s="681">
        <f>'Saisie CA'!I43</f>
        <v>0</v>
      </c>
      <c r="F30" s="239" t="e">
        <f t="shared" si="0"/>
        <v>#DIV/0!</v>
      </c>
      <c r="G30" s="691">
        <f t="shared" si="1"/>
        <v>0</v>
      </c>
      <c r="H30" s="785">
        <f t="shared" si="3"/>
        <v>0</v>
      </c>
      <c r="I30" s="754">
        <f t="shared" si="2"/>
        <v>0</v>
      </c>
      <c r="Q30" s="233"/>
    </row>
    <row r="31" spans="2:22" ht="14.85" customHeight="1" thickBot="1" x14ac:dyDescent="0.3">
      <c r="B31" s="684" t="s">
        <v>5</v>
      </c>
      <c r="C31" s="692">
        <f>'Saisie CA'!G44</f>
        <v>0</v>
      </c>
      <c r="D31" s="693">
        <f>'Saisie CA'!H44</f>
        <v>0</v>
      </c>
      <c r="E31" s="694">
        <f>'Saisie CA'!I44</f>
        <v>0</v>
      </c>
      <c r="F31" s="695" t="e">
        <f t="shared" si="0"/>
        <v>#DIV/0!</v>
      </c>
      <c r="G31" s="696">
        <f t="shared" si="1"/>
        <v>0</v>
      </c>
      <c r="H31" s="786">
        <f t="shared" si="3"/>
        <v>0</v>
      </c>
      <c r="I31" s="755">
        <f t="shared" si="2"/>
        <v>0</v>
      </c>
    </row>
  </sheetData>
  <mergeCells count="6">
    <mergeCell ref="Q5:R5"/>
    <mergeCell ref="H17:H18"/>
    <mergeCell ref="I17:I18"/>
    <mergeCell ref="F17:G17"/>
    <mergeCell ref="D9:I9"/>
    <mergeCell ref="D13:I13"/>
  </mergeCells>
  <conditionalFormatting sqref="P7">
    <cfRule type="cellIs" dxfId="238" priority="16" operator="lessThan">
      <formula>$Q$6&lt;$P$6</formula>
    </cfRule>
    <cfRule type="cellIs" dxfId="237" priority="17" operator="lessThan">
      <formula>0</formula>
    </cfRule>
  </conditionalFormatting>
  <conditionalFormatting sqref="S6">
    <cfRule type="cellIs" dxfId="236" priority="13" operator="lessThan">
      <formula>0</formula>
    </cfRule>
    <cfRule type="cellIs" dxfId="235" priority="14" operator="lessThan">
      <formula>0</formula>
    </cfRule>
    <cfRule type="cellIs" dxfId="234" priority="15" operator="lessThan">
      <formula>0</formula>
    </cfRule>
  </conditionalFormatting>
  <conditionalFormatting sqref="I11 I15">
    <cfRule type="cellIs" dxfId="233" priority="11" operator="lessThan">
      <formula>0</formula>
    </cfRule>
    <cfRule type="cellIs" dxfId="232" priority="12" operator="greaterThan">
      <formula>0</formula>
    </cfRule>
  </conditionalFormatting>
  <conditionalFormatting sqref="G11 G15">
    <cfRule type="cellIs" dxfId="231" priority="5" operator="lessThan">
      <formula>0</formula>
    </cfRule>
    <cfRule type="cellIs" dxfId="230" priority="6" operator="greaterThan">
      <formula>0</formula>
    </cfRule>
  </conditionalFormatting>
  <conditionalFormatting sqref="F20:G31">
    <cfRule type="cellIs" dxfId="229" priority="9" operator="lessThan">
      <formula>0</formula>
    </cfRule>
    <cfRule type="cellIs" dxfId="228" priority="10" operator="greaterThan">
      <formula>0</formula>
    </cfRule>
  </conditionalFormatting>
  <conditionalFormatting sqref="F19:G19">
    <cfRule type="cellIs" dxfId="227" priority="3" operator="lessThan">
      <formula>0</formula>
    </cfRule>
    <cfRule type="cellIs" dxfId="226" priority="4" operator="greaterThan">
      <formula>0</formula>
    </cfRule>
  </conditionalFormatting>
  <conditionalFormatting sqref="I20:I31">
    <cfRule type="cellIs" dxfId="225" priority="7" operator="lessThan">
      <formula>0</formula>
    </cfRule>
    <cfRule type="cellIs" dxfId="224" priority="8" operator="greaterThan">
      <formula>0</formula>
    </cfRule>
  </conditionalFormatting>
  <conditionalFormatting sqref="I19">
    <cfRule type="cellIs" dxfId="223" priority="1" operator="lessThan">
      <formula>0</formula>
    </cfRule>
    <cfRule type="cellIs" dxfId="222" priority="2" operator="greaterThan">
      <formula>0</formula>
    </cfRule>
  </conditionalFormatting>
  <dataValidations count="1">
    <dataValidation type="list" allowBlank="1" showInputMessage="1" showErrorMessage="1" sqref="B14">
      <formula1>$B$20:$B$32</formula1>
    </dataValidation>
  </dataValidations>
  <printOptions horizontalCentered="1"/>
  <pageMargins left="0" right="0" top="0" bottom="0" header="0" footer="0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B1:O101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5" x14ac:dyDescent="0.25"/>
  <cols>
    <col min="1" max="1" width="5.7109375" style="21" customWidth="1"/>
    <col min="2" max="2" width="20.28515625" style="21" bestFit="1" customWidth="1"/>
    <col min="3" max="3" width="15.28515625" style="21" customWidth="1"/>
    <col min="4" max="4" width="15.7109375" style="21" customWidth="1"/>
    <col min="5" max="5" width="15.28515625" style="21" customWidth="1"/>
    <col min="6" max="6" width="24" style="21" bestFit="1" customWidth="1"/>
    <col min="7" max="10" width="15.28515625" style="21" customWidth="1"/>
    <col min="11" max="16384" width="11.42578125" style="21"/>
  </cols>
  <sheetData>
    <row r="1" spans="2:15" ht="15.75" customHeight="1" x14ac:dyDescent="0.25">
      <c r="M1" s="876"/>
      <c r="N1" s="876"/>
    </row>
    <row r="2" spans="2:15" ht="15.75" customHeight="1" x14ac:dyDescent="0.25"/>
    <row r="3" spans="2:15" ht="15.75" customHeight="1" x14ac:dyDescent="0.25"/>
    <row r="4" spans="2:15" ht="15.75" customHeight="1" x14ac:dyDescent="0.25"/>
    <row r="5" spans="2:15" ht="15.75" customHeight="1" x14ac:dyDescent="0.25"/>
    <row r="6" spans="2:15" ht="15.75" customHeight="1" x14ac:dyDescent="0.25"/>
    <row r="7" spans="2:15" ht="15.75" customHeight="1" x14ac:dyDescent="0.25"/>
    <row r="8" spans="2:15" ht="15.75" customHeight="1" x14ac:dyDescent="0.25"/>
    <row r="9" spans="2:15" ht="12.95" customHeight="1" thickBot="1" x14ac:dyDescent="0.3"/>
    <row r="10" spans="2:15" ht="16.5" customHeight="1" thickBot="1" x14ac:dyDescent="0.3">
      <c r="B10" s="83" t="s">
        <v>18</v>
      </c>
      <c r="C10" s="29" t="s">
        <v>11</v>
      </c>
      <c r="D10" s="89"/>
    </row>
    <row r="11" spans="2:15" ht="15.75" customHeight="1" x14ac:dyDescent="0.25">
      <c r="B11" s="26"/>
      <c r="D11" s="28"/>
      <c r="E11" s="27"/>
      <c r="I11" s="28"/>
    </row>
    <row r="12" spans="2:15" ht="20.100000000000001" customHeight="1" x14ac:dyDescent="0.25">
      <c r="B12" s="33"/>
      <c r="C12" s="878" t="s">
        <v>1</v>
      </c>
      <c r="D12" s="878"/>
      <c r="E12" s="878"/>
      <c r="F12" s="878"/>
      <c r="G12" s="878"/>
      <c r="H12" s="878"/>
      <c r="I12" s="77"/>
      <c r="J12" s="33"/>
      <c r="L12" s="72"/>
      <c r="M12" s="72"/>
      <c r="N12" s="72"/>
      <c r="O12" s="72"/>
    </row>
    <row r="13" spans="2:15" ht="15.75" customHeight="1" x14ac:dyDescent="0.25">
      <c r="B13" s="896" t="str">
        <f>C10</f>
        <v>Juillet</v>
      </c>
      <c r="C13" s="896"/>
      <c r="D13" s="30"/>
      <c r="E13" s="30"/>
      <c r="F13" s="30"/>
      <c r="G13" s="30"/>
      <c r="H13" s="30"/>
      <c r="I13" s="30"/>
    </row>
    <row r="14" spans="2:15" ht="15" customHeight="1" x14ac:dyDescent="0.25">
      <c r="I14" s="31"/>
    </row>
    <row r="15" spans="2:15" x14ac:dyDescent="0.25">
      <c r="B15" s="877" t="s">
        <v>34</v>
      </c>
      <c r="C15" s="877"/>
      <c r="I15" s="31"/>
    </row>
    <row r="16" spans="2:15" ht="15" customHeight="1" x14ac:dyDescent="0.25"/>
    <row r="17" spans="2:8" ht="15" customHeight="1" x14ac:dyDescent="0.25">
      <c r="G17" s="34"/>
      <c r="H17" s="31"/>
    </row>
    <row r="18" spans="2:8" ht="15" customHeight="1" x14ac:dyDescent="0.25">
      <c r="B18" s="877" t="s">
        <v>107</v>
      </c>
      <c r="C18" s="877"/>
    </row>
    <row r="19" spans="2:8" ht="15" customHeight="1" x14ac:dyDescent="0.25"/>
    <row r="20" spans="2:8" x14ac:dyDescent="0.25">
      <c r="B20" s="31"/>
      <c r="C20" s="31"/>
    </row>
    <row r="21" spans="2:8" ht="24.95" customHeight="1" x14ac:dyDescent="0.25">
      <c r="B21" s="876" t="s">
        <v>35</v>
      </c>
      <c r="C21" s="876"/>
    </row>
    <row r="22" spans="2:8" ht="15" customHeight="1" x14ac:dyDescent="0.25">
      <c r="C22" s="636" t="e">
        <f>CHOOSE(calculs!R58,calculs!$I$69,calculs!$I$70,calculs!$I$71)</f>
        <v>#DIV/0!</v>
      </c>
    </row>
    <row r="23" spans="2:8" x14ac:dyDescent="0.25">
      <c r="F23" s="75"/>
    </row>
    <row r="24" spans="2:8" x14ac:dyDescent="0.25">
      <c r="D24" s="22"/>
    </row>
    <row r="25" spans="2:8" x14ac:dyDescent="0.25">
      <c r="C25" s="74"/>
      <c r="G25" s="74"/>
    </row>
    <row r="26" spans="2:8" x14ac:dyDescent="0.25">
      <c r="F26" s="75"/>
    </row>
    <row r="27" spans="2:8" x14ac:dyDescent="0.25">
      <c r="B27" s="75" t="s">
        <v>70</v>
      </c>
    </row>
    <row r="28" spans="2:8" x14ac:dyDescent="0.25">
      <c r="C28" s="74"/>
      <c r="G28" s="74"/>
    </row>
    <row r="30" spans="2:8" x14ac:dyDescent="0.25">
      <c r="B30" s="75" t="s">
        <v>69</v>
      </c>
    </row>
    <row r="33" spans="2:9" s="72" customFormat="1" ht="15" customHeight="1" x14ac:dyDescent="0.25">
      <c r="B33" s="35"/>
      <c r="C33" s="875" t="s">
        <v>110</v>
      </c>
      <c r="D33" s="875"/>
      <c r="E33" s="77"/>
      <c r="F33" s="77"/>
      <c r="G33" s="77"/>
      <c r="H33" s="77"/>
      <c r="I33" s="77"/>
    </row>
    <row r="34" spans="2:9" s="72" customFormat="1" ht="15" customHeight="1" x14ac:dyDescent="0.25">
      <c r="B34" s="822" t="str">
        <f>C10</f>
        <v>Juillet</v>
      </c>
      <c r="D34" s="636" t="e">
        <f ca="1">CHOOSE(calculs!D97,calculs!$I$69,calculs!$I$70,calculs!$I$71)</f>
        <v>#DIV/0!</v>
      </c>
    </row>
    <row r="35" spans="2:9" s="72" customFormat="1" x14ac:dyDescent="0.25"/>
    <row r="37" spans="2:9" s="72" customFormat="1" ht="20.100000000000001" customHeight="1" x14ac:dyDescent="0.25"/>
    <row r="38" spans="2:9" s="72" customFormat="1" ht="15" customHeight="1" x14ac:dyDescent="0.25"/>
    <row r="39" spans="2:9" s="72" customFormat="1" ht="15" customHeight="1" x14ac:dyDescent="0.25">
      <c r="C39" s="878" t="s">
        <v>117</v>
      </c>
      <c r="D39" s="878"/>
      <c r="E39" s="878"/>
      <c r="F39" s="878"/>
      <c r="G39" s="878"/>
      <c r="H39" s="878"/>
    </row>
    <row r="40" spans="2:9" s="72" customFormat="1" ht="15" customHeight="1" x14ac:dyDescent="0.25">
      <c r="B40" s="896" t="str">
        <f>C10</f>
        <v>Juillet</v>
      </c>
      <c r="C40" s="896"/>
    </row>
    <row r="41" spans="2:9" s="72" customFormat="1" ht="15" customHeight="1" x14ac:dyDescent="0.25"/>
    <row r="42" spans="2:9" s="72" customFormat="1" ht="15" customHeight="1" x14ac:dyDescent="0.25">
      <c r="B42" s="877" t="s">
        <v>34</v>
      </c>
      <c r="C42" s="877"/>
    </row>
    <row r="43" spans="2:9" s="72" customFormat="1" ht="15" customHeight="1" x14ac:dyDescent="0.25"/>
    <row r="44" spans="2:9" s="72" customFormat="1" ht="15" customHeight="1" x14ac:dyDescent="0.25"/>
    <row r="45" spans="2:9" s="72" customFormat="1" ht="15" customHeight="1" x14ac:dyDescent="0.25">
      <c r="B45" s="877" t="s">
        <v>107</v>
      </c>
      <c r="C45" s="877"/>
      <c r="F45" s="74"/>
      <c r="G45" s="74"/>
    </row>
    <row r="46" spans="2:9" s="72" customFormat="1" ht="15" customHeight="1" x14ac:dyDescent="0.25">
      <c r="B46" s="74"/>
      <c r="C46" s="74"/>
      <c r="F46" s="74"/>
      <c r="G46" s="74"/>
    </row>
    <row r="47" spans="2:9" s="72" customFormat="1" ht="15" customHeight="1" x14ac:dyDescent="0.25">
      <c r="C47" s="74"/>
      <c r="G47" s="74"/>
    </row>
    <row r="48" spans="2:9" s="72" customFormat="1" ht="24.95" customHeight="1" x14ac:dyDescent="0.25">
      <c r="B48" s="876" t="s">
        <v>35</v>
      </c>
      <c r="C48" s="876"/>
      <c r="F48" s="74"/>
    </row>
    <row r="49" spans="2:9" s="72" customFormat="1" ht="15" customHeight="1" x14ac:dyDescent="0.25">
      <c r="C49" s="636" t="e">
        <f>CHOOSE(calculs!R4,calculs!$I$69,calculs!$I$70,calculs!$I$71)</f>
        <v>#DIV/0!</v>
      </c>
      <c r="F49" s="74"/>
      <c r="G49" s="74"/>
    </row>
    <row r="50" spans="2:9" s="72" customFormat="1" ht="15" customHeight="1" x14ac:dyDescent="0.25">
      <c r="C50" s="74"/>
      <c r="G50" s="74"/>
    </row>
    <row r="51" spans="2:9" s="72" customFormat="1" ht="15" customHeight="1" x14ac:dyDescent="0.25">
      <c r="F51" s="74"/>
    </row>
    <row r="52" spans="2:9" ht="15" customHeight="1" x14ac:dyDescent="0.25"/>
    <row r="53" spans="2:9" ht="15" customHeight="1" x14ac:dyDescent="0.25"/>
    <row r="54" spans="2:9" x14ac:dyDescent="0.25">
      <c r="B54" s="75" t="s">
        <v>70</v>
      </c>
    </row>
    <row r="55" spans="2:9" ht="15" customHeight="1" x14ac:dyDescent="0.25">
      <c r="C55" s="84"/>
      <c r="D55" s="84"/>
      <c r="E55" s="84"/>
      <c r="F55" s="84"/>
      <c r="G55" s="84"/>
      <c r="H55" s="84"/>
    </row>
    <row r="56" spans="2:9" s="72" customFormat="1" x14ac:dyDescent="0.25"/>
    <row r="57" spans="2:9" s="72" customFormat="1" x14ac:dyDescent="0.25">
      <c r="B57" s="75" t="s">
        <v>69</v>
      </c>
    </row>
    <row r="58" spans="2:9" s="72" customFormat="1" x14ac:dyDescent="0.25"/>
    <row r="59" spans="2:9" s="72" customFormat="1" x14ac:dyDescent="0.25"/>
    <row r="60" spans="2:9" s="72" customFormat="1" ht="18" customHeight="1" x14ac:dyDescent="0.25">
      <c r="B60" s="462"/>
    </row>
    <row r="61" spans="2:9" s="72" customFormat="1" ht="15" customHeight="1" x14ac:dyDescent="0.25">
      <c r="B61" s="35"/>
      <c r="C61" s="875" t="s">
        <v>110</v>
      </c>
      <c r="D61" s="875"/>
      <c r="E61" s="77"/>
      <c r="F61" s="77"/>
      <c r="G61" s="77"/>
      <c r="H61" s="77"/>
      <c r="I61" s="77"/>
    </row>
    <row r="62" spans="2:9" s="72" customFormat="1" ht="15" customHeight="1" x14ac:dyDescent="0.25">
      <c r="B62" s="822" t="str">
        <f>C10</f>
        <v>Juillet</v>
      </c>
      <c r="D62" s="636" t="e">
        <f ca="1">CHOOSE(calculs!F98,calculs!$I$69,calculs!$I$70,calculs!$I$71)</f>
        <v>#DIV/0!</v>
      </c>
    </row>
    <row r="63" spans="2:9" s="72" customFormat="1" x14ac:dyDescent="0.25"/>
    <row r="64" spans="2:9" s="72" customFormat="1" ht="15" customHeight="1" x14ac:dyDescent="0.25"/>
    <row r="65" spans="2:8" s="72" customFormat="1" x14ac:dyDescent="0.25"/>
    <row r="66" spans="2:8" s="72" customFormat="1" x14ac:dyDescent="0.25">
      <c r="F66" s="75"/>
    </row>
    <row r="67" spans="2:8" s="72" customFormat="1" x14ac:dyDescent="0.25"/>
    <row r="68" spans="2:8" s="72" customFormat="1" x14ac:dyDescent="0.25"/>
    <row r="69" spans="2:8" s="72" customFormat="1" x14ac:dyDescent="0.25">
      <c r="F69" s="75"/>
    </row>
    <row r="75" spans="2:8" s="72" customFormat="1" x14ac:dyDescent="0.25"/>
    <row r="76" spans="2:8" s="72" customFormat="1" x14ac:dyDescent="0.25"/>
    <row r="77" spans="2:8" ht="20.25" x14ac:dyDescent="0.25">
      <c r="C77" s="878" t="s">
        <v>118</v>
      </c>
      <c r="D77" s="878"/>
      <c r="E77" s="878"/>
      <c r="F77" s="878"/>
      <c r="G77" s="878"/>
      <c r="H77" s="878"/>
    </row>
    <row r="78" spans="2:8" ht="15.75" x14ac:dyDescent="0.25">
      <c r="B78" s="896" t="str">
        <f>C10</f>
        <v>Juillet</v>
      </c>
      <c r="C78" s="896"/>
    </row>
    <row r="80" spans="2:8" x14ac:dyDescent="0.25">
      <c r="B80" s="877" t="s">
        <v>34</v>
      </c>
      <c r="C80" s="877"/>
    </row>
    <row r="83" spans="2:3" ht="15" customHeight="1" x14ac:dyDescent="0.25">
      <c r="B83" s="877" t="s">
        <v>107</v>
      </c>
      <c r="C83" s="877"/>
    </row>
    <row r="86" spans="2:3" ht="24.95" customHeight="1" x14ac:dyDescent="0.25">
      <c r="B86" s="876" t="s">
        <v>35</v>
      </c>
      <c r="C86" s="876"/>
    </row>
    <row r="87" spans="2:3" ht="19.5" x14ac:dyDescent="0.25">
      <c r="C87" s="636" t="e">
        <f>CHOOSE(calculs!R31,calculs!$I$69,calculs!$I$70,calculs!$I$71)</f>
        <v>#DIV/0!</v>
      </c>
    </row>
    <row r="89" spans="2:3" ht="19.5" x14ac:dyDescent="0.25">
      <c r="B89" s="638"/>
      <c r="C89" s="638"/>
    </row>
    <row r="92" spans="2:3" x14ac:dyDescent="0.25">
      <c r="B92" s="144" t="s">
        <v>70</v>
      </c>
    </row>
    <row r="95" spans="2:3" x14ac:dyDescent="0.25">
      <c r="B95" s="144" t="s">
        <v>69</v>
      </c>
    </row>
    <row r="98" spans="2:9" ht="15" customHeight="1" x14ac:dyDescent="0.25">
      <c r="B98" s="462"/>
    </row>
    <row r="100" spans="2:9" s="72" customFormat="1" ht="15" customHeight="1" x14ac:dyDescent="0.25">
      <c r="B100" s="35"/>
      <c r="C100" s="875" t="s">
        <v>110</v>
      </c>
      <c r="D100" s="875"/>
      <c r="E100" s="77"/>
      <c r="F100" s="77"/>
      <c r="G100" s="77"/>
      <c r="H100" s="77"/>
      <c r="I100" s="77"/>
    </row>
    <row r="101" spans="2:9" s="72" customFormat="1" ht="15" customHeight="1" x14ac:dyDescent="0.25">
      <c r="B101" s="822" t="str">
        <f>C10</f>
        <v>Juillet</v>
      </c>
      <c r="D101" s="636" t="e">
        <f ca="1">CHOOSE(calculs!I98,calculs!$I$69,calculs!$I$70,calculs!$I$71)</f>
        <v>#DIV/0!</v>
      </c>
    </row>
  </sheetData>
  <mergeCells count="19">
    <mergeCell ref="M1:N1"/>
    <mergeCell ref="B15:C15"/>
    <mergeCell ref="B21:C21"/>
    <mergeCell ref="C12:H12"/>
    <mergeCell ref="C39:H39"/>
    <mergeCell ref="B13:C13"/>
    <mergeCell ref="B18:C18"/>
    <mergeCell ref="C33:D33"/>
    <mergeCell ref="C100:D100"/>
    <mergeCell ref="B80:C80"/>
    <mergeCell ref="B86:C86"/>
    <mergeCell ref="B42:C42"/>
    <mergeCell ref="B48:C48"/>
    <mergeCell ref="B40:C40"/>
    <mergeCell ref="B78:C78"/>
    <mergeCell ref="C77:H77"/>
    <mergeCell ref="B83:C83"/>
    <mergeCell ref="B45:C45"/>
    <mergeCell ref="C61:D61"/>
  </mergeCells>
  <conditionalFormatting sqref="C22">
    <cfRule type="cellIs" dxfId="221" priority="16" operator="equal">
      <formula>"L"</formula>
    </cfRule>
    <cfRule type="cellIs" dxfId="220" priority="17" operator="equal">
      <formula>"K"</formula>
    </cfRule>
    <cfRule type="cellIs" dxfId="219" priority="18" operator="equal">
      <formula>"J"</formula>
    </cfRule>
  </conditionalFormatting>
  <conditionalFormatting sqref="C49">
    <cfRule type="cellIs" dxfId="218" priority="13" operator="equal">
      <formula>"L"</formula>
    </cfRule>
    <cfRule type="cellIs" dxfId="217" priority="14" operator="equal">
      <formula>"K"</formula>
    </cfRule>
    <cfRule type="cellIs" dxfId="216" priority="15" operator="equal">
      <formula>"J"</formula>
    </cfRule>
  </conditionalFormatting>
  <conditionalFormatting sqref="C87">
    <cfRule type="cellIs" dxfId="215" priority="10" operator="equal">
      <formula>"L"</formula>
    </cfRule>
    <cfRule type="cellIs" dxfId="214" priority="11" operator="equal">
      <formula>"K"</formula>
    </cfRule>
    <cfRule type="cellIs" dxfId="213" priority="12" operator="equal">
      <formula>"J"</formula>
    </cfRule>
  </conditionalFormatting>
  <conditionalFormatting sqref="D34">
    <cfRule type="cellIs" dxfId="212" priority="7" operator="equal">
      <formula>"k"</formula>
    </cfRule>
    <cfRule type="cellIs" dxfId="211" priority="8" operator="equal">
      <formula>"J"</formula>
    </cfRule>
    <cfRule type="cellIs" dxfId="210" priority="9" operator="equal">
      <formula>"L"</formula>
    </cfRule>
  </conditionalFormatting>
  <conditionalFormatting sqref="D62">
    <cfRule type="cellIs" dxfId="209" priority="4" operator="equal">
      <formula>"k"</formula>
    </cfRule>
    <cfRule type="cellIs" dxfId="208" priority="5" operator="equal">
      <formula>"J"</formula>
    </cfRule>
    <cfRule type="cellIs" dxfId="207" priority="6" operator="equal">
      <formula>"L"</formula>
    </cfRule>
  </conditionalFormatting>
  <conditionalFormatting sqref="D101">
    <cfRule type="cellIs" dxfId="206" priority="1" operator="equal">
      <formula>"k"</formula>
    </cfRule>
    <cfRule type="cellIs" dxfId="205" priority="2" operator="equal">
      <formula>"J"</formula>
    </cfRule>
    <cfRule type="cellIs" dxfId="204" priority="3" operator="equal">
      <formula>"L"</formula>
    </cfRule>
  </conditionalFormatting>
  <printOptions horizontalCentered="1" verticalCentered="1"/>
  <pageMargins left="0" right="0" top="0" bottom="0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MAGASINS!$B$20:$B$31</xm:f>
          </x14:formula1>
          <xm:sqref>C10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AB76"/>
  <sheetViews>
    <sheetView workbookViewId="0">
      <pane ySplit="7" topLeftCell="A52" activePane="bottomLeft" state="frozen"/>
      <selection pane="bottomLeft" activeCell="E79" sqref="E79"/>
    </sheetView>
  </sheetViews>
  <sheetFormatPr baseColWidth="10" defaultRowHeight="12" x14ac:dyDescent="0.2"/>
  <cols>
    <col min="1" max="1" width="8.7109375" style="267" bestFit="1" customWidth="1"/>
    <col min="2" max="8" width="10.7109375" style="267" customWidth="1"/>
    <col min="9" max="9" width="11.7109375" style="267" customWidth="1"/>
    <col min="10" max="10" width="10.7109375" style="267" customWidth="1"/>
    <col min="11" max="17" width="11.42578125" style="267"/>
    <col min="18" max="18" width="11.7109375" style="267" customWidth="1"/>
    <col min="19" max="26" width="11.42578125" style="267"/>
    <col min="27" max="27" width="11.7109375" style="267" customWidth="1"/>
    <col min="28" max="16384" width="11.42578125" style="267"/>
  </cols>
  <sheetData>
    <row r="1" spans="1:28" ht="15" customHeight="1" x14ac:dyDescent="0.2"/>
    <row r="2" spans="1:28" ht="15" customHeight="1" x14ac:dyDescent="0.2"/>
    <row r="3" spans="1:28" ht="15" customHeight="1" x14ac:dyDescent="0.2"/>
    <row r="4" spans="1:28" ht="15" customHeight="1" x14ac:dyDescent="0.2"/>
    <row r="5" spans="1:28" ht="15" customHeight="1" x14ac:dyDescent="0.2"/>
    <row r="6" spans="1:28" ht="15" customHeight="1" x14ac:dyDescent="0.2"/>
    <row r="7" spans="1:28" ht="15" customHeight="1" x14ac:dyDescent="0.2"/>
    <row r="8" spans="1:28" ht="15" customHeight="1" x14ac:dyDescent="0.2"/>
    <row r="9" spans="1:28" ht="15.75" customHeight="1" thickBot="1" x14ac:dyDescent="0.25">
      <c r="B9" s="914" t="s">
        <v>112</v>
      </c>
      <c r="C9" s="915"/>
      <c r="D9" s="915"/>
      <c r="E9" s="915"/>
      <c r="F9" s="915"/>
      <c r="G9" s="915"/>
      <c r="H9" s="915"/>
      <c r="I9" s="915"/>
      <c r="J9" s="915"/>
      <c r="K9" s="915"/>
      <c r="L9" s="915"/>
      <c r="M9" s="915"/>
      <c r="N9" s="915"/>
      <c r="O9" s="915"/>
      <c r="P9" s="915"/>
      <c r="Q9" s="915"/>
      <c r="R9" s="915"/>
      <c r="S9" s="915"/>
      <c r="T9" s="915"/>
      <c r="U9" s="915"/>
      <c r="V9" s="915"/>
      <c r="W9" s="915"/>
      <c r="X9" s="915"/>
      <c r="Y9" s="915"/>
      <c r="Z9" s="915"/>
      <c r="AA9" s="915"/>
      <c r="AB9" s="915"/>
    </row>
    <row r="10" spans="1:28" s="269" customFormat="1" ht="15.75" customHeight="1" thickBot="1" x14ac:dyDescent="0.3">
      <c r="A10" s="268"/>
      <c r="B10" s="908" t="s">
        <v>39</v>
      </c>
      <c r="C10" s="909"/>
      <c r="D10" s="909"/>
      <c r="E10" s="909"/>
      <c r="F10" s="909"/>
      <c r="G10" s="909"/>
      <c r="H10" s="909"/>
      <c r="I10" s="909"/>
      <c r="J10" s="910"/>
      <c r="K10" s="908" t="s">
        <v>25</v>
      </c>
      <c r="L10" s="909"/>
      <c r="M10" s="909"/>
      <c r="N10" s="909"/>
      <c r="O10" s="909"/>
      <c r="P10" s="909"/>
      <c r="Q10" s="909"/>
      <c r="R10" s="909"/>
      <c r="S10" s="910"/>
      <c r="T10" s="908" t="s">
        <v>46</v>
      </c>
      <c r="U10" s="909"/>
      <c r="V10" s="909"/>
      <c r="W10" s="909"/>
      <c r="X10" s="909"/>
      <c r="Y10" s="909"/>
      <c r="Z10" s="909"/>
      <c r="AA10" s="909"/>
      <c r="AB10" s="910"/>
    </row>
    <row r="11" spans="1:28" s="269" customFormat="1" x14ac:dyDescent="0.25">
      <c r="A11" s="270"/>
      <c r="B11" s="481">
        <f>SUM(B13:B24)</f>
        <v>0</v>
      </c>
      <c r="C11" s="482">
        <f>SUM(C13:C24)</f>
        <v>0</v>
      </c>
      <c r="D11" s="482">
        <f>SUM(D13:D24)</f>
        <v>0</v>
      </c>
      <c r="E11" s="482">
        <f>SUM(E13:E24)</f>
        <v>0</v>
      </c>
      <c r="F11" s="483" t="e">
        <f>SUM((D11-C11)/C11)</f>
        <v>#DIV/0!</v>
      </c>
      <c r="G11" s="482">
        <f t="shared" ref="G11:J11" si="0">SUM(G13:G24)</f>
        <v>0</v>
      </c>
      <c r="H11" s="482">
        <f t="shared" si="0"/>
        <v>0</v>
      </c>
      <c r="I11" s="472">
        <f t="shared" si="0"/>
        <v>0</v>
      </c>
      <c r="J11" s="473">
        <f t="shared" si="0"/>
        <v>0</v>
      </c>
      <c r="K11" s="484">
        <f>SUM(K13:K24)</f>
        <v>0</v>
      </c>
      <c r="L11" s="482">
        <f>SUM(L13:L24)</f>
        <v>0</v>
      </c>
      <c r="M11" s="482">
        <f>SUM(M13:M24)</f>
        <v>0</v>
      </c>
      <c r="N11" s="482">
        <f>SUM(N13:N24)</f>
        <v>0</v>
      </c>
      <c r="O11" s="483" t="e">
        <f>SUM((M11-L11)/L11)</f>
        <v>#DIV/0!</v>
      </c>
      <c r="P11" s="482">
        <f t="shared" ref="P11:AB11" si="1">SUM(P13:P24)</f>
        <v>0</v>
      </c>
      <c r="Q11" s="482">
        <f t="shared" si="1"/>
        <v>0</v>
      </c>
      <c r="R11" s="472">
        <f t="shared" si="1"/>
        <v>0</v>
      </c>
      <c r="S11" s="473">
        <f t="shared" si="1"/>
        <v>0</v>
      </c>
      <c r="T11" s="479">
        <f t="shared" si="1"/>
        <v>0</v>
      </c>
      <c r="U11" s="472">
        <f t="shared" si="1"/>
        <v>0</v>
      </c>
      <c r="V11" s="472">
        <f t="shared" si="1"/>
        <v>0</v>
      </c>
      <c r="W11" s="472">
        <f t="shared" si="1"/>
        <v>0</v>
      </c>
      <c r="X11" s="498" t="e">
        <f>SUM((V11-U11)/U11)</f>
        <v>#DIV/0!</v>
      </c>
      <c r="Y11" s="472">
        <f t="shared" si="1"/>
        <v>0</v>
      </c>
      <c r="Z11" s="472">
        <f t="shared" si="1"/>
        <v>0</v>
      </c>
      <c r="AA11" s="472">
        <f t="shared" si="1"/>
        <v>0</v>
      </c>
      <c r="AB11" s="473">
        <f t="shared" si="1"/>
        <v>0</v>
      </c>
    </row>
    <row r="12" spans="1:28" s="272" customFormat="1" ht="36.75" thickBot="1" x14ac:dyDescent="0.3">
      <c r="A12" s="271"/>
      <c r="B12" s="487" t="s">
        <v>47</v>
      </c>
      <c r="C12" s="475" t="s">
        <v>48</v>
      </c>
      <c r="D12" s="475" t="s">
        <v>49</v>
      </c>
      <c r="E12" s="475" t="s">
        <v>51</v>
      </c>
      <c r="F12" s="476" t="s">
        <v>50</v>
      </c>
      <c r="G12" s="474" t="s">
        <v>77</v>
      </c>
      <c r="H12" s="475" t="s">
        <v>85</v>
      </c>
      <c r="I12" s="477" t="s">
        <v>75</v>
      </c>
      <c r="J12" s="478" t="s">
        <v>76</v>
      </c>
      <c r="K12" s="488" t="s">
        <v>47</v>
      </c>
      <c r="L12" s="489" t="s">
        <v>48</v>
      </c>
      <c r="M12" s="489" t="s">
        <v>49</v>
      </c>
      <c r="N12" s="490" t="s">
        <v>51</v>
      </c>
      <c r="O12" s="491" t="s">
        <v>50</v>
      </c>
      <c r="P12" s="489" t="s">
        <v>77</v>
      </c>
      <c r="Q12" s="490" t="s">
        <v>85</v>
      </c>
      <c r="R12" s="492" t="s">
        <v>75</v>
      </c>
      <c r="S12" s="493" t="s">
        <v>76</v>
      </c>
      <c r="T12" s="480" t="s">
        <v>47</v>
      </c>
      <c r="U12" s="474" t="s">
        <v>48</v>
      </c>
      <c r="V12" s="474" t="s">
        <v>49</v>
      </c>
      <c r="W12" s="475" t="s">
        <v>51</v>
      </c>
      <c r="X12" s="476" t="s">
        <v>50</v>
      </c>
      <c r="Y12" s="474" t="s">
        <v>77</v>
      </c>
      <c r="Z12" s="475" t="s">
        <v>85</v>
      </c>
      <c r="AA12" s="477" t="s">
        <v>75</v>
      </c>
      <c r="AB12" s="478" t="s">
        <v>76</v>
      </c>
    </row>
    <row r="13" spans="1:28" s="279" customFormat="1" x14ac:dyDescent="0.2">
      <c r="A13" s="273" t="s">
        <v>6</v>
      </c>
      <c r="B13" s="494">
        <v>0</v>
      </c>
      <c r="C13" s="470">
        <v>0</v>
      </c>
      <c r="D13" s="470">
        <v>0</v>
      </c>
      <c r="E13" s="470">
        <f t="shared" ref="E13:E24" si="2">SUM(D13-C13)</f>
        <v>0</v>
      </c>
      <c r="F13" s="471" t="e">
        <f t="shared" ref="F13:F24" si="3">SUM((D13-C13)/C13)</f>
        <v>#DIV/0!</v>
      </c>
      <c r="G13" s="470">
        <f t="shared" ref="G13:G24" si="4">SUM(C13+B13)/2</f>
        <v>0</v>
      </c>
      <c r="H13" s="470">
        <f t="shared" ref="H13:H24" si="5">D13-G13</f>
        <v>0</v>
      </c>
      <c r="I13" s="485">
        <v>0</v>
      </c>
      <c r="J13" s="486">
        <v>0</v>
      </c>
      <c r="K13" s="278">
        <f>SUM(T13-B13)</f>
        <v>0</v>
      </c>
      <c r="L13" s="274">
        <f t="shared" ref="L13:M13" si="6">SUM(U13-C13)</f>
        <v>0</v>
      </c>
      <c r="M13" s="274">
        <f t="shared" si="6"/>
        <v>0</v>
      </c>
      <c r="N13" s="274">
        <f t="shared" ref="N13:N24" si="7">SUM(M13-L13)</f>
        <v>0</v>
      </c>
      <c r="O13" s="275" t="e">
        <f t="shared" ref="O13:O24" si="8">SUM((M13-L13)/L13)</f>
        <v>#DIV/0!</v>
      </c>
      <c r="P13" s="274">
        <f t="shared" ref="P13:P24" si="9">SUM(L13+K13)/2</f>
        <v>0</v>
      </c>
      <c r="Q13" s="274">
        <f t="shared" ref="Q13:Q24" si="10">M13-P13</f>
        <v>0</v>
      </c>
      <c r="R13" s="276">
        <v>0</v>
      </c>
      <c r="S13" s="277">
        <v>0</v>
      </c>
      <c r="T13" s="301">
        <v>0</v>
      </c>
      <c r="U13" s="274">
        <v>0</v>
      </c>
      <c r="V13" s="274">
        <v>0</v>
      </c>
      <c r="W13" s="470">
        <f t="shared" ref="W13:W24" si="11">SUM(V13-U13)</f>
        <v>0</v>
      </c>
      <c r="X13" s="471" t="e">
        <f t="shared" ref="X13:X24" si="12">SUM((V13-U13)/U13)</f>
        <v>#DIV/0!</v>
      </c>
      <c r="Y13" s="470">
        <f t="shared" ref="Y13:Y24" si="13">SUM(U13+T13)/2</f>
        <v>0</v>
      </c>
      <c r="Z13" s="470">
        <f t="shared" ref="Z13:Z24" si="14">V13-Y13</f>
        <v>0</v>
      </c>
      <c r="AA13" s="274">
        <f>SUM(R13+I13)</f>
        <v>0</v>
      </c>
      <c r="AB13" s="469">
        <f>SUM(S13+J13)</f>
        <v>0</v>
      </c>
    </row>
    <row r="14" spans="1:28" s="279" customFormat="1" x14ac:dyDescent="0.2">
      <c r="A14" s="280" t="s">
        <v>7</v>
      </c>
      <c r="B14" s="302">
        <v>0</v>
      </c>
      <c r="C14" s="281">
        <v>0</v>
      </c>
      <c r="D14" s="281">
        <v>0</v>
      </c>
      <c r="E14" s="281">
        <f t="shared" si="2"/>
        <v>0</v>
      </c>
      <c r="F14" s="282" t="e">
        <f t="shared" si="3"/>
        <v>#DIV/0!</v>
      </c>
      <c r="G14" s="281">
        <f t="shared" si="4"/>
        <v>0</v>
      </c>
      <c r="H14" s="281">
        <f t="shared" si="5"/>
        <v>0</v>
      </c>
      <c r="I14" s="283">
        <v>0</v>
      </c>
      <c r="J14" s="285">
        <v>0</v>
      </c>
      <c r="K14" s="286">
        <f t="shared" ref="K14:K24" si="15">SUM(T14-B14)</f>
        <v>0</v>
      </c>
      <c r="L14" s="281">
        <f t="shared" ref="L14:L24" si="16">SUM(U14-C14)</f>
        <v>0</v>
      </c>
      <c r="M14" s="281">
        <f t="shared" ref="M14:M24" si="17">SUM(V14-D14)</f>
        <v>0</v>
      </c>
      <c r="N14" s="281">
        <f t="shared" si="7"/>
        <v>0</v>
      </c>
      <c r="O14" s="282" t="e">
        <f t="shared" si="8"/>
        <v>#DIV/0!</v>
      </c>
      <c r="P14" s="281">
        <f t="shared" si="9"/>
        <v>0</v>
      </c>
      <c r="Q14" s="281">
        <f t="shared" si="10"/>
        <v>0</v>
      </c>
      <c r="R14" s="283">
        <v>0</v>
      </c>
      <c r="S14" s="284">
        <v>0</v>
      </c>
      <c r="T14" s="302">
        <v>0</v>
      </c>
      <c r="U14" s="281">
        <v>0</v>
      </c>
      <c r="V14" s="281">
        <v>0</v>
      </c>
      <c r="W14" s="281">
        <f t="shared" si="11"/>
        <v>0</v>
      </c>
      <c r="X14" s="282" t="e">
        <f t="shared" si="12"/>
        <v>#DIV/0!</v>
      </c>
      <c r="Y14" s="281">
        <f t="shared" si="13"/>
        <v>0</v>
      </c>
      <c r="Z14" s="281">
        <f t="shared" si="14"/>
        <v>0</v>
      </c>
      <c r="AA14" s="470">
        <f t="shared" ref="AA14:AA24" si="18">SUM(R14+I14)</f>
        <v>0</v>
      </c>
      <c r="AB14" s="495">
        <f t="shared" ref="AB14:AB24" si="19">SUM(S14+J14)</f>
        <v>0</v>
      </c>
    </row>
    <row r="15" spans="1:28" s="279" customFormat="1" x14ac:dyDescent="0.2">
      <c r="A15" s="280" t="s">
        <v>8</v>
      </c>
      <c r="B15" s="302">
        <v>0</v>
      </c>
      <c r="C15" s="281">
        <v>0</v>
      </c>
      <c r="D15" s="281">
        <v>0</v>
      </c>
      <c r="E15" s="281">
        <f t="shared" si="2"/>
        <v>0</v>
      </c>
      <c r="F15" s="282" t="e">
        <f t="shared" si="3"/>
        <v>#DIV/0!</v>
      </c>
      <c r="G15" s="281">
        <f t="shared" si="4"/>
        <v>0</v>
      </c>
      <c r="H15" s="281">
        <f t="shared" si="5"/>
        <v>0</v>
      </c>
      <c r="I15" s="283">
        <v>0</v>
      </c>
      <c r="J15" s="285">
        <v>0</v>
      </c>
      <c r="K15" s="286">
        <f t="shared" si="15"/>
        <v>0</v>
      </c>
      <c r="L15" s="281">
        <f t="shared" si="16"/>
        <v>0</v>
      </c>
      <c r="M15" s="281">
        <f t="shared" si="17"/>
        <v>0</v>
      </c>
      <c r="N15" s="281">
        <f t="shared" si="7"/>
        <v>0</v>
      </c>
      <c r="O15" s="282" t="e">
        <f t="shared" si="8"/>
        <v>#DIV/0!</v>
      </c>
      <c r="P15" s="281">
        <f t="shared" si="9"/>
        <v>0</v>
      </c>
      <c r="Q15" s="281">
        <f t="shared" si="10"/>
        <v>0</v>
      </c>
      <c r="R15" s="283">
        <v>0</v>
      </c>
      <c r="S15" s="284">
        <v>0</v>
      </c>
      <c r="T15" s="302">
        <v>0</v>
      </c>
      <c r="U15" s="281">
        <v>0</v>
      </c>
      <c r="V15" s="281">
        <v>0</v>
      </c>
      <c r="W15" s="281">
        <f t="shared" si="11"/>
        <v>0</v>
      </c>
      <c r="X15" s="282" t="e">
        <f t="shared" si="12"/>
        <v>#DIV/0!</v>
      </c>
      <c r="Y15" s="281">
        <f t="shared" si="13"/>
        <v>0</v>
      </c>
      <c r="Z15" s="281">
        <f t="shared" si="14"/>
        <v>0</v>
      </c>
      <c r="AA15" s="470">
        <f t="shared" si="18"/>
        <v>0</v>
      </c>
      <c r="AB15" s="495">
        <f t="shared" si="19"/>
        <v>0</v>
      </c>
    </row>
    <row r="16" spans="1:28" s="279" customFormat="1" x14ac:dyDescent="0.2">
      <c r="A16" s="280" t="s">
        <v>9</v>
      </c>
      <c r="B16" s="302">
        <v>0</v>
      </c>
      <c r="C16" s="281">
        <v>0</v>
      </c>
      <c r="D16" s="281">
        <v>0</v>
      </c>
      <c r="E16" s="281">
        <f t="shared" si="2"/>
        <v>0</v>
      </c>
      <c r="F16" s="282" t="e">
        <f t="shared" si="3"/>
        <v>#DIV/0!</v>
      </c>
      <c r="G16" s="281">
        <f t="shared" si="4"/>
        <v>0</v>
      </c>
      <c r="H16" s="281">
        <f t="shared" si="5"/>
        <v>0</v>
      </c>
      <c r="I16" s="283">
        <v>0</v>
      </c>
      <c r="J16" s="285">
        <v>0</v>
      </c>
      <c r="K16" s="286">
        <f t="shared" si="15"/>
        <v>0</v>
      </c>
      <c r="L16" s="281">
        <f t="shared" si="16"/>
        <v>0</v>
      </c>
      <c r="M16" s="281">
        <f t="shared" si="17"/>
        <v>0</v>
      </c>
      <c r="N16" s="281">
        <f t="shared" si="7"/>
        <v>0</v>
      </c>
      <c r="O16" s="282" t="e">
        <f t="shared" si="8"/>
        <v>#DIV/0!</v>
      </c>
      <c r="P16" s="281">
        <f t="shared" si="9"/>
        <v>0</v>
      </c>
      <c r="Q16" s="281">
        <f t="shared" si="10"/>
        <v>0</v>
      </c>
      <c r="R16" s="283">
        <v>0</v>
      </c>
      <c r="S16" s="284">
        <v>0</v>
      </c>
      <c r="T16" s="302">
        <v>0</v>
      </c>
      <c r="U16" s="281">
        <v>0</v>
      </c>
      <c r="V16" s="281">
        <v>0</v>
      </c>
      <c r="W16" s="281">
        <f t="shared" si="11"/>
        <v>0</v>
      </c>
      <c r="X16" s="282" t="e">
        <f t="shared" si="12"/>
        <v>#DIV/0!</v>
      </c>
      <c r="Y16" s="281">
        <f t="shared" si="13"/>
        <v>0</v>
      </c>
      <c r="Z16" s="281">
        <f t="shared" si="14"/>
        <v>0</v>
      </c>
      <c r="AA16" s="470">
        <f t="shared" si="18"/>
        <v>0</v>
      </c>
      <c r="AB16" s="495">
        <f t="shared" si="19"/>
        <v>0</v>
      </c>
    </row>
    <row r="17" spans="1:28" s="279" customFormat="1" x14ac:dyDescent="0.2">
      <c r="A17" s="280" t="s">
        <v>10</v>
      </c>
      <c r="B17" s="302">
        <v>0</v>
      </c>
      <c r="C17" s="281">
        <v>0</v>
      </c>
      <c r="D17" s="281">
        <v>0</v>
      </c>
      <c r="E17" s="281">
        <f t="shared" si="2"/>
        <v>0</v>
      </c>
      <c r="F17" s="282" t="e">
        <f t="shared" si="3"/>
        <v>#DIV/0!</v>
      </c>
      <c r="G17" s="281">
        <f t="shared" si="4"/>
        <v>0</v>
      </c>
      <c r="H17" s="281">
        <f t="shared" si="5"/>
        <v>0</v>
      </c>
      <c r="I17" s="283">
        <v>0</v>
      </c>
      <c r="J17" s="285">
        <v>0</v>
      </c>
      <c r="K17" s="286">
        <f t="shared" si="15"/>
        <v>0</v>
      </c>
      <c r="L17" s="281">
        <f t="shared" si="16"/>
        <v>0</v>
      </c>
      <c r="M17" s="281">
        <f t="shared" si="17"/>
        <v>0</v>
      </c>
      <c r="N17" s="281">
        <f t="shared" si="7"/>
        <v>0</v>
      </c>
      <c r="O17" s="282" t="e">
        <f t="shared" si="8"/>
        <v>#DIV/0!</v>
      </c>
      <c r="P17" s="281">
        <f t="shared" si="9"/>
        <v>0</v>
      </c>
      <c r="Q17" s="281">
        <f t="shared" si="10"/>
        <v>0</v>
      </c>
      <c r="R17" s="283">
        <v>0</v>
      </c>
      <c r="S17" s="284">
        <v>0</v>
      </c>
      <c r="T17" s="302">
        <v>0</v>
      </c>
      <c r="U17" s="281">
        <v>0</v>
      </c>
      <c r="V17" s="281">
        <v>0</v>
      </c>
      <c r="W17" s="281">
        <f t="shared" si="11"/>
        <v>0</v>
      </c>
      <c r="X17" s="282" t="e">
        <f t="shared" si="12"/>
        <v>#DIV/0!</v>
      </c>
      <c r="Y17" s="281">
        <f t="shared" si="13"/>
        <v>0</v>
      </c>
      <c r="Z17" s="281">
        <f t="shared" si="14"/>
        <v>0</v>
      </c>
      <c r="AA17" s="470">
        <f t="shared" si="18"/>
        <v>0</v>
      </c>
      <c r="AB17" s="495">
        <f t="shared" si="19"/>
        <v>0</v>
      </c>
    </row>
    <row r="18" spans="1:28" s="279" customFormat="1" x14ac:dyDescent="0.2">
      <c r="A18" s="280" t="s">
        <v>11</v>
      </c>
      <c r="B18" s="302">
        <v>0</v>
      </c>
      <c r="C18" s="281">
        <v>0</v>
      </c>
      <c r="D18" s="281">
        <v>0</v>
      </c>
      <c r="E18" s="281">
        <f t="shared" si="2"/>
        <v>0</v>
      </c>
      <c r="F18" s="282" t="e">
        <f t="shared" si="3"/>
        <v>#DIV/0!</v>
      </c>
      <c r="G18" s="281">
        <f t="shared" si="4"/>
        <v>0</v>
      </c>
      <c r="H18" s="281">
        <f t="shared" si="5"/>
        <v>0</v>
      </c>
      <c r="I18" s="283">
        <v>0</v>
      </c>
      <c r="J18" s="285">
        <v>0</v>
      </c>
      <c r="K18" s="286">
        <f t="shared" si="15"/>
        <v>0</v>
      </c>
      <c r="L18" s="281">
        <f t="shared" si="16"/>
        <v>0</v>
      </c>
      <c r="M18" s="281">
        <f t="shared" si="17"/>
        <v>0</v>
      </c>
      <c r="N18" s="281">
        <f t="shared" si="7"/>
        <v>0</v>
      </c>
      <c r="O18" s="282" t="e">
        <f t="shared" si="8"/>
        <v>#DIV/0!</v>
      </c>
      <c r="P18" s="281">
        <f t="shared" si="9"/>
        <v>0</v>
      </c>
      <c r="Q18" s="281">
        <f t="shared" si="10"/>
        <v>0</v>
      </c>
      <c r="R18" s="283">
        <v>0</v>
      </c>
      <c r="S18" s="284">
        <v>0</v>
      </c>
      <c r="T18" s="302">
        <v>0</v>
      </c>
      <c r="U18" s="281">
        <v>0</v>
      </c>
      <c r="V18" s="281">
        <v>0</v>
      </c>
      <c r="W18" s="281">
        <f t="shared" si="11"/>
        <v>0</v>
      </c>
      <c r="X18" s="282" t="e">
        <f t="shared" si="12"/>
        <v>#DIV/0!</v>
      </c>
      <c r="Y18" s="281">
        <f t="shared" si="13"/>
        <v>0</v>
      </c>
      <c r="Z18" s="281">
        <f t="shared" si="14"/>
        <v>0</v>
      </c>
      <c r="AA18" s="470">
        <f t="shared" si="18"/>
        <v>0</v>
      </c>
      <c r="AB18" s="495">
        <f t="shared" si="19"/>
        <v>0</v>
      </c>
    </row>
    <row r="19" spans="1:28" s="279" customFormat="1" x14ac:dyDescent="0.2">
      <c r="A19" s="280" t="s">
        <v>12</v>
      </c>
      <c r="B19" s="302">
        <v>0</v>
      </c>
      <c r="C19" s="281">
        <v>0</v>
      </c>
      <c r="D19" s="281">
        <v>0</v>
      </c>
      <c r="E19" s="281">
        <f t="shared" si="2"/>
        <v>0</v>
      </c>
      <c r="F19" s="282" t="e">
        <f t="shared" si="3"/>
        <v>#DIV/0!</v>
      </c>
      <c r="G19" s="281">
        <f t="shared" si="4"/>
        <v>0</v>
      </c>
      <c r="H19" s="281">
        <f t="shared" si="5"/>
        <v>0</v>
      </c>
      <c r="I19" s="283">
        <v>0</v>
      </c>
      <c r="J19" s="285">
        <v>0</v>
      </c>
      <c r="K19" s="286">
        <f t="shared" si="15"/>
        <v>0</v>
      </c>
      <c r="L19" s="281">
        <f t="shared" si="16"/>
        <v>0</v>
      </c>
      <c r="M19" s="281">
        <f t="shared" si="17"/>
        <v>0</v>
      </c>
      <c r="N19" s="281">
        <f t="shared" si="7"/>
        <v>0</v>
      </c>
      <c r="O19" s="282" t="e">
        <f t="shared" si="8"/>
        <v>#DIV/0!</v>
      </c>
      <c r="P19" s="281">
        <f t="shared" si="9"/>
        <v>0</v>
      </c>
      <c r="Q19" s="281">
        <f t="shared" si="10"/>
        <v>0</v>
      </c>
      <c r="R19" s="283">
        <v>0</v>
      </c>
      <c r="S19" s="284">
        <v>0</v>
      </c>
      <c r="T19" s="302">
        <v>0</v>
      </c>
      <c r="U19" s="281">
        <v>0</v>
      </c>
      <c r="V19" s="281">
        <v>0</v>
      </c>
      <c r="W19" s="281">
        <f t="shared" si="11"/>
        <v>0</v>
      </c>
      <c r="X19" s="282" t="e">
        <f t="shared" si="12"/>
        <v>#DIV/0!</v>
      </c>
      <c r="Y19" s="281">
        <f t="shared" si="13"/>
        <v>0</v>
      </c>
      <c r="Z19" s="281">
        <f t="shared" si="14"/>
        <v>0</v>
      </c>
      <c r="AA19" s="470">
        <f t="shared" si="18"/>
        <v>0</v>
      </c>
      <c r="AB19" s="495">
        <f t="shared" si="19"/>
        <v>0</v>
      </c>
    </row>
    <row r="20" spans="1:28" s="279" customFormat="1" x14ac:dyDescent="0.2">
      <c r="A20" s="280" t="s">
        <v>13</v>
      </c>
      <c r="B20" s="302">
        <v>0</v>
      </c>
      <c r="C20" s="281">
        <v>0</v>
      </c>
      <c r="D20" s="281">
        <v>0</v>
      </c>
      <c r="E20" s="281">
        <f t="shared" si="2"/>
        <v>0</v>
      </c>
      <c r="F20" s="282" t="e">
        <f t="shared" si="3"/>
        <v>#DIV/0!</v>
      </c>
      <c r="G20" s="281">
        <f t="shared" si="4"/>
        <v>0</v>
      </c>
      <c r="H20" s="281">
        <f t="shared" si="5"/>
        <v>0</v>
      </c>
      <c r="I20" s="283">
        <v>0</v>
      </c>
      <c r="J20" s="285">
        <v>0</v>
      </c>
      <c r="K20" s="286">
        <f t="shared" si="15"/>
        <v>0</v>
      </c>
      <c r="L20" s="281">
        <f t="shared" si="16"/>
        <v>0</v>
      </c>
      <c r="M20" s="281">
        <f t="shared" si="17"/>
        <v>0</v>
      </c>
      <c r="N20" s="281">
        <f t="shared" si="7"/>
        <v>0</v>
      </c>
      <c r="O20" s="282" t="e">
        <f t="shared" si="8"/>
        <v>#DIV/0!</v>
      </c>
      <c r="P20" s="281">
        <f t="shared" si="9"/>
        <v>0</v>
      </c>
      <c r="Q20" s="281">
        <f t="shared" si="10"/>
        <v>0</v>
      </c>
      <c r="R20" s="283">
        <v>0</v>
      </c>
      <c r="S20" s="284">
        <v>0</v>
      </c>
      <c r="T20" s="302">
        <v>0</v>
      </c>
      <c r="U20" s="281">
        <v>0</v>
      </c>
      <c r="V20" s="281">
        <v>0</v>
      </c>
      <c r="W20" s="281">
        <f t="shared" si="11"/>
        <v>0</v>
      </c>
      <c r="X20" s="282" t="e">
        <f t="shared" si="12"/>
        <v>#DIV/0!</v>
      </c>
      <c r="Y20" s="281">
        <f t="shared" si="13"/>
        <v>0</v>
      </c>
      <c r="Z20" s="281">
        <f t="shared" si="14"/>
        <v>0</v>
      </c>
      <c r="AA20" s="470">
        <f t="shared" si="18"/>
        <v>0</v>
      </c>
      <c r="AB20" s="495">
        <f t="shared" si="19"/>
        <v>0</v>
      </c>
    </row>
    <row r="21" spans="1:28" s="279" customFormat="1" x14ac:dyDescent="0.2">
      <c r="A21" s="280" t="s">
        <v>2</v>
      </c>
      <c r="B21" s="302">
        <v>0</v>
      </c>
      <c r="C21" s="281">
        <v>0</v>
      </c>
      <c r="D21" s="281">
        <v>0</v>
      </c>
      <c r="E21" s="281">
        <f t="shared" si="2"/>
        <v>0</v>
      </c>
      <c r="F21" s="282" t="e">
        <f t="shared" si="3"/>
        <v>#DIV/0!</v>
      </c>
      <c r="G21" s="281">
        <f t="shared" si="4"/>
        <v>0</v>
      </c>
      <c r="H21" s="281">
        <f t="shared" si="5"/>
        <v>0</v>
      </c>
      <c r="I21" s="283">
        <v>0</v>
      </c>
      <c r="J21" s="285">
        <v>0</v>
      </c>
      <c r="K21" s="286">
        <f t="shared" si="15"/>
        <v>0</v>
      </c>
      <c r="L21" s="281">
        <f t="shared" si="16"/>
        <v>0</v>
      </c>
      <c r="M21" s="281">
        <f t="shared" si="17"/>
        <v>0</v>
      </c>
      <c r="N21" s="281">
        <f t="shared" si="7"/>
        <v>0</v>
      </c>
      <c r="O21" s="282" t="e">
        <f t="shared" si="8"/>
        <v>#DIV/0!</v>
      </c>
      <c r="P21" s="281">
        <f t="shared" si="9"/>
        <v>0</v>
      </c>
      <c r="Q21" s="281">
        <f t="shared" si="10"/>
        <v>0</v>
      </c>
      <c r="R21" s="283">
        <v>0</v>
      </c>
      <c r="S21" s="284">
        <v>0</v>
      </c>
      <c r="T21" s="302">
        <v>0</v>
      </c>
      <c r="U21" s="281">
        <v>0</v>
      </c>
      <c r="V21" s="281">
        <v>0</v>
      </c>
      <c r="W21" s="281">
        <f t="shared" si="11"/>
        <v>0</v>
      </c>
      <c r="X21" s="282" t="e">
        <f t="shared" si="12"/>
        <v>#DIV/0!</v>
      </c>
      <c r="Y21" s="281">
        <f t="shared" si="13"/>
        <v>0</v>
      </c>
      <c r="Z21" s="281">
        <f t="shared" si="14"/>
        <v>0</v>
      </c>
      <c r="AA21" s="470">
        <f t="shared" si="18"/>
        <v>0</v>
      </c>
      <c r="AB21" s="495">
        <f t="shared" si="19"/>
        <v>0</v>
      </c>
    </row>
    <row r="22" spans="1:28" s="279" customFormat="1" x14ac:dyDescent="0.2">
      <c r="A22" s="280" t="s">
        <v>3</v>
      </c>
      <c r="B22" s="302">
        <v>0</v>
      </c>
      <c r="C22" s="281">
        <v>0</v>
      </c>
      <c r="D22" s="281">
        <v>0</v>
      </c>
      <c r="E22" s="281">
        <f t="shared" si="2"/>
        <v>0</v>
      </c>
      <c r="F22" s="282" t="e">
        <f t="shared" si="3"/>
        <v>#DIV/0!</v>
      </c>
      <c r="G22" s="281">
        <f t="shared" si="4"/>
        <v>0</v>
      </c>
      <c r="H22" s="281">
        <f t="shared" si="5"/>
        <v>0</v>
      </c>
      <c r="I22" s="283">
        <v>0</v>
      </c>
      <c r="J22" s="285">
        <v>0</v>
      </c>
      <c r="K22" s="286">
        <f t="shared" si="15"/>
        <v>0</v>
      </c>
      <c r="L22" s="281">
        <f t="shared" si="16"/>
        <v>0</v>
      </c>
      <c r="M22" s="281">
        <f t="shared" si="17"/>
        <v>0</v>
      </c>
      <c r="N22" s="281">
        <f t="shared" si="7"/>
        <v>0</v>
      </c>
      <c r="O22" s="282" t="e">
        <f t="shared" si="8"/>
        <v>#DIV/0!</v>
      </c>
      <c r="P22" s="281">
        <f t="shared" si="9"/>
        <v>0</v>
      </c>
      <c r="Q22" s="281">
        <f t="shared" si="10"/>
        <v>0</v>
      </c>
      <c r="R22" s="283">
        <v>0</v>
      </c>
      <c r="S22" s="284">
        <v>0</v>
      </c>
      <c r="T22" s="302">
        <v>0</v>
      </c>
      <c r="U22" s="281">
        <v>0</v>
      </c>
      <c r="V22" s="281">
        <v>0</v>
      </c>
      <c r="W22" s="281">
        <f t="shared" si="11"/>
        <v>0</v>
      </c>
      <c r="X22" s="282" t="e">
        <f t="shared" si="12"/>
        <v>#DIV/0!</v>
      </c>
      <c r="Y22" s="281">
        <f t="shared" si="13"/>
        <v>0</v>
      </c>
      <c r="Z22" s="281">
        <f t="shared" si="14"/>
        <v>0</v>
      </c>
      <c r="AA22" s="470">
        <f t="shared" si="18"/>
        <v>0</v>
      </c>
      <c r="AB22" s="495">
        <f t="shared" si="19"/>
        <v>0</v>
      </c>
    </row>
    <row r="23" spans="1:28" x14ac:dyDescent="0.2">
      <c r="A23" s="280" t="s">
        <v>4</v>
      </c>
      <c r="B23" s="302">
        <v>0</v>
      </c>
      <c r="C23" s="281">
        <v>0</v>
      </c>
      <c r="D23" s="281">
        <v>0</v>
      </c>
      <c r="E23" s="281">
        <f t="shared" si="2"/>
        <v>0</v>
      </c>
      <c r="F23" s="282" t="e">
        <f t="shared" si="3"/>
        <v>#DIV/0!</v>
      </c>
      <c r="G23" s="281">
        <f t="shared" si="4"/>
        <v>0</v>
      </c>
      <c r="H23" s="281">
        <f t="shared" si="5"/>
        <v>0</v>
      </c>
      <c r="I23" s="283">
        <v>0</v>
      </c>
      <c r="J23" s="285">
        <v>0</v>
      </c>
      <c r="K23" s="286">
        <f t="shared" si="15"/>
        <v>0</v>
      </c>
      <c r="L23" s="281">
        <f t="shared" si="16"/>
        <v>0</v>
      </c>
      <c r="M23" s="281">
        <f t="shared" si="17"/>
        <v>0</v>
      </c>
      <c r="N23" s="281">
        <f t="shared" si="7"/>
        <v>0</v>
      </c>
      <c r="O23" s="282" t="e">
        <f t="shared" si="8"/>
        <v>#DIV/0!</v>
      </c>
      <c r="P23" s="281">
        <f t="shared" si="9"/>
        <v>0</v>
      </c>
      <c r="Q23" s="281">
        <f t="shared" si="10"/>
        <v>0</v>
      </c>
      <c r="R23" s="283">
        <v>0</v>
      </c>
      <c r="S23" s="284">
        <v>0</v>
      </c>
      <c r="T23" s="302">
        <v>0</v>
      </c>
      <c r="U23" s="281">
        <v>0</v>
      </c>
      <c r="V23" s="281">
        <v>0</v>
      </c>
      <c r="W23" s="281">
        <f t="shared" si="11"/>
        <v>0</v>
      </c>
      <c r="X23" s="282" t="e">
        <f t="shared" si="12"/>
        <v>#DIV/0!</v>
      </c>
      <c r="Y23" s="281">
        <f t="shared" si="13"/>
        <v>0</v>
      </c>
      <c r="Z23" s="281">
        <f t="shared" si="14"/>
        <v>0</v>
      </c>
      <c r="AA23" s="470">
        <f t="shared" si="18"/>
        <v>0</v>
      </c>
      <c r="AB23" s="495">
        <f t="shared" si="19"/>
        <v>0</v>
      </c>
    </row>
    <row r="24" spans="1:28" ht="12.75" thickBot="1" x14ac:dyDescent="0.25">
      <c r="A24" s="287" t="s">
        <v>5</v>
      </c>
      <c r="B24" s="303">
        <v>0</v>
      </c>
      <c r="C24" s="288">
        <v>0</v>
      </c>
      <c r="D24" s="288">
        <v>0</v>
      </c>
      <c r="E24" s="288">
        <f t="shared" si="2"/>
        <v>0</v>
      </c>
      <c r="F24" s="289" t="e">
        <f t="shared" si="3"/>
        <v>#DIV/0!</v>
      </c>
      <c r="G24" s="288">
        <f t="shared" si="4"/>
        <v>0</v>
      </c>
      <c r="H24" s="288">
        <f t="shared" si="5"/>
        <v>0</v>
      </c>
      <c r="I24" s="290">
        <v>0</v>
      </c>
      <c r="J24" s="292">
        <v>0</v>
      </c>
      <c r="K24" s="293">
        <f t="shared" si="15"/>
        <v>0</v>
      </c>
      <c r="L24" s="288">
        <f t="shared" si="16"/>
        <v>0</v>
      </c>
      <c r="M24" s="288">
        <f t="shared" si="17"/>
        <v>0</v>
      </c>
      <c r="N24" s="288">
        <f t="shared" si="7"/>
        <v>0</v>
      </c>
      <c r="O24" s="289" t="e">
        <f t="shared" si="8"/>
        <v>#DIV/0!</v>
      </c>
      <c r="P24" s="288">
        <f t="shared" si="9"/>
        <v>0</v>
      </c>
      <c r="Q24" s="288">
        <f t="shared" si="10"/>
        <v>0</v>
      </c>
      <c r="R24" s="290">
        <v>0</v>
      </c>
      <c r="S24" s="291">
        <v>0</v>
      </c>
      <c r="T24" s="303">
        <v>0</v>
      </c>
      <c r="U24" s="288">
        <v>0</v>
      </c>
      <c r="V24" s="288">
        <v>0</v>
      </c>
      <c r="W24" s="288">
        <f t="shared" si="11"/>
        <v>0</v>
      </c>
      <c r="X24" s="289" t="e">
        <f t="shared" si="12"/>
        <v>#DIV/0!</v>
      </c>
      <c r="Y24" s="288">
        <f t="shared" si="13"/>
        <v>0</v>
      </c>
      <c r="Z24" s="288">
        <f t="shared" si="14"/>
        <v>0</v>
      </c>
      <c r="AA24" s="496">
        <f t="shared" si="18"/>
        <v>0</v>
      </c>
      <c r="AB24" s="497">
        <f t="shared" si="19"/>
        <v>0</v>
      </c>
    </row>
    <row r="26" spans="1:28" ht="15.75" customHeight="1" thickBot="1" x14ac:dyDescent="0.25">
      <c r="B26" s="906" t="s">
        <v>113</v>
      </c>
      <c r="C26" s="907"/>
      <c r="D26" s="907"/>
      <c r="E26" s="907"/>
      <c r="F26" s="907"/>
      <c r="G26" s="907"/>
      <c r="H26" s="907"/>
      <c r="I26" s="907"/>
      <c r="J26" s="907"/>
      <c r="K26" s="907"/>
      <c r="L26" s="907"/>
      <c r="M26" s="907"/>
      <c r="N26" s="907"/>
      <c r="O26" s="907"/>
      <c r="P26" s="907"/>
      <c r="Q26" s="907"/>
      <c r="R26" s="907"/>
      <c r="S26" s="907"/>
      <c r="T26" s="907"/>
      <c r="U26" s="907"/>
      <c r="V26" s="907"/>
      <c r="W26" s="907"/>
      <c r="X26" s="907"/>
      <c r="Y26" s="907"/>
      <c r="Z26" s="907"/>
      <c r="AA26" s="907"/>
      <c r="AB26" s="907"/>
    </row>
    <row r="27" spans="1:28" s="269" customFormat="1" ht="15.75" customHeight="1" thickBot="1" x14ac:dyDescent="0.3">
      <c r="A27" s="268"/>
      <c r="B27" s="908" t="s">
        <v>39</v>
      </c>
      <c r="C27" s="909"/>
      <c r="D27" s="909"/>
      <c r="E27" s="909"/>
      <c r="F27" s="909"/>
      <c r="G27" s="909"/>
      <c r="H27" s="909"/>
      <c r="I27" s="909"/>
      <c r="J27" s="910"/>
      <c r="K27" s="908" t="s">
        <v>25</v>
      </c>
      <c r="L27" s="909"/>
      <c r="M27" s="909"/>
      <c r="N27" s="909"/>
      <c r="O27" s="909"/>
      <c r="P27" s="909"/>
      <c r="Q27" s="909"/>
      <c r="R27" s="909"/>
      <c r="S27" s="910"/>
      <c r="T27" s="908" t="s">
        <v>46</v>
      </c>
      <c r="U27" s="909"/>
      <c r="V27" s="909"/>
      <c r="W27" s="909"/>
      <c r="X27" s="909"/>
      <c r="Y27" s="909"/>
      <c r="Z27" s="909"/>
      <c r="AA27" s="909"/>
      <c r="AB27" s="910"/>
    </row>
    <row r="28" spans="1:28" s="269" customFormat="1" x14ac:dyDescent="0.25">
      <c r="A28" s="270"/>
      <c r="B28" s="481">
        <f>SUM(B30:B41)</f>
        <v>0</v>
      </c>
      <c r="C28" s="482">
        <f>SUM(C30:C41)</f>
        <v>0</v>
      </c>
      <c r="D28" s="482">
        <f>SUM(D30:D41)</f>
        <v>0</v>
      </c>
      <c r="E28" s="482">
        <f>SUM(E30:E41)</f>
        <v>0</v>
      </c>
      <c r="F28" s="483" t="e">
        <f>SUM((D28-C28)/C28)</f>
        <v>#DIV/0!</v>
      </c>
      <c r="G28" s="482">
        <f t="shared" ref="G28:J28" si="20">SUM(G30:G41)</f>
        <v>0</v>
      </c>
      <c r="H28" s="482">
        <f t="shared" si="20"/>
        <v>0</v>
      </c>
      <c r="I28" s="472">
        <f t="shared" si="20"/>
        <v>0</v>
      </c>
      <c r="J28" s="473">
        <f t="shared" si="20"/>
        <v>0</v>
      </c>
      <c r="K28" s="484">
        <f>SUM(K30:K41)</f>
        <v>0</v>
      </c>
      <c r="L28" s="482">
        <f>SUM(L30:L41)</f>
        <v>0</v>
      </c>
      <c r="M28" s="482">
        <f>SUM(M30:M41)</f>
        <v>0</v>
      </c>
      <c r="N28" s="482">
        <f>SUM(N30:N41)</f>
        <v>0</v>
      </c>
      <c r="O28" s="483" t="e">
        <f>SUM((M28-L28)/L28)</f>
        <v>#DIV/0!</v>
      </c>
      <c r="P28" s="482">
        <f t="shared" ref="P28:AB28" si="21">SUM(P30:P41)</f>
        <v>0</v>
      </c>
      <c r="Q28" s="482">
        <f t="shared" si="21"/>
        <v>0</v>
      </c>
      <c r="R28" s="472">
        <f t="shared" si="21"/>
        <v>0</v>
      </c>
      <c r="S28" s="473">
        <f t="shared" si="21"/>
        <v>0</v>
      </c>
      <c r="T28" s="479">
        <f t="shared" si="21"/>
        <v>0</v>
      </c>
      <c r="U28" s="472">
        <f t="shared" si="21"/>
        <v>0</v>
      </c>
      <c r="V28" s="472">
        <f t="shared" si="21"/>
        <v>0</v>
      </c>
      <c r="W28" s="472">
        <f t="shared" si="21"/>
        <v>0</v>
      </c>
      <c r="X28" s="498" t="e">
        <f>SUM((V28-U28)/U28)</f>
        <v>#DIV/0!</v>
      </c>
      <c r="Y28" s="472">
        <f t="shared" si="21"/>
        <v>0</v>
      </c>
      <c r="Z28" s="472">
        <f t="shared" si="21"/>
        <v>0</v>
      </c>
      <c r="AA28" s="472">
        <f t="shared" si="21"/>
        <v>0</v>
      </c>
      <c r="AB28" s="473">
        <f t="shared" si="21"/>
        <v>0</v>
      </c>
    </row>
    <row r="29" spans="1:28" s="272" customFormat="1" ht="36.75" thickBot="1" x14ac:dyDescent="0.3">
      <c r="A29" s="271"/>
      <c r="B29" s="487" t="s">
        <v>47</v>
      </c>
      <c r="C29" s="475" t="s">
        <v>48</v>
      </c>
      <c r="D29" s="475" t="s">
        <v>49</v>
      </c>
      <c r="E29" s="475" t="s">
        <v>51</v>
      </c>
      <c r="F29" s="476" t="s">
        <v>50</v>
      </c>
      <c r="G29" s="474" t="s">
        <v>77</v>
      </c>
      <c r="H29" s="475" t="s">
        <v>85</v>
      </c>
      <c r="I29" s="477" t="s">
        <v>75</v>
      </c>
      <c r="J29" s="478" t="s">
        <v>76</v>
      </c>
      <c r="K29" s="488" t="s">
        <v>47</v>
      </c>
      <c r="L29" s="489" t="s">
        <v>48</v>
      </c>
      <c r="M29" s="489" t="s">
        <v>49</v>
      </c>
      <c r="N29" s="490" t="s">
        <v>51</v>
      </c>
      <c r="O29" s="491" t="s">
        <v>50</v>
      </c>
      <c r="P29" s="489" t="s">
        <v>77</v>
      </c>
      <c r="Q29" s="490" t="s">
        <v>85</v>
      </c>
      <c r="R29" s="492" t="s">
        <v>75</v>
      </c>
      <c r="S29" s="493" t="s">
        <v>76</v>
      </c>
      <c r="T29" s="480" t="s">
        <v>47</v>
      </c>
      <c r="U29" s="474" t="s">
        <v>48</v>
      </c>
      <c r="V29" s="474" t="s">
        <v>49</v>
      </c>
      <c r="W29" s="475" t="s">
        <v>51</v>
      </c>
      <c r="X29" s="476" t="s">
        <v>50</v>
      </c>
      <c r="Y29" s="474" t="s">
        <v>77</v>
      </c>
      <c r="Z29" s="475" t="s">
        <v>85</v>
      </c>
      <c r="AA29" s="477" t="s">
        <v>75</v>
      </c>
      <c r="AB29" s="478" t="s">
        <v>76</v>
      </c>
    </row>
    <row r="30" spans="1:28" s="279" customFormat="1" x14ac:dyDescent="0.2">
      <c r="A30" s="273" t="s">
        <v>6</v>
      </c>
      <c r="B30" s="499">
        <v>0</v>
      </c>
      <c r="C30" s="500">
        <v>0</v>
      </c>
      <c r="D30" s="500">
        <v>0</v>
      </c>
      <c r="E30" s="500">
        <f t="shared" ref="E30:E41" si="22">SUM(D30-C30)</f>
        <v>0</v>
      </c>
      <c r="F30" s="501" t="e">
        <f t="shared" ref="F30:F41" si="23">SUM((D30-C30)/C30)</f>
        <v>#DIV/0!</v>
      </c>
      <c r="G30" s="500">
        <f t="shared" ref="G30:G41" si="24">SUM(C30+B30)/2</f>
        <v>0</v>
      </c>
      <c r="H30" s="500">
        <f t="shared" ref="H30:H41" si="25">D30-G30</f>
        <v>0</v>
      </c>
      <c r="I30" s="502">
        <v>0</v>
      </c>
      <c r="J30" s="503">
        <v>0</v>
      </c>
      <c r="K30" s="504">
        <f>SUM(T30-B30)</f>
        <v>0</v>
      </c>
      <c r="L30" s="505">
        <f t="shared" ref="L30:L41" si="26">SUM(U30-C30)</f>
        <v>0</v>
      </c>
      <c r="M30" s="505">
        <f t="shared" ref="M30:M41" si="27">SUM(V30-D30)</f>
        <v>0</v>
      </c>
      <c r="N30" s="505">
        <f t="shared" ref="N30:N41" si="28">SUM(M30-L30)</f>
        <v>0</v>
      </c>
      <c r="O30" s="506" t="e">
        <f t="shared" ref="O30:O41" si="29">SUM((M30-L30)/L30)</f>
        <v>#DIV/0!</v>
      </c>
      <c r="P30" s="505">
        <f t="shared" ref="P30:P41" si="30">SUM(L30+K30)/2</f>
        <v>0</v>
      </c>
      <c r="Q30" s="505">
        <f t="shared" ref="Q30:Q41" si="31">M30-P30</f>
        <v>0</v>
      </c>
      <c r="R30" s="507">
        <v>0</v>
      </c>
      <c r="S30" s="508">
        <v>0</v>
      </c>
      <c r="T30" s="509">
        <v>0</v>
      </c>
      <c r="U30" s="507">
        <v>0</v>
      </c>
      <c r="V30" s="507">
        <v>0</v>
      </c>
      <c r="W30" s="500">
        <f t="shared" ref="W30:W41" si="32">SUM(V30-U30)</f>
        <v>0</v>
      </c>
      <c r="X30" s="501" t="e">
        <f t="shared" ref="X30:X41" si="33">SUM((V30-U30)/U30)</f>
        <v>#DIV/0!</v>
      </c>
      <c r="Y30" s="500">
        <f t="shared" ref="Y30:Y41" si="34">SUM(U30+T30)/2</f>
        <v>0</v>
      </c>
      <c r="Z30" s="500">
        <f t="shared" ref="Z30:Z41" si="35">V30-Y30</f>
        <v>0</v>
      </c>
      <c r="AA30" s="505">
        <f>SUM(R30+I30)</f>
        <v>0</v>
      </c>
      <c r="AB30" s="510">
        <f>SUM(S30+J30)</f>
        <v>0</v>
      </c>
    </row>
    <row r="31" spans="1:28" s="279" customFormat="1" x14ac:dyDescent="0.2">
      <c r="A31" s="280" t="s">
        <v>7</v>
      </c>
      <c r="B31" s="511">
        <v>0</v>
      </c>
      <c r="C31" s="512">
        <v>0</v>
      </c>
      <c r="D31" s="512">
        <v>0</v>
      </c>
      <c r="E31" s="512">
        <f t="shared" si="22"/>
        <v>0</v>
      </c>
      <c r="F31" s="513" t="e">
        <f t="shared" si="23"/>
        <v>#DIV/0!</v>
      </c>
      <c r="G31" s="512">
        <f t="shared" si="24"/>
        <v>0</v>
      </c>
      <c r="H31" s="512">
        <f t="shared" si="25"/>
        <v>0</v>
      </c>
      <c r="I31" s="514">
        <v>0</v>
      </c>
      <c r="J31" s="515">
        <v>0</v>
      </c>
      <c r="K31" s="516">
        <f t="shared" ref="K31:K41" si="36">SUM(T31-B31)</f>
        <v>0</v>
      </c>
      <c r="L31" s="512">
        <f t="shared" si="26"/>
        <v>0</v>
      </c>
      <c r="M31" s="512">
        <f t="shared" si="27"/>
        <v>0</v>
      </c>
      <c r="N31" s="512">
        <f t="shared" si="28"/>
        <v>0</v>
      </c>
      <c r="O31" s="513" t="e">
        <f t="shared" si="29"/>
        <v>#DIV/0!</v>
      </c>
      <c r="P31" s="512">
        <f t="shared" si="30"/>
        <v>0</v>
      </c>
      <c r="Q31" s="512">
        <f t="shared" si="31"/>
        <v>0</v>
      </c>
      <c r="R31" s="514">
        <v>0</v>
      </c>
      <c r="S31" s="517">
        <v>0</v>
      </c>
      <c r="T31" s="518">
        <v>0</v>
      </c>
      <c r="U31" s="514">
        <v>0</v>
      </c>
      <c r="V31" s="514">
        <v>0</v>
      </c>
      <c r="W31" s="512">
        <f t="shared" si="32"/>
        <v>0</v>
      </c>
      <c r="X31" s="513" t="e">
        <f t="shared" si="33"/>
        <v>#DIV/0!</v>
      </c>
      <c r="Y31" s="512">
        <f t="shared" si="34"/>
        <v>0</v>
      </c>
      <c r="Z31" s="512">
        <f t="shared" si="35"/>
        <v>0</v>
      </c>
      <c r="AA31" s="500">
        <f t="shared" ref="AA31:AA41" si="37">SUM(R31+I31)</f>
        <v>0</v>
      </c>
      <c r="AB31" s="519">
        <f t="shared" ref="AB31:AB41" si="38">SUM(S31+J31)</f>
        <v>0</v>
      </c>
    </row>
    <row r="32" spans="1:28" s="279" customFormat="1" x14ac:dyDescent="0.2">
      <c r="A32" s="280" t="s">
        <v>8</v>
      </c>
      <c r="B32" s="511">
        <v>0</v>
      </c>
      <c r="C32" s="512">
        <v>0</v>
      </c>
      <c r="D32" s="512">
        <v>0</v>
      </c>
      <c r="E32" s="512">
        <f t="shared" si="22"/>
        <v>0</v>
      </c>
      <c r="F32" s="513" t="e">
        <f t="shared" si="23"/>
        <v>#DIV/0!</v>
      </c>
      <c r="G32" s="512">
        <f t="shared" si="24"/>
        <v>0</v>
      </c>
      <c r="H32" s="512">
        <f t="shared" si="25"/>
        <v>0</v>
      </c>
      <c r="I32" s="514">
        <v>0</v>
      </c>
      <c r="J32" s="515">
        <v>0</v>
      </c>
      <c r="K32" s="516">
        <f t="shared" si="36"/>
        <v>0</v>
      </c>
      <c r="L32" s="512">
        <f t="shared" si="26"/>
        <v>0</v>
      </c>
      <c r="M32" s="512">
        <f t="shared" si="27"/>
        <v>0</v>
      </c>
      <c r="N32" s="512">
        <f t="shared" si="28"/>
        <v>0</v>
      </c>
      <c r="O32" s="513" t="e">
        <f t="shared" si="29"/>
        <v>#DIV/0!</v>
      </c>
      <c r="P32" s="512">
        <f t="shared" si="30"/>
        <v>0</v>
      </c>
      <c r="Q32" s="512">
        <f t="shared" si="31"/>
        <v>0</v>
      </c>
      <c r="R32" s="514">
        <v>0</v>
      </c>
      <c r="S32" s="517">
        <v>0</v>
      </c>
      <c r="T32" s="518">
        <v>0</v>
      </c>
      <c r="U32" s="514">
        <v>0</v>
      </c>
      <c r="V32" s="514">
        <v>0</v>
      </c>
      <c r="W32" s="512">
        <f t="shared" si="32"/>
        <v>0</v>
      </c>
      <c r="X32" s="513" t="e">
        <f t="shared" si="33"/>
        <v>#DIV/0!</v>
      </c>
      <c r="Y32" s="512">
        <f t="shared" si="34"/>
        <v>0</v>
      </c>
      <c r="Z32" s="512">
        <f t="shared" si="35"/>
        <v>0</v>
      </c>
      <c r="AA32" s="500">
        <f t="shared" si="37"/>
        <v>0</v>
      </c>
      <c r="AB32" s="519">
        <f t="shared" si="38"/>
        <v>0</v>
      </c>
    </row>
    <row r="33" spans="1:28" s="279" customFormat="1" x14ac:dyDescent="0.2">
      <c r="A33" s="280" t="s">
        <v>9</v>
      </c>
      <c r="B33" s="511">
        <v>0</v>
      </c>
      <c r="C33" s="512">
        <v>0</v>
      </c>
      <c r="D33" s="512">
        <v>0</v>
      </c>
      <c r="E33" s="512">
        <f t="shared" si="22"/>
        <v>0</v>
      </c>
      <c r="F33" s="513" t="e">
        <f t="shared" si="23"/>
        <v>#DIV/0!</v>
      </c>
      <c r="G33" s="512">
        <f t="shared" si="24"/>
        <v>0</v>
      </c>
      <c r="H33" s="512">
        <f t="shared" si="25"/>
        <v>0</v>
      </c>
      <c r="I33" s="514">
        <v>0</v>
      </c>
      <c r="J33" s="515">
        <v>0</v>
      </c>
      <c r="K33" s="516">
        <f t="shared" si="36"/>
        <v>0</v>
      </c>
      <c r="L33" s="512">
        <f t="shared" si="26"/>
        <v>0</v>
      </c>
      <c r="M33" s="512">
        <f t="shared" si="27"/>
        <v>0</v>
      </c>
      <c r="N33" s="512">
        <f t="shared" si="28"/>
        <v>0</v>
      </c>
      <c r="O33" s="513" t="e">
        <f t="shared" si="29"/>
        <v>#DIV/0!</v>
      </c>
      <c r="P33" s="512">
        <f t="shared" si="30"/>
        <v>0</v>
      </c>
      <c r="Q33" s="512">
        <f t="shared" si="31"/>
        <v>0</v>
      </c>
      <c r="R33" s="514">
        <v>0</v>
      </c>
      <c r="S33" s="517">
        <v>0</v>
      </c>
      <c r="T33" s="518">
        <v>0</v>
      </c>
      <c r="U33" s="514">
        <v>0</v>
      </c>
      <c r="V33" s="514">
        <v>0</v>
      </c>
      <c r="W33" s="512">
        <f t="shared" si="32"/>
        <v>0</v>
      </c>
      <c r="X33" s="513" t="e">
        <f t="shared" si="33"/>
        <v>#DIV/0!</v>
      </c>
      <c r="Y33" s="512">
        <f t="shared" si="34"/>
        <v>0</v>
      </c>
      <c r="Z33" s="512">
        <f t="shared" si="35"/>
        <v>0</v>
      </c>
      <c r="AA33" s="500">
        <f t="shared" si="37"/>
        <v>0</v>
      </c>
      <c r="AB33" s="519">
        <f t="shared" si="38"/>
        <v>0</v>
      </c>
    </row>
    <row r="34" spans="1:28" s="279" customFormat="1" x14ac:dyDescent="0.2">
      <c r="A34" s="280" t="s">
        <v>10</v>
      </c>
      <c r="B34" s="511">
        <v>0</v>
      </c>
      <c r="C34" s="512">
        <v>0</v>
      </c>
      <c r="D34" s="512">
        <v>0</v>
      </c>
      <c r="E34" s="512">
        <f t="shared" si="22"/>
        <v>0</v>
      </c>
      <c r="F34" s="513" t="e">
        <f t="shared" si="23"/>
        <v>#DIV/0!</v>
      </c>
      <c r="G34" s="512">
        <f t="shared" si="24"/>
        <v>0</v>
      </c>
      <c r="H34" s="512">
        <f t="shared" si="25"/>
        <v>0</v>
      </c>
      <c r="I34" s="514">
        <v>0</v>
      </c>
      <c r="J34" s="515">
        <v>0</v>
      </c>
      <c r="K34" s="516">
        <f t="shared" si="36"/>
        <v>0</v>
      </c>
      <c r="L34" s="512">
        <f t="shared" si="26"/>
        <v>0</v>
      </c>
      <c r="M34" s="512">
        <f t="shared" si="27"/>
        <v>0</v>
      </c>
      <c r="N34" s="512">
        <f t="shared" si="28"/>
        <v>0</v>
      </c>
      <c r="O34" s="513" t="e">
        <f t="shared" si="29"/>
        <v>#DIV/0!</v>
      </c>
      <c r="P34" s="512">
        <f t="shared" si="30"/>
        <v>0</v>
      </c>
      <c r="Q34" s="512">
        <f t="shared" si="31"/>
        <v>0</v>
      </c>
      <c r="R34" s="514">
        <v>0</v>
      </c>
      <c r="S34" s="517">
        <v>0</v>
      </c>
      <c r="T34" s="518">
        <v>0</v>
      </c>
      <c r="U34" s="514">
        <v>0</v>
      </c>
      <c r="V34" s="514">
        <v>0</v>
      </c>
      <c r="W34" s="512">
        <f t="shared" si="32"/>
        <v>0</v>
      </c>
      <c r="X34" s="513" t="e">
        <f t="shared" si="33"/>
        <v>#DIV/0!</v>
      </c>
      <c r="Y34" s="512">
        <f t="shared" si="34"/>
        <v>0</v>
      </c>
      <c r="Z34" s="512">
        <f t="shared" si="35"/>
        <v>0</v>
      </c>
      <c r="AA34" s="500">
        <f t="shared" si="37"/>
        <v>0</v>
      </c>
      <c r="AB34" s="519">
        <f t="shared" si="38"/>
        <v>0</v>
      </c>
    </row>
    <row r="35" spans="1:28" s="279" customFormat="1" x14ac:dyDescent="0.2">
      <c r="A35" s="280" t="s">
        <v>11</v>
      </c>
      <c r="B35" s="511">
        <v>0</v>
      </c>
      <c r="C35" s="512">
        <v>0</v>
      </c>
      <c r="D35" s="512">
        <v>0</v>
      </c>
      <c r="E35" s="512">
        <f t="shared" si="22"/>
        <v>0</v>
      </c>
      <c r="F35" s="513" t="e">
        <f t="shared" si="23"/>
        <v>#DIV/0!</v>
      </c>
      <c r="G35" s="512">
        <f t="shared" si="24"/>
        <v>0</v>
      </c>
      <c r="H35" s="512">
        <f t="shared" si="25"/>
        <v>0</v>
      </c>
      <c r="I35" s="514">
        <v>0</v>
      </c>
      <c r="J35" s="515">
        <v>0</v>
      </c>
      <c r="K35" s="516">
        <f t="shared" si="36"/>
        <v>0</v>
      </c>
      <c r="L35" s="512">
        <f t="shared" si="26"/>
        <v>0</v>
      </c>
      <c r="M35" s="512">
        <f t="shared" si="27"/>
        <v>0</v>
      </c>
      <c r="N35" s="512">
        <f t="shared" si="28"/>
        <v>0</v>
      </c>
      <c r="O35" s="513" t="e">
        <f t="shared" si="29"/>
        <v>#DIV/0!</v>
      </c>
      <c r="P35" s="512">
        <f t="shared" si="30"/>
        <v>0</v>
      </c>
      <c r="Q35" s="512">
        <f t="shared" si="31"/>
        <v>0</v>
      </c>
      <c r="R35" s="514">
        <v>0</v>
      </c>
      <c r="S35" s="517">
        <v>0</v>
      </c>
      <c r="T35" s="518">
        <v>0</v>
      </c>
      <c r="U35" s="514">
        <v>0</v>
      </c>
      <c r="V35" s="514">
        <v>0</v>
      </c>
      <c r="W35" s="512">
        <f t="shared" si="32"/>
        <v>0</v>
      </c>
      <c r="X35" s="513" t="e">
        <f t="shared" si="33"/>
        <v>#DIV/0!</v>
      </c>
      <c r="Y35" s="512">
        <f t="shared" si="34"/>
        <v>0</v>
      </c>
      <c r="Z35" s="512">
        <f t="shared" si="35"/>
        <v>0</v>
      </c>
      <c r="AA35" s="500">
        <f t="shared" si="37"/>
        <v>0</v>
      </c>
      <c r="AB35" s="519">
        <f t="shared" si="38"/>
        <v>0</v>
      </c>
    </row>
    <row r="36" spans="1:28" s="279" customFormat="1" x14ac:dyDescent="0.2">
      <c r="A36" s="280" t="s">
        <v>12</v>
      </c>
      <c r="B36" s="511">
        <v>0</v>
      </c>
      <c r="C36" s="512">
        <v>0</v>
      </c>
      <c r="D36" s="512">
        <v>0</v>
      </c>
      <c r="E36" s="512">
        <f t="shared" si="22"/>
        <v>0</v>
      </c>
      <c r="F36" s="513" t="e">
        <f t="shared" si="23"/>
        <v>#DIV/0!</v>
      </c>
      <c r="G36" s="512">
        <f t="shared" si="24"/>
        <v>0</v>
      </c>
      <c r="H36" s="512">
        <f t="shared" si="25"/>
        <v>0</v>
      </c>
      <c r="I36" s="514">
        <v>0</v>
      </c>
      <c r="J36" s="515">
        <v>0</v>
      </c>
      <c r="K36" s="516">
        <f t="shared" si="36"/>
        <v>0</v>
      </c>
      <c r="L36" s="512">
        <f t="shared" si="26"/>
        <v>0</v>
      </c>
      <c r="M36" s="512">
        <f t="shared" si="27"/>
        <v>0</v>
      </c>
      <c r="N36" s="512">
        <f t="shared" si="28"/>
        <v>0</v>
      </c>
      <c r="O36" s="513" t="e">
        <f t="shared" si="29"/>
        <v>#DIV/0!</v>
      </c>
      <c r="P36" s="512">
        <f t="shared" si="30"/>
        <v>0</v>
      </c>
      <c r="Q36" s="512">
        <f t="shared" si="31"/>
        <v>0</v>
      </c>
      <c r="R36" s="514">
        <v>0</v>
      </c>
      <c r="S36" s="517">
        <v>0</v>
      </c>
      <c r="T36" s="518">
        <v>0</v>
      </c>
      <c r="U36" s="514">
        <v>0</v>
      </c>
      <c r="V36" s="514">
        <v>0</v>
      </c>
      <c r="W36" s="512">
        <f t="shared" si="32"/>
        <v>0</v>
      </c>
      <c r="X36" s="513" t="e">
        <f t="shared" si="33"/>
        <v>#DIV/0!</v>
      </c>
      <c r="Y36" s="512">
        <f t="shared" si="34"/>
        <v>0</v>
      </c>
      <c r="Z36" s="512">
        <f t="shared" si="35"/>
        <v>0</v>
      </c>
      <c r="AA36" s="500">
        <f t="shared" si="37"/>
        <v>0</v>
      </c>
      <c r="AB36" s="519">
        <f t="shared" si="38"/>
        <v>0</v>
      </c>
    </row>
    <row r="37" spans="1:28" s="279" customFormat="1" x14ac:dyDescent="0.2">
      <c r="A37" s="280" t="s">
        <v>13</v>
      </c>
      <c r="B37" s="511">
        <v>0</v>
      </c>
      <c r="C37" s="512">
        <v>0</v>
      </c>
      <c r="D37" s="512">
        <v>0</v>
      </c>
      <c r="E37" s="512">
        <f t="shared" si="22"/>
        <v>0</v>
      </c>
      <c r="F37" s="513" t="e">
        <f t="shared" si="23"/>
        <v>#DIV/0!</v>
      </c>
      <c r="G37" s="512">
        <f t="shared" si="24"/>
        <v>0</v>
      </c>
      <c r="H37" s="512">
        <f t="shared" si="25"/>
        <v>0</v>
      </c>
      <c r="I37" s="514">
        <v>0</v>
      </c>
      <c r="J37" s="515">
        <v>0</v>
      </c>
      <c r="K37" s="516">
        <f t="shared" si="36"/>
        <v>0</v>
      </c>
      <c r="L37" s="512">
        <f t="shared" si="26"/>
        <v>0</v>
      </c>
      <c r="M37" s="512">
        <f t="shared" si="27"/>
        <v>0</v>
      </c>
      <c r="N37" s="512">
        <f t="shared" si="28"/>
        <v>0</v>
      </c>
      <c r="O37" s="513" t="e">
        <f t="shared" si="29"/>
        <v>#DIV/0!</v>
      </c>
      <c r="P37" s="512">
        <f t="shared" si="30"/>
        <v>0</v>
      </c>
      <c r="Q37" s="512">
        <f t="shared" si="31"/>
        <v>0</v>
      </c>
      <c r="R37" s="514">
        <v>0</v>
      </c>
      <c r="S37" s="517">
        <v>0</v>
      </c>
      <c r="T37" s="518">
        <v>0</v>
      </c>
      <c r="U37" s="514">
        <v>0</v>
      </c>
      <c r="V37" s="514">
        <v>0</v>
      </c>
      <c r="W37" s="512">
        <f t="shared" si="32"/>
        <v>0</v>
      </c>
      <c r="X37" s="513" t="e">
        <f t="shared" si="33"/>
        <v>#DIV/0!</v>
      </c>
      <c r="Y37" s="512">
        <f t="shared" si="34"/>
        <v>0</v>
      </c>
      <c r="Z37" s="512">
        <f t="shared" si="35"/>
        <v>0</v>
      </c>
      <c r="AA37" s="500">
        <f t="shared" si="37"/>
        <v>0</v>
      </c>
      <c r="AB37" s="519">
        <f t="shared" si="38"/>
        <v>0</v>
      </c>
    </row>
    <row r="38" spans="1:28" s="279" customFormat="1" x14ac:dyDescent="0.2">
      <c r="A38" s="280" t="s">
        <v>2</v>
      </c>
      <c r="B38" s="511">
        <v>0</v>
      </c>
      <c r="C38" s="512">
        <v>0</v>
      </c>
      <c r="D38" s="512">
        <v>0</v>
      </c>
      <c r="E38" s="512">
        <f t="shared" si="22"/>
        <v>0</v>
      </c>
      <c r="F38" s="513" t="e">
        <f t="shared" si="23"/>
        <v>#DIV/0!</v>
      </c>
      <c r="G38" s="512">
        <f t="shared" si="24"/>
        <v>0</v>
      </c>
      <c r="H38" s="512">
        <f t="shared" si="25"/>
        <v>0</v>
      </c>
      <c r="I38" s="514">
        <v>0</v>
      </c>
      <c r="J38" s="515">
        <v>0</v>
      </c>
      <c r="K38" s="516">
        <f t="shared" si="36"/>
        <v>0</v>
      </c>
      <c r="L38" s="512">
        <f t="shared" si="26"/>
        <v>0</v>
      </c>
      <c r="M38" s="512">
        <f t="shared" si="27"/>
        <v>0</v>
      </c>
      <c r="N38" s="512">
        <f t="shared" si="28"/>
        <v>0</v>
      </c>
      <c r="O38" s="513" t="e">
        <f t="shared" si="29"/>
        <v>#DIV/0!</v>
      </c>
      <c r="P38" s="512">
        <f t="shared" si="30"/>
        <v>0</v>
      </c>
      <c r="Q38" s="512">
        <f t="shared" si="31"/>
        <v>0</v>
      </c>
      <c r="R38" s="514">
        <v>0</v>
      </c>
      <c r="S38" s="517">
        <v>0</v>
      </c>
      <c r="T38" s="518">
        <v>0</v>
      </c>
      <c r="U38" s="514">
        <v>0</v>
      </c>
      <c r="V38" s="514">
        <v>0</v>
      </c>
      <c r="W38" s="512">
        <f t="shared" si="32"/>
        <v>0</v>
      </c>
      <c r="X38" s="513" t="e">
        <f t="shared" si="33"/>
        <v>#DIV/0!</v>
      </c>
      <c r="Y38" s="512">
        <f t="shared" si="34"/>
        <v>0</v>
      </c>
      <c r="Z38" s="512">
        <f t="shared" si="35"/>
        <v>0</v>
      </c>
      <c r="AA38" s="500">
        <f t="shared" si="37"/>
        <v>0</v>
      </c>
      <c r="AB38" s="519">
        <f t="shared" si="38"/>
        <v>0</v>
      </c>
    </row>
    <row r="39" spans="1:28" s="279" customFormat="1" x14ac:dyDescent="0.2">
      <c r="A39" s="280" t="s">
        <v>3</v>
      </c>
      <c r="B39" s="511">
        <v>0</v>
      </c>
      <c r="C39" s="512">
        <v>0</v>
      </c>
      <c r="D39" s="512">
        <v>0</v>
      </c>
      <c r="E39" s="512">
        <f t="shared" si="22"/>
        <v>0</v>
      </c>
      <c r="F39" s="513" t="e">
        <f t="shared" si="23"/>
        <v>#DIV/0!</v>
      </c>
      <c r="G39" s="512">
        <f t="shared" si="24"/>
        <v>0</v>
      </c>
      <c r="H39" s="512">
        <f t="shared" si="25"/>
        <v>0</v>
      </c>
      <c r="I39" s="514">
        <v>0</v>
      </c>
      <c r="J39" s="515">
        <v>0</v>
      </c>
      <c r="K39" s="516">
        <f t="shared" si="36"/>
        <v>0</v>
      </c>
      <c r="L39" s="512">
        <f t="shared" si="26"/>
        <v>0</v>
      </c>
      <c r="M39" s="512">
        <f t="shared" si="27"/>
        <v>0</v>
      </c>
      <c r="N39" s="512">
        <f t="shared" si="28"/>
        <v>0</v>
      </c>
      <c r="O39" s="513" t="e">
        <f t="shared" si="29"/>
        <v>#DIV/0!</v>
      </c>
      <c r="P39" s="512">
        <f t="shared" si="30"/>
        <v>0</v>
      </c>
      <c r="Q39" s="512">
        <f t="shared" si="31"/>
        <v>0</v>
      </c>
      <c r="R39" s="514">
        <v>0</v>
      </c>
      <c r="S39" s="517">
        <v>0</v>
      </c>
      <c r="T39" s="518">
        <v>0</v>
      </c>
      <c r="U39" s="514">
        <v>0</v>
      </c>
      <c r="V39" s="514">
        <v>0</v>
      </c>
      <c r="W39" s="512">
        <f t="shared" si="32"/>
        <v>0</v>
      </c>
      <c r="X39" s="513" t="e">
        <f t="shared" si="33"/>
        <v>#DIV/0!</v>
      </c>
      <c r="Y39" s="512">
        <f t="shared" si="34"/>
        <v>0</v>
      </c>
      <c r="Z39" s="512">
        <f t="shared" si="35"/>
        <v>0</v>
      </c>
      <c r="AA39" s="500">
        <f t="shared" si="37"/>
        <v>0</v>
      </c>
      <c r="AB39" s="519">
        <f t="shared" si="38"/>
        <v>0</v>
      </c>
    </row>
    <row r="40" spans="1:28" x14ac:dyDescent="0.2">
      <c r="A40" s="280" t="s">
        <v>4</v>
      </c>
      <c r="B40" s="511">
        <v>0</v>
      </c>
      <c r="C40" s="512">
        <v>0</v>
      </c>
      <c r="D40" s="512">
        <v>0</v>
      </c>
      <c r="E40" s="512">
        <f t="shared" si="22"/>
        <v>0</v>
      </c>
      <c r="F40" s="513" t="e">
        <f t="shared" si="23"/>
        <v>#DIV/0!</v>
      </c>
      <c r="G40" s="512">
        <f t="shared" si="24"/>
        <v>0</v>
      </c>
      <c r="H40" s="512">
        <f t="shared" si="25"/>
        <v>0</v>
      </c>
      <c r="I40" s="514">
        <v>0</v>
      </c>
      <c r="J40" s="515">
        <v>0</v>
      </c>
      <c r="K40" s="516">
        <f t="shared" si="36"/>
        <v>0</v>
      </c>
      <c r="L40" s="512">
        <f t="shared" si="26"/>
        <v>0</v>
      </c>
      <c r="M40" s="512">
        <f t="shared" si="27"/>
        <v>0</v>
      </c>
      <c r="N40" s="512">
        <f t="shared" si="28"/>
        <v>0</v>
      </c>
      <c r="O40" s="513" t="e">
        <f t="shared" si="29"/>
        <v>#DIV/0!</v>
      </c>
      <c r="P40" s="512">
        <f t="shared" si="30"/>
        <v>0</v>
      </c>
      <c r="Q40" s="512">
        <f t="shared" si="31"/>
        <v>0</v>
      </c>
      <c r="R40" s="514">
        <v>0</v>
      </c>
      <c r="S40" s="517">
        <v>0</v>
      </c>
      <c r="T40" s="518">
        <v>0</v>
      </c>
      <c r="U40" s="514">
        <v>0</v>
      </c>
      <c r="V40" s="514">
        <v>0</v>
      </c>
      <c r="W40" s="512">
        <f t="shared" si="32"/>
        <v>0</v>
      </c>
      <c r="X40" s="513" t="e">
        <f t="shared" si="33"/>
        <v>#DIV/0!</v>
      </c>
      <c r="Y40" s="512">
        <f t="shared" si="34"/>
        <v>0</v>
      </c>
      <c r="Z40" s="512">
        <f t="shared" si="35"/>
        <v>0</v>
      </c>
      <c r="AA40" s="500">
        <f t="shared" si="37"/>
        <v>0</v>
      </c>
      <c r="AB40" s="519">
        <f t="shared" si="38"/>
        <v>0</v>
      </c>
    </row>
    <row r="41" spans="1:28" ht="12.75" thickBot="1" x14ac:dyDescent="0.25">
      <c r="A41" s="287" t="s">
        <v>5</v>
      </c>
      <c r="B41" s="520">
        <v>0</v>
      </c>
      <c r="C41" s="521">
        <v>0</v>
      </c>
      <c r="D41" s="521">
        <v>0</v>
      </c>
      <c r="E41" s="521">
        <f t="shared" si="22"/>
        <v>0</v>
      </c>
      <c r="F41" s="522" t="e">
        <f t="shared" si="23"/>
        <v>#DIV/0!</v>
      </c>
      <c r="G41" s="521">
        <f t="shared" si="24"/>
        <v>0</v>
      </c>
      <c r="H41" s="521">
        <f t="shared" si="25"/>
        <v>0</v>
      </c>
      <c r="I41" s="523">
        <v>0</v>
      </c>
      <c r="J41" s="524">
        <v>0</v>
      </c>
      <c r="K41" s="525">
        <f t="shared" si="36"/>
        <v>0</v>
      </c>
      <c r="L41" s="521">
        <f t="shared" si="26"/>
        <v>0</v>
      </c>
      <c r="M41" s="521">
        <f t="shared" si="27"/>
        <v>0</v>
      </c>
      <c r="N41" s="521">
        <f t="shared" si="28"/>
        <v>0</v>
      </c>
      <c r="O41" s="522" t="e">
        <f t="shared" si="29"/>
        <v>#DIV/0!</v>
      </c>
      <c r="P41" s="521">
        <f t="shared" si="30"/>
        <v>0</v>
      </c>
      <c r="Q41" s="521">
        <f t="shared" si="31"/>
        <v>0</v>
      </c>
      <c r="R41" s="523">
        <v>0</v>
      </c>
      <c r="S41" s="526">
        <v>0</v>
      </c>
      <c r="T41" s="527">
        <v>0</v>
      </c>
      <c r="U41" s="523">
        <v>0</v>
      </c>
      <c r="V41" s="523">
        <v>0</v>
      </c>
      <c r="W41" s="521">
        <f t="shared" si="32"/>
        <v>0</v>
      </c>
      <c r="X41" s="522" t="e">
        <f t="shared" si="33"/>
        <v>#DIV/0!</v>
      </c>
      <c r="Y41" s="521">
        <f t="shared" si="34"/>
        <v>0</v>
      </c>
      <c r="Z41" s="521">
        <f t="shared" si="35"/>
        <v>0</v>
      </c>
      <c r="AA41" s="528">
        <f t="shared" si="37"/>
        <v>0</v>
      </c>
      <c r="AB41" s="529">
        <f t="shared" si="38"/>
        <v>0</v>
      </c>
    </row>
    <row r="42" spans="1:28" ht="12.75" thickBot="1" x14ac:dyDescent="0.25"/>
    <row r="43" spans="1:28" ht="15.75" customHeight="1" thickBot="1" x14ac:dyDescent="0.25">
      <c r="B43" s="911" t="s">
        <v>74</v>
      </c>
      <c r="C43" s="912"/>
      <c r="D43" s="912"/>
      <c r="E43" s="912"/>
      <c r="F43" s="912"/>
      <c r="G43" s="912"/>
      <c r="H43" s="912"/>
      <c r="I43" s="912"/>
      <c r="J43" s="912"/>
      <c r="K43" s="912"/>
      <c r="L43" s="912"/>
      <c r="M43" s="912"/>
      <c r="N43" s="912"/>
      <c r="O43" s="912"/>
      <c r="P43" s="912"/>
      <c r="Q43" s="912"/>
      <c r="R43" s="912"/>
      <c r="S43" s="912"/>
      <c r="T43" s="912"/>
      <c r="U43" s="912"/>
      <c r="V43" s="912"/>
      <c r="W43" s="912"/>
      <c r="X43" s="912"/>
      <c r="Y43" s="912"/>
      <c r="Z43" s="912"/>
      <c r="AA43" s="912"/>
      <c r="AB43" s="913"/>
    </row>
    <row r="44" spans="1:28" s="269" customFormat="1" ht="15.75" customHeight="1" thickBot="1" x14ac:dyDescent="0.3">
      <c r="A44" s="268"/>
      <c r="B44" s="908" t="s">
        <v>39</v>
      </c>
      <c r="C44" s="909"/>
      <c r="D44" s="909"/>
      <c r="E44" s="909"/>
      <c r="F44" s="909"/>
      <c r="G44" s="909"/>
      <c r="H44" s="909"/>
      <c r="I44" s="909"/>
      <c r="J44" s="910"/>
      <c r="K44" s="908" t="s">
        <v>25</v>
      </c>
      <c r="L44" s="909"/>
      <c r="M44" s="909"/>
      <c r="N44" s="909"/>
      <c r="O44" s="909"/>
      <c r="P44" s="909"/>
      <c r="Q44" s="909"/>
      <c r="R44" s="909"/>
      <c r="S44" s="910"/>
      <c r="T44" s="908" t="s">
        <v>46</v>
      </c>
      <c r="U44" s="909"/>
      <c r="V44" s="909"/>
      <c r="W44" s="909"/>
      <c r="X44" s="909"/>
      <c r="Y44" s="909"/>
      <c r="Z44" s="909"/>
      <c r="AA44" s="909"/>
      <c r="AB44" s="910"/>
    </row>
    <row r="45" spans="1:28" s="269" customFormat="1" x14ac:dyDescent="0.25">
      <c r="A45" s="270"/>
      <c r="B45" s="481">
        <f>SUM(B47:B58)</f>
        <v>0</v>
      </c>
      <c r="C45" s="482">
        <f>SUM(C47:C58)</f>
        <v>0</v>
      </c>
      <c r="D45" s="482">
        <f>SUM(D47:D58)</f>
        <v>0</v>
      </c>
      <c r="E45" s="482">
        <f>SUM(E47:E58)</f>
        <v>0</v>
      </c>
      <c r="F45" s="483" t="e">
        <f>SUM((D45-C45)/C45)</f>
        <v>#DIV/0!</v>
      </c>
      <c r="G45" s="482">
        <f t="shared" ref="G45:J45" si="39">SUM(G47:G58)</f>
        <v>0</v>
      </c>
      <c r="H45" s="482">
        <f t="shared" si="39"/>
        <v>0</v>
      </c>
      <c r="I45" s="472">
        <f t="shared" si="39"/>
        <v>0</v>
      </c>
      <c r="J45" s="473">
        <f t="shared" si="39"/>
        <v>0</v>
      </c>
      <c r="K45" s="484">
        <f>SUM(K47:K58)</f>
        <v>0</v>
      </c>
      <c r="L45" s="482">
        <f>SUM(L47:L58)</f>
        <v>0</v>
      </c>
      <c r="M45" s="482">
        <f>SUM(M47:M58)</f>
        <v>0</v>
      </c>
      <c r="N45" s="482">
        <f>SUM(N47:N58)</f>
        <v>0</v>
      </c>
      <c r="O45" s="483" t="e">
        <f>SUM((M45-L45)/L45)</f>
        <v>#DIV/0!</v>
      </c>
      <c r="P45" s="482">
        <f t="shared" ref="P45:AB45" si="40">SUM(P47:P58)</f>
        <v>0</v>
      </c>
      <c r="Q45" s="482">
        <f t="shared" si="40"/>
        <v>0</v>
      </c>
      <c r="R45" s="472">
        <f t="shared" si="40"/>
        <v>0</v>
      </c>
      <c r="S45" s="473">
        <f t="shared" si="40"/>
        <v>0</v>
      </c>
      <c r="T45" s="479">
        <f t="shared" si="40"/>
        <v>0</v>
      </c>
      <c r="U45" s="472">
        <f t="shared" si="40"/>
        <v>0</v>
      </c>
      <c r="V45" s="472">
        <f t="shared" si="40"/>
        <v>0</v>
      </c>
      <c r="W45" s="472">
        <f t="shared" si="40"/>
        <v>0</v>
      </c>
      <c r="X45" s="498" t="e">
        <f>SUM((V45-U45)/U45)</f>
        <v>#DIV/0!</v>
      </c>
      <c r="Y45" s="472">
        <f t="shared" si="40"/>
        <v>0</v>
      </c>
      <c r="Z45" s="472">
        <f t="shared" si="40"/>
        <v>0</v>
      </c>
      <c r="AA45" s="472">
        <f t="shared" si="40"/>
        <v>0</v>
      </c>
      <c r="AB45" s="473">
        <f t="shared" si="40"/>
        <v>0</v>
      </c>
    </row>
    <row r="46" spans="1:28" s="272" customFormat="1" ht="36.75" thickBot="1" x14ac:dyDescent="0.3">
      <c r="A46" s="271"/>
      <c r="B46" s="487" t="s">
        <v>47</v>
      </c>
      <c r="C46" s="475" t="s">
        <v>48</v>
      </c>
      <c r="D46" s="475" t="s">
        <v>49</v>
      </c>
      <c r="E46" s="475" t="s">
        <v>51</v>
      </c>
      <c r="F46" s="476" t="s">
        <v>50</v>
      </c>
      <c r="G46" s="474" t="s">
        <v>77</v>
      </c>
      <c r="H46" s="475" t="s">
        <v>85</v>
      </c>
      <c r="I46" s="477" t="s">
        <v>75</v>
      </c>
      <c r="J46" s="478" t="s">
        <v>76</v>
      </c>
      <c r="K46" s="488" t="s">
        <v>47</v>
      </c>
      <c r="L46" s="489" t="s">
        <v>48</v>
      </c>
      <c r="M46" s="489" t="s">
        <v>49</v>
      </c>
      <c r="N46" s="490" t="s">
        <v>51</v>
      </c>
      <c r="O46" s="491" t="s">
        <v>50</v>
      </c>
      <c r="P46" s="489" t="s">
        <v>77</v>
      </c>
      <c r="Q46" s="490" t="s">
        <v>85</v>
      </c>
      <c r="R46" s="492" t="s">
        <v>75</v>
      </c>
      <c r="S46" s="493" t="s">
        <v>76</v>
      </c>
      <c r="T46" s="480" t="s">
        <v>47</v>
      </c>
      <c r="U46" s="474" t="s">
        <v>48</v>
      </c>
      <c r="V46" s="474" t="s">
        <v>49</v>
      </c>
      <c r="W46" s="475" t="s">
        <v>51</v>
      </c>
      <c r="X46" s="476" t="s">
        <v>50</v>
      </c>
      <c r="Y46" s="474" t="s">
        <v>77</v>
      </c>
      <c r="Z46" s="475" t="s">
        <v>85</v>
      </c>
      <c r="AA46" s="477" t="s">
        <v>75</v>
      </c>
      <c r="AB46" s="478" t="s">
        <v>76</v>
      </c>
    </row>
    <row r="47" spans="1:28" s="279" customFormat="1" x14ac:dyDescent="0.2">
      <c r="A47" s="273" t="s">
        <v>6</v>
      </c>
      <c r="B47" s="278">
        <f t="shared" ref="B47:D50" si="41">SUM(B64-B30-B13)</f>
        <v>0</v>
      </c>
      <c r="C47" s="274">
        <f t="shared" si="41"/>
        <v>0</v>
      </c>
      <c r="D47" s="274">
        <f t="shared" si="41"/>
        <v>0</v>
      </c>
      <c r="E47" s="274">
        <f t="shared" ref="E47:E58" si="42">SUM(D47-C47)</f>
        <v>0</v>
      </c>
      <c r="F47" s="275" t="e">
        <f t="shared" ref="F47:F58" si="43">SUM((D47-C47)/C47)</f>
        <v>#DIV/0!</v>
      </c>
      <c r="G47" s="274">
        <f t="shared" ref="G47:G58" si="44">SUM(C47+B47)/2</f>
        <v>0</v>
      </c>
      <c r="H47" s="274">
        <f t="shared" ref="H47:H58" si="45">D47-G47</f>
        <v>0</v>
      </c>
      <c r="I47" s="276">
        <v>0</v>
      </c>
      <c r="J47" s="277">
        <v>0</v>
      </c>
      <c r="K47" s="278">
        <f t="shared" ref="K47:M50" si="46">SUM(K64-K30-K13)</f>
        <v>0</v>
      </c>
      <c r="L47" s="274">
        <f t="shared" si="46"/>
        <v>0</v>
      </c>
      <c r="M47" s="274">
        <f t="shared" si="46"/>
        <v>0</v>
      </c>
      <c r="N47" s="274">
        <f t="shared" ref="N47:N58" si="47">SUM(M47-L47)</f>
        <v>0</v>
      </c>
      <c r="O47" s="275" t="e">
        <f t="shared" ref="O47:O58" si="48">SUM((M47-L47)/L47)</f>
        <v>#DIV/0!</v>
      </c>
      <c r="P47" s="274">
        <f t="shared" ref="P47:P58" si="49">SUM(L47+K47)/2</f>
        <v>0</v>
      </c>
      <c r="Q47" s="274">
        <f t="shared" ref="Q47:Q58" si="50">M47-P47</f>
        <v>0</v>
      </c>
      <c r="R47" s="276">
        <v>0</v>
      </c>
      <c r="S47" s="277">
        <v>0</v>
      </c>
      <c r="T47" s="278">
        <f t="shared" ref="T47:V50" si="51">SUM(T64-T30-T13)</f>
        <v>0</v>
      </c>
      <c r="U47" s="274">
        <f t="shared" si="51"/>
        <v>0</v>
      </c>
      <c r="V47" s="274">
        <f t="shared" si="51"/>
        <v>0</v>
      </c>
      <c r="W47" s="274">
        <f t="shared" ref="W47:W58" si="52">SUM(V47-U47)</f>
        <v>0</v>
      </c>
      <c r="X47" s="275" t="e">
        <f t="shared" ref="X47:X58" si="53">SUM((V47-U47)/U47)</f>
        <v>#DIV/0!</v>
      </c>
      <c r="Y47" s="274">
        <f t="shared" ref="Y47:Y58" si="54">SUM(U47+T47)/2</f>
        <v>0</v>
      </c>
      <c r="Z47" s="274">
        <f t="shared" ref="Z47:Z58" si="55">V47-Y47</f>
        <v>0</v>
      </c>
      <c r="AA47" s="274">
        <f>SUM(R47+I47)</f>
        <v>0</v>
      </c>
      <c r="AB47" s="469">
        <f>SUM(S47+J47)</f>
        <v>0</v>
      </c>
    </row>
    <row r="48" spans="1:28" s="279" customFormat="1" x14ac:dyDescent="0.2">
      <c r="A48" s="280" t="s">
        <v>7</v>
      </c>
      <c r="B48" s="286">
        <f t="shared" si="41"/>
        <v>0</v>
      </c>
      <c r="C48" s="281">
        <f t="shared" si="41"/>
        <v>0</v>
      </c>
      <c r="D48" s="281">
        <f t="shared" si="41"/>
        <v>0</v>
      </c>
      <c r="E48" s="281">
        <f t="shared" si="42"/>
        <v>0</v>
      </c>
      <c r="F48" s="282" t="e">
        <f t="shared" si="43"/>
        <v>#DIV/0!</v>
      </c>
      <c r="G48" s="281">
        <f t="shared" si="44"/>
        <v>0</v>
      </c>
      <c r="H48" s="281">
        <f t="shared" si="45"/>
        <v>0</v>
      </c>
      <c r="I48" s="283">
        <v>0</v>
      </c>
      <c r="J48" s="284">
        <v>0</v>
      </c>
      <c r="K48" s="286">
        <f t="shared" si="46"/>
        <v>0</v>
      </c>
      <c r="L48" s="281">
        <f t="shared" si="46"/>
        <v>0</v>
      </c>
      <c r="M48" s="281">
        <f t="shared" si="46"/>
        <v>0</v>
      </c>
      <c r="N48" s="281">
        <f t="shared" si="47"/>
        <v>0</v>
      </c>
      <c r="O48" s="282" t="e">
        <f t="shared" si="48"/>
        <v>#DIV/0!</v>
      </c>
      <c r="P48" s="281">
        <f t="shared" si="49"/>
        <v>0</v>
      </c>
      <c r="Q48" s="281">
        <f t="shared" si="50"/>
        <v>0</v>
      </c>
      <c r="R48" s="283">
        <v>0</v>
      </c>
      <c r="S48" s="284">
        <v>0</v>
      </c>
      <c r="T48" s="286">
        <f t="shared" si="51"/>
        <v>0</v>
      </c>
      <c r="U48" s="281">
        <f t="shared" si="51"/>
        <v>0</v>
      </c>
      <c r="V48" s="281">
        <f t="shared" si="51"/>
        <v>0</v>
      </c>
      <c r="W48" s="281">
        <f t="shared" si="52"/>
        <v>0</v>
      </c>
      <c r="X48" s="282" t="e">
        <f t="shared" si="53"/>
        <v>#DIV/0!</v>
      </c>
      <c r="Y48" s="281">
        <f t="shared" si="54"/>
        <v>0</v>
      </c>
      <c r="Z48" s="281">
        <f t="shared" si="55"/>
        <v>0</v>
      </c>
      <c r="AA48" s="470">
        <f t="shared" ref="AA48:AA58" si="56">SUM(R48+I48)</f>
        <v>0</v>
      </c>
      <c r="AB48" s="495">
        <f t="shared" ref="AB48:AB58" si="57">SUM(S48+J48)</f>
        <v>0</v>
      </c>
    </row>
    <row r="49" spans="1:28" s="279" customFormat="1" x14ac:dyDescent="0.2">
      <c r="A49" s="280" t="s">
        <v>8</v>
      </c>
      <c r="B49" s="286">
        <f t="shared" si="41"/>
        <v>0</v>
      </c>
      <c r="C49" s="281">
        <f t="shared" si="41"/>
        <v>0</v>
      </c>
      <c r="D49" s="281">
        <f t="shared" si="41"/>
        <v>0</v>
      </c>
      <c r="E49" s="281">
        <f t="shared" si="42"/>
        <v>0</v>
      </c>
      <c r="F49" s="282" t="e">
        <f t="shared" si="43"/>
        <v>#DIV/0!</v>
      </c>
      <c r="G49" s="281">
        <f t="shared" si="44"/>
        <v>0</v>
      </c>
      <c r="H49" s="281">
        <f t="shared" si="45"/>
        <v>0</v>
      </c>
      <c r="I49" s="283">
        <v>0</v>
      </c>
      <c r="J49" s="284">
        <v>0</v>
      </c>
      <c r="K49" s="286">
        <f t="shared" si="46"/>
        <v>0</v>
      </c>
      <c r="L49" s="281">
        <f t="shared" si="46"/>
        <v>0</v>
      </c>
      <c r="M49" s="281">
        <f t="shared" si="46"/>
        <v>0</v>
      </c>
      <c r="N49" s="281">
        <f t="shared" si="47"/>
        <v>0</v>
      </c>
      <c r="O49" s="282" t="e">
        <f t="shared" si="48"/>
        <v>#DIV/0!</v>
      </c>
      <c r="P49" s="281">
        <f t="shared" si="49"/>
        <v>0</v>
      </c>
      <c r="Q49" s="281">
        <f t="shared" si="50"/>
        <v>0</v>
      </c>
      <c r="R49" s="283">
        <v>0</v>
      </c>
      <c r="S49" s="284">
        <v>0</v>
      </c>
      <c r="T49" s="286">
        <f t="shared" si="51"/>
        <v>0</v>
      </c>
      <c r="U49" s="281">
        <f t="shared" si="51"/>
        <v>0</v>
      </c>
      <c r="V49" s="281">
        <f t="shared" si="51"/>
        <v>0</v>
      </c>
      <c r="W49" s="281">
        <f t="shared" si="52"/>
        <v>0</v>
      </c>
      <c r="X49" s="282" t="e">
        <f t="shared" si="53"/>
        <v>#DIV/0!</v>
      </c>
      <c r="Y49" s="281">
        <f t="shared" si="54"/>
        <v>0</v>
      </c>
      <c r="Z49" s="281">
        <f t="shared" si="55"/>
        <v>0</v>
      </c>
      <c r="AA49" s="470">
        <f t="shared" si="56"/>
        <v>0</v>
      </c>
      <c r="AB49" s="495">
        <f t="shared" si="57"/>
        <v>0</v>
      </c>
    </row>
    <row r="50" spans="1:28" s="279" customFormat="1" x14ac:dyDescent="0.2">
      <c r="A50" s="280" t="s">
        <v>9</v>
      </c>
      <c r="B50" s="286">
        <f t="shared" si="41"/>
        <v>0</v>
      </c>
      <c r="C50" s="281">
        <f t="shared" si="41"/>
        <v>0</v>
      </c>
      <c r="D50" s="281">
        <f t="shared" si="41"/>
        <v>0</v>
      </c>
      <c r="E50" s="281">
        <f t="shared" si="42"/>
        <v>0</v>
      </c>
      <c r="F50" s="282" t="e">
        <f t="shared" si="43"/>
        <v>#DIV/0!</v>
      </c>
      <c r="G50" s="281">
        <f t="shared" si="44"/>
        <v>0</v>
      </c>
      <c r="H50" s="281">
        <f t="shared" si="45"/>
        <v>0</v>
      </c>
      <c r="I50" s="283">
        <v>0</v>
      </c>
      <c r="J50" s="284">
        <v>0</v>
      </c>
      <c r="K50" s="286">
        <f t="shared" si="46"/>
        <v>0</v>
      </c>
      <c r="L50" s="281">
        <f t="shared" si="46"/>
        <v>0</v>
      </c>
      <c r="M50" s="281">
        <f t="shared" si="46"/>
        <v>0</v>
      </c>
      <c r="N50" s="281">
        <f t="shared" si="47"/>
        <v>0</v>
      </c>
      <c r="O50" s="282" t="e">
        <f t="shared" si="48"/>
        <v>#DIV/0!</v>
      </c>
      <c r="P50" s="281">
        <f t="shared" si="49"/>
        <v>0</v>
      </c>
      <c r="Q50" s="281">
        <f t="shared" si="50"/>
        <v>0</v>
      </c>
      <c r="R50" s="283">
        <v>0</v>
      </c>
      <c r="S50" s="284">
        <v>0</v>
      </c>
      <c r="T50" s="286">
        <f t="shared" si="51"/>
        <v>0</v>
      </c>
      <c r="U50" s="281">
        <f t="shared" si="51"/>
        <v>0</v>
      </c>
      <c r="V50" s="281">
        <f t="shared" si="51"/>
        <v>0</v>
      </c>
      <c r="W50" s="281">
        <f t="shared" si="52"/>
        <v>0</v>
      </c>
      <c r="X50" s="282" t="e">
        <f t="shared" si="53"/>
        <v>#DIV/0!</v>
      </c>
      <c r="Y50" s="281">
        <f t="shared" si="54"/>
        <v>0</v>
      </c>
      <c r="Z50" s="281">
        <f t="shared" si="55"/>
        <v>0</v>
      </c>
      <c r="AA50" s="470">
        <f t="shared" si="56"/>
        <v>0</v>
      </c>
      <c r="AB50" s="495">
        <f t="shared" si="57"/>
        <v>0</v>
      </c>
    </row>
    <row r="51" spans="1:28" s="279" customFormat="1" x14ac:dyDescent="0.2">
      <c r="A51" s="280" t="s">
        <v>10</v>
      </c>
      <c r="B51" s="286">
        <f t="shared" ref="B51:C51" si="58">SUM(B68-B34-B17)</f>
        <v>0</v>
      </c>
      <c r="C51" s="281">
        <f t="shared" si="58"/>
        <v>0</v>
      </c>
      <c r="D51" s="281">
        <f>SUM(D68-D34-D17)</f>
        <v>0</v>
      </c>
      <c r="E51" s="281">
        <f t="shared" si="42"/>
        <v>0</v>
      </c>
      <c r="F51" s="282" t="e">
        <f t="shared" si="43"/>
        <v>#DIV/0!</v>
      </c>
      <c r="G51" s="281">
        <f t="shared" si="44"/>
        <v>0</v>
      </c>
      <c r="H51" s="281">
        <f t="shared" si="45"/>
        <v>0</v>
      </c>
      <c r="I51" s="283">
        <v>0</v>
      </c>
      <c r="J51" s="284">
        <v>0</v>
      </c>
      <c r="K51" s="286">
        <f t="shared" ref="K51:L51" si="59">SUM(K68-K34-K17)</f>
        <v>0</v>
      </c>
      <c r="L51" s="281">
        <f t="shared" si="59"/>
        <v>0</v>
      </c>
      <c r="M51" s="281">
        <f>SUM(M68-M34-M17)</f>
        <v>0</v>
      </c>
      <c r="N51" s="281">
        <f t="shared" si="47"/>
        <v>0</v>
      </c>
      <c r="O51" s="282" t="e">
        <f t="shared" si="48"/>
        <v>#DIV/0!</v>
      </c>
      <c r="P51" s="281">
        <f t="shared" si="49"/>
        <v>0</v>
      </c>
      <c r="Q51" s="281">
        <f t="shared" si="50"/>
        <v>0</v>
      </c>
      <c r="R51" s="283">
        <v>0</v>
      </c>
      <c r="S51" s="284">
        <v>0</v>
      </c>
      <c r="T51" s="286">
        <f t="shared" ref="T51:U51" si="60">SUM(T68-T34-T17)</f>
        <v>0</v>
      </c>
      <c r="U51" s="281">
        <f t="shared" si="60"/>
        <v>0</v>
      </c>
      <c r="V51" s="281">
        <f>SUM(V68-V34-V17)</f>
        <v>0</v>
      </c>
      <c r="W51" s="281">
        <f t="shared" si="52"/>
        <v>0</v>
      </c>
      <c r="X51" s="282" t="e">
        <f t="shared" si="53"/>
        <v>#DIV/0!</v>
      </c>
      <c r="Y51" s="281">
        <f t="shared" si="54"/>
        <v>0</v>
      </c>
      <c r="Z51" s="281">
        <f t="shared" si="55"/>
        <v>0</v>
      </c>
      <c r="AA51" s="470">
        <f t="shared" si="56"/>
        <v>0</v>
      </c>
      <c r="AB51" s="495">
        <f t="shared" si="57"/>
        <v>0</v>
      </c>
    </row>
    <row r="52" spans="1:28" s="279" customFormat="1" x14ac:dyDescent="0.2">
      <c r="A52" s="280" t="s">
        <v>11</v>
      </c>
      <c r="B52" s="286">
        <f t="shared" ref="B52:D58" si="61">SUM(B69-B35-B18)</f>
        <v>0</v>
      </c>
      <c r="C52" s="281">
        <f t="shared" si="61"/>
        <v>0</v>
      </c>
      <c r="D52" s="281">
        <f t="shared" si="61"/>
        <v>0</v>
      </c>
      <c r="E52" s="281">
        <f t="shared" si="42"/>
        <v>0</v>
      </c>
      <c r="F52" s="282" t="e">
        <f t="shared" si="43"/>
        <v>#DIV/0!</v>
      </c>
      <c r="G52" s="281">
        <f t="shared" si="44"/>
        <v>0</v>
      </c>
      <c r="H52" s="281">
        <f t="shared" si="45"/>
        <v>0</v>
      </c>
      <c r="I52" s="283">
        <v>0</v>
      </c>
      <c r="J52" s="284">
        <v>0</v>
      </c>
      <c r="K52" s="286">
        <f t="shared" ref="K52:M57" si="62">SUM(K69-K35-K18)</f>
        <v>0</v>
      </c>
      <c r="L52" s="281">
        <f t="shared" si="62"/>
        <v>0</v>
      </c>
      <c r="M52" s="281">
        <f t="shared" si="62"/>
        <v>0</v>
      </c>
      <c r="N52" s="281">
        <f t="shared" si="47"/>
        <v>0</v>
      </c>
      <c r="O52" s="282" t="e">
        <f t="shared" si="48"/>
        <v>#DIV/0!</v>
      </c>
      <c r="P52" s="281">
        <f t="shared" si="49"/>
        <v>0</v>
      </c>
      <c r="Q52" s="281">
        <f t="shared" si="50"/>
        <v>0</v>
      </c>
      <c r="R52" s="283">
        <v>0</v>
      </c>
      <c r="S52" s="284">
        <v>0</v>
      </c>
      <c r="T52" s="286">
        <f t="shared" ref="T52:V58" si="63">SUM(T69-T35-T18)</f>
        <v>0</v>
      </c>
      <c r="U52" s="281">
        <f t="shared" si="63"/>
        <v>0</v>
      </c>
      <c r="V52" s="281">
        <f t="shared" si="63"/>
        <v>0</v>
      </c>
      <c r="W52" s="281">
        <f t="shared" si="52"/>
        <v>0</v>
      </c>
      <c r="X52" s="282" t="e">
        <f t="shared" si="53"/>
        <v>#DIV/0!</v>
      </c>
      <c r="Y52" s="281">
        <f t="shared" si="54"/>
        <v>0</v>
      </c>
      <c r="Z52" s="281">
        <f t="shared" si="55"/>
        <v>0</v>
      </c>
      <c r="AA52" s="470">
        <f t="shared" si="56"/>
        <v>0</v>
      </c>
      <c r="AB52" s="495">
        <f t="shared" si="57"/>
        <v>0</v>
      </c>
    </row>
    <row r="53" spans="1:28" s="279" customFormat="1" x14ac:dyDescent="0.2">
      <c r="A53" s="280" t="s">
        <v>12</v>
      </c>
      <c r="B53" s="286">
        <f t="shared" si="61"/>
        <v>0</v>
      </c>
      <c r="C53" s="281">
        <f t="shared" si="61"/>
        <v>0</v>
      </c>
      <c r="D53" s="281">
        <f t="shared" si="61"/>
        <v>0</v>
      </c>
      <c r="E53" s="281">
        <f t="shared" si="42"/>
        <v>0</v>
      </c>
      <c r="F53" s="282" t="e">
        <f t="shared" si="43"/>
        <v>#DIV/0!</v>
      </c>
      <c r="G53" s="281">
        <f t="shared" si="44"/>
        <v>0</v>
      </c>
      <c r="H53" s="281">
        <f t="shared" si="45"/>
        <v>0</v>
      </c>
      <c r="I53" s="283">
        <v>0</v>
      </c>
      <c r="J53" s="284">
        <v>0</v>
      </c>
      <c r="K53" s="286">
        <f t="shared" si="62"/>
        <v>0</v>
      </c>
      <c r="L53" s="281">
        <f t="shared" si="62"/>
        <v>0</v>
      </c>
      <c r="M53" s="281">
        <f t="shared" si="62"/>
        <v>0</v>
      </c>
      <c r="N53" s="281">
        <f t="shared" si="47"/>
        <v>0</v>
      </c>
      <c r="O53" s="282" t="e">
        <f t="shared" si="48"/>
        <v>#DIV/0!</v>
      </c>
      <c r="P53" s="281">
        <f t="shared" si="49"/>
        <v>0</v>
      </c>
      <c r="Q53" s="281">
        <f t="shared" si="50"/>
        <v>0</v>
      </c>
      <c r="R53" s="283">
        <v>0</v>
      </c>
      <c r="S53" s="284">
        <v>0</v>
      </c>
      <c r="T53" s="286">
        <f t="shared" si="63"/>
        <v>0</v>
      </c>
      <c r="U53" s="281">
        <f t="shared" si="63"/>
        <v>0</v>
      </c>
      <c r="V53" s="281">
        <f t="shared" si="63"/>
        <v>0</v>
      </c>
      <c r="W53" s="281">
        <f t="shared" si="52"/>
        <v>0</v>
      </c>
      <c r="X53" s="282" t="e">
        <f t="shared" si="53"/>
        <v>#DIV/0!</v>
      </c>
      <c r="Y53" s="281">
        <f t="shared" si="54"/>
        <v>0</v>
      </c>
      <c r="Z53" s="281">
        <f t="shared" si="55"/>
        <v>0</v>
      </c>
      <c r="AA53" s="470">
        <f t="shared" si="56"/>
        <v>0</v>
      </c>
      <c r="AB53" s="495">
        <f t="shared" si="57"/>
        <v>0</v>
      </c>
    </row>
    <row r="54" spans="1:28" s="279" customFormat="1" x14ac:dyDescent="0.2">
      <c r="A54" s="280" t="s">
        <v>13</v>
      </c>
      <c r="B54" s="286">
        <f t="shared" si="61"/>
        <v>0</v>
      </c>
      <c r="C54" s="281">
        <f t="shared" si="61"/>
        <v>0</v>
      </c>
      <c r="D54" s="281">
        <f t="shared" si="61"/>
        <v>0</v>
      </c>
      <c r="E54" s="281">
        <f t="shared" si="42"/>
        <v>0</v>
      </c>
      <c r="F54" s="282" t="e">
        <f t="shared" si="43"/>
        <v>#DIV/0!</v>
      </c>
      <c r="G54" s="281">
        <f t="shared" si="44"/>
        <v>0</v>
      </c>
      <c r="H54" s="281">
        <f t="shared" si="45"/>
        <v>0</v>
      </c>
      <c r="I54" s="283">
        <v>0</v>
      </c>
      <c r="J54" s="284">
        <v>0</v>
      </c>
      <c r="K54" s="286">
        <f t="shared" si="62"/>
        <v>0</v>
      </c>
      <c r="L54" s="281">
        <f t="shared" si="62"/>
        <v>0</v>
      </c>
      <c r="M54" s="281">
        <f t="shared" si="62"/>
        <v>0</v>
      </c>
      <c r="N54" s="281">
        <f t="shared" si="47"/>
        <v>0</v>
      </c>
      <c r="O54" s="282" t="e">
        <f t="shared" si="48"/>
        <v>#DIV/0!</v>
      </c>
      <c r="P54" s="281">
        <f t="shared" si="49"/>
        <v>0</v>
      </c>
      <c r="Q54" s="281">
        <f t="shared" si="50"/>
        <v>0</v>
      </c>
      <c r="R54" s="283">
        <v>0</v>
      </c>
      <c r="S54" s="284">
        <v>0</v>
      </c>
      <c r="T54" s="286">
        <f t="shared" si="63"/>
        <v>0</v>
      </c>
      <c r="U54" s="281">
        <f t="shared" si="63"/>
        <v>0</v>
      </c>
      <c r="V54" s="281">
        <f t="shared" si="63"/>
        <v>0</v>
      </c>
      <c r="W54" s="281">
        <f t="shared" si="52"/>
        <v>0</v>
      </c>
      <c r="X54" s="282" t="e">
        <f t="shared" si="53"/>
        <v>#DIV/0!</v>
      </c>
      <c r="Y54" s="281">
        <f t="shared" si="54"/>
        <v>0</v>
      </c>
      <c r="Z54" s="281">
        <f t="shared" si="55"/>
        <v>0</v>
      </c>
      <c r="AA54" s="470">
        <f t="shared" si="56"/>
        <v>0</v>
      </c>
      <c r="AB54" s="495">
        <f t="shared" si="57"/>
        <v>0</v>
      </c>
    </row>
    <row r="55" spans="1:28" s="279" customFormat="1" x14ac:dyDescent="0.2">
      <c r="A55" s="280" t="s">
        <v>2</v>
      </c>
      <c r="B55" s="286">
        <f t="shared" si="61"/>
        <v>0</v>
      </c>
      <c r="C55" s="281">
        <f t="shared" si="61"/>
        <v>0</v>
      </c>
      <c r="D55" s="281">
        <f t="shared" si="61"/>
        <v>0</v>
      </c>
      <c r="E55" s="281">
        <f t="shared" si="42"/>
        <v>0</v>
      </c>
      <c r="F55" s="282" t="e">
        <f t="shared" si="43"/>
        <v>#DIV/0!</v>
      </c>
      <c r="G55" s="281">
        <f t="shared" si="44"/>
        <v>0</v>
      </c>
      <c r="H55" s="281">
        <f t="shared" si="45"/>
        <v>0</v>
      </c>
      <c r="I55" s="283">
        <v>0</v>
      </c>
      <c r="J55" s="284">
        <v>0</v>
      </c>
      <c r="K55" s="286">
        <f t="shared" si="62"/>
        <v>0</v>
      </c>
      <c r="L55" s="281">
        <f t="shared" si="62"/>
        <v>0</v>
      </c>
      <c r="M55" s="281">
        <f t="shared" si="62"/>
        <v>0</v>
      </c>
      <c r="N55" s="281">
        <f t="shared" si="47"/>
        <v>0</v>
      </c>
      <c r="O55" s="282" t="e">
        <f t="shared" si="48"/>
        <v>#DIV/0!</v>
      </c>
      <c r="P55" s="281">
        <f t="shared" si="49"/>
        <v>0</v>
      </c>
      <c r="Q55" s="281">
        <f t="shared" si="50"/>
        <v>0</v>
      </c>
      <c r="R55" s="283">
        <v>0</v>
      </c>
      <c r="S55" s="284">
        <v>0</v>
      </c>
      <c r="T55" s="286">
        <f t="shared" si="63"/>
        <v>0</v>
      </c>
      <c r="U55" s="281">
        <f t="shared" si="63"/>
        <v>0</v>
      </c>
      <c r="V55" s="281">
        <f t="shared" si="63"/>
        <v>0</v>
      </c>
      <c r="W55" s="281">
        <f t="shared" si="52"/>
        <v>0</v>
      </c>
      <c r="X55" s="282" t="e">
        <f t="shared" si="53"/>
        <v>#DIV/0!</v>
      </c>
      <c r="Y55" s="281">
        <f t="shared" si="54"/>
        <v>0</v>
      </c>
      <c r="Z55" s="281">
        <f t="shared" si="55"/>
        <v>0</v>
      </c>
      <c r="AA55" s="470">
        <f t="shared" si="56"/>
        <v>0</v>
      </c>
      <c r="AB55" s="495">
        <f t="shared" si="57"/>
        <v>0</v>
      </c>
    </row>
    <row r="56" spans="1:28" s="279" customFormat="1" x14ac:dyDescent="0.2">
      <c r="A56" s="280" t="s">
        <v>3</v>
      </c>
      <c r="B56" s="286">
        <f t="shared" si="61"/>
        <v>0</v>
      </c>
      <c r="C56" s="281">
        <f t="shared" si="61"/>
        <v>0</v>
      </c>
      <c r="D56" s="281">
        <f t="shared" si="61"/>
        <v>0</v>
      </c>
      <c r="E56" s="281">
        <f t="shared" si="42"/>
        <v>0</v>
      </c>
      <c r="F56" s="282" t="e">
        <f t="shared" si="43"/>
        <v>#DIV/0!</v>
      </c>
      <c r="G56" s="281">
        <f t="shared" si="44"/>
        <v>0</v>
      </c>
      <c r="H56" s="281">
        <f t="shared" si="45"/>
        <v>0</v>
      </c>
      <c r="I56" s="283">
        <v>0</v>
      </c>
      <c r="J56" s="284">
        <v>0</v>
      </c>
      <c r="K56" s="286">
        <f t="shared" si="62"/>
        <v>0</v>
      </c>
      <c r="L56" s="281">
        <f t="shared" si="62"/>
        <v>0</v>
      </c>
      <c r="M56" s="281">
        <f t="shared" si="62"/>
        <v>0</v>
      </c>
      <c r="N56" s="281">
        <f t="shared" si="47"/>
        <v>0</v>
      </c>
      <c r="O56" s="282" t="e">
        <f t="shared" si="48"/>
        <v>#DIV/0!</v>
      </c>
      <c r="P56" s="281">
        <f t="shared" si="49"/>
        <v>0</v>
      </c>
      <c r="Q56" s="281">
        <f t="shared" si="50"/>
        <v>0</v>
      </c>
      <c r="R56" s="283">
        <v>0</v>
      </c>
      <c r="S56" s="284">
        <v>0</v>
      </c>
      <c r="T56" s="286">
        <f t="shared" si="63"/>
        <v>0</v>
      </c>
      <c r="U56" s="281">
        <f t="shared" si="63"/>
        <v>0</v>
      </c>
      <c r="V56" s="281">
        <f t="shared" si="63"/>
        <v>0</v>
      </c>
      <c r="W56" s="281">
        <f t="shared" si="52"/>
        <v>0</v>
      </c>
      <c r="X56" s="282" t="e">
        <f t="shared" si="53"/>
        <v>#DIV/0!</v>
      </c>
      <c r="Y56" s="281">
        <f t="shared" si="54"/>
        <v>0</v>
      </c>
      <c r="Z56" s="281">
        <f t="shared" si="55"/>
        <v>0</v>
      </c>
      <c r="AA56" s="470">
        <f t="shared" si="56"/>
        <v>0</v>
      </c>
      <c r="AB56" s="495">
        <f t="shared" si="57"/>
        <v>0</v>
      </c>
    </row>
    <row r="57" spans="1:28" x14ac:dyDescent="0.2">
      <c r="A57" s="280" t="s">
        <v>4</v>
      </c>
      <c r="B57" s="286">
        <f t="shared" si="61"/>
        <v>0</v>
      </c>
      <c r="C57" s="281">
        <f t="shared" si="61"/>
        <v>0</v>
      </c>
      <c r="D57" s="281">
        <f t="shared" si="61"/>
        <v>0</v>
      </c>
      <c r="E57" s="281">
        <f t="shared" si="42"/>
        <v>0</v>
      </c>
      <c r="F57" s="282" t="e">
        <f t="shared" si="43"/>
        <v>#DIV/0!</v>
      </c>
      <c r="G57" s="281">
        <f t="shared" si="44"/>
        <v>0</v>
      </c>
      <c r="H57" s="281">
        <f t="shared" si="45"/>
        <v>0</v>
      </c>
      <c r="I57" s="283">
        <v>0</v>
      </c>
      <c r="J57" s="284">
        <v>0</v>
      </c>
      <c r="K57" s="286">
        <f t="shared" si="62"/>
        <v>0</v>
      </c>
      <c r="L57" s="281">
        <f t="shared" si="62"/>
        <v>0</v>
      </c>
      <c r="M57" s="281">
        <f t="shared" si="62"/>
        <v>0</v>
      </c>
      <c r="N57" s="281">
        <f t="shared" si="47"/>
        <v>0</v>
      </c>
      <c r="O57" s="282" t="e">
        <f t="shared" si="48"/>
        <v>#DIV/0!</v>
      </c>
      <c r="P57" s="281">
        <f t="shared" si="49"/>
        <v>0</v>
      </c>
      <c r="Q57" s="281">
        <f t="shared" si="50"/>
        <v>0</v>
      </c>
      <c r="R57" s="283">
        <v>0</v>
      </c>
      <c r="S57" s="284">
        <v>0</v>
      </c>
      <c r="T57" s="286">
        <f t="shared" si="63"/>
        <v>0</v>
      </c>
      <c r="U57" s="281">
        <f t="shared" si="63"/>
        <v>0</v>
      </c>
      <c r="V57" s="281">
        <f t="shared" si="63"/>
        <v>0</v>
      </c>
      <c r="W57" s="281">
        <f t="shared" si="52"/>
        <v>0</v>
      </c>
      <c r="X57" s="282" t="e">
        <f t="shared" si="53"/>
        <v>#DIV/0!</v>
      </c>
      <c r="Y57" s="281">
        <f t="shared" si="54"/>
        <v>0</v>
      </c>
      <c r="Z57" s="281">
        <f t="shared" si="55"/>
        <v>0</v>
      </c>
      <c r="AA57" s="470">
        <f t="shared" si="56"/>
        <v>0</v>
      </c>
      <c r="AB57" s="495">
        <f t="shared" si="57"/>
        <v>0</v>
      </c>
    </row>
    <row r="58" spans="1:28" ht="12.75" thickBot="1" x14ac:dyDescent="0.25">
      <c r="A58" s="287" t="s">
        <v>5</v>
      </c>
      <c r="B58" s="293">
        <f t="shared" si="61"/>
        <v>0</v>
      </c>
      <c r="C58" s="288">
        <f t="shared" si="61"/>
        <v>0</v>
      </c>
      <c r="D58" s="288">
        <f t="shared" si="61"/>
        <v>0</v>
      </c>
      <c r="E58" s="288">
        <f t="shared" si="42"/>
        <v>0</v>
      </c>
      <c r="F58" s="289" t="e">
        <f t="shared" si="43"/>
        <v>#DIV/0!</v>
      </c>
      <c r="G58" s="288">
        <f t="shared" si="44"/>
        <v>0</v>
      </c>
      <c r="H58" s="288">
        <f t="shared" si="45"/>
        <v>0</v>
      </c>
      <c r="I58" s="290">
        <v>0</v>
      </c>
      <c r="J58" s="291">
        <v>0</v>
      </c>
      <c r="K58" s="293">
        <f t="shared" ref="K58:L58" si="64">SUM(K75-K41-K24)</f>
        <v>0</v>
      </c>
      <c r="L58" s="288">
        <f t="shared" si="64"/>
        <v>0</v>
      </c>
      <c r="M58" s="288">
        <f>SUM(M75-M41-M24)</f>
        <v>0</v>
      </c>
      <c r="N58" s="288">
        <f t="shared" si="47"/>
        <v>0</v>
      </c>
      <c r="O58" s="289" t="e">
        <f t="shared" si="48"/>
        <v>#DIV/0!</v>
      </c>
      <c r="P58" s="288">
        <f t="shared" si="49"/>
        <v>0</v>
      </c>
      <c r="Q58" s="288">
        <f t="shared" si="50"/>
        <v>0</v>
      </c>
      <c r="R58" s="290">
        <v>0</v>
      </c>
      <c r="S58" s="291">
        <v>0</v>
      </c>
      <c r="T58" s="293">
        <f t="shared" si="63"/>
        <v>0</v>
      </c>
      <c r="U58" s="288">
        <f t="shared" si="63"/>
        <v>0</v>
      </c>
      <c r="V58" s="288">
        <f t="shared" si="63"/>
        <v>0</v>
      </c>
      <c r="W58" s="288">
        <f t="shared" si="52"/>
        <v>0</v>
      </c>
      <c r="X58" s="289" t="e">
        <f t="shared" si="53"/>
        <v>#DIV/0!</v>
      </c>
      <c r="Y58" s="288">
        <f t="shared" si="54"/>
        <v>0</v>
      </c>
      <c r="Z58" s="288">
        <f t="shared" si="55"/>
        <v>0</v>
      </c>
      <c r="AA58" s="496">
        <f t="shared" si="56"/>
        <v>0</v>
      </c>
      <c r="AB58" s="497">
        <f t="shared" si="57"/>
        <v>0</v>
      </c>
    </row>
    <row r="59" spans="1:28" ht="12.75" thickBot="1" x14ac:dyDescent="0.25"/>
    <row r="60" spans="1:28" ht="15.75" customHeight="1" thickBot="1" x14ac:dyDescent="0.25">
      <c r="B60" s="916" t="s">
        <v>46</v>
      </c>
      <c r="C60" s="917"/>
      <c r="D60" s="917"/>
      <c r="E60" s="917"/>
      <c r="F60" s="917"/>
      <c r="G60" s="917"/>
      <c r="H60" s="917"/>
      <c r="I60" s="917"/>
      <c r="J60" s="917"/>
      <c r="K60" s="917"/>
      <c r="L60" s="917"/>
      <c r="M60" s="917"/>
      <c r="N60" s="917"/>
      <c r="O60" s="917"/>
      <c r="P60" s="917"/>
      <c r="Q60" s="917"/>
      <c r="R60" s="917"/>
      <c r="S60" s="917"/>
      <c r="T60" s="917"/>
      <c r="U60" s="917"/>
      <c r="V60" s="917"/>
      <c r="W60" s="917"/>
      <c r="X60" s="917"/>
      <c r="Y60" s="917"/>
      <c r="Z60" s="917"/>
      <c r="AA60" s="917"/>
      <c r="AB60" s="918"/>
    </row>
    <row r="61" spans="1:28" s="269" customFormat="1" ht="15.75" customHeight="1" thickBot="1" x14ac:dyDescent="0.3">
      <c r="A61" s="268"/>
      <c r="B61" s="903" t="s">
        <v>39</v>
      </c>
      <c r="C61" s="904"/>
      <c r="D61" s="904"/>
      <c r="E61" s="904"/>
      <c r="F61" s="904"/>
      <c r="G61" s="904"/>
      <c r="H61" s="904"/>
      <c r="I61" s="904"/>
      <c r="J61" s="905"/>
      <c r="K61" s="903" t="s">
        <v>25</v>
      </c>
      <c r="L61" s="904"/>
      <c r="M61" s="904"/>
      <c r="N61" s="904"/>
      <c r="O61" s="904"/>
      <c r="P61" s="904"/>
      <c r="Q61" s="904"/>
      <c r="R61" s="904"/>
      <c r="S61" s="905"/>
      <c r="T61" s="903" t="s">
        <v>46</v>
      </c>
      <c r="U61" s="904"/>
      <c r="V61" s="904"/>
      <c r="W61" s="904"/>
      <c r="X61" s="904"/>
      <c r="Y61" s="904"/>
      <c r="Z61" s="904"/>
      <c r="AA61" s="904"/>
      <c r="AB61" s="905"/>
    </row>
    <row r="62" spans="1:28" s="269" customFormat="1" ht="12.75" thickBot="1" x14ac:dyDescent="0.3">
      <c r="A62" s="270"/>
      <c r="B62" s="795">
        <f>SUM(B64:B75)</f>
        <v>0</v>
      </c>
      <c r="C62" s="796">
        <f>SUM(C64:C75)</f>
        <v>0</v>
      </c>
      <c r="D62" s="796">
        <f>SUM(D64:D75)</f>
        <v>0</v>
      </c>
      <c r="E62" s="796">
        <f>SUM(E64:E75)</f>
        <v>0</v>
      </c>
      <c r="F62" s="797" t="e">
        <f>SUM((D62-C62)/C62)</f>
        <v>#DIV/0!</v>
      </c>
      <c r="G62" s="796">
        <f t="shared" ref="G62:J62" si="65">SUM(G64:G75)</f>
        <v>0</v>
      </c>
      <c r="H62" s="796">
        <f t="shared" si="65"/>
        <v>0</v>
      </c>
      <c r="I62" s="798">
        <f t="shared" si="65"/>
        <v>0</v>
      </c>
      <c r="J62" s="799">
        <f t="shared" si="65"/>
        <v>0</v>
      </c>
      <c r="K62" s="807">
        <f>SUM(K64:K75)</f>
        <v>0</v>
      </c>
      <c r="L62" s="796">
        <f>SUM(L64:L75)</f>
        <v>0</v>
      </c>
      <c r="M62" s="796">
        <f>SUM(M64:M75)</f>
        <v>0</v>
      </c>
      <c r="N62" s="796">
        <f>SUM(N64:N75)</f>
        <v>0</v>
      </c>
      <c r="O62" s="797" t="e">
        <f>SUM((M62-L62)/L62)</f>
        <v>#DIV/0!</v>
      </c>
      <c r="P62" s="796">
        <f t="shared" ref="P62:AB62" si="66">SUM(P64:P75)</f>
        <v>0</v>
      </c>
      <c r="Q62" s="796">
        <f t="shared" si="66"/>
        <v>0</v>
      </c>
      <c r="R62" s="798">
        <f t="shared" si="66"/>
        <v>0</v>
      </c>
      <c r="S62" s="799">
        <f t="shared" si="66"/>
        <v>0</v>
      </c>
      <c r="T62" s="479">
        <f t="shared" si="66"/>
        <v>0</v>
      </c>
      <c r="U62" s="472">
        <f t="shared" si="66"/>
        <v>0</v>
      </c>
      <c r="V62" s="472">
        <f t="shared" si="66"/>
        <v>0</v>
      </c>
      <c r="W62" s="472">
        <f t="shared" si="66"/>
        <v>0</v>
      </c>
      <c r="X62" s="498" t="e">
        <f>SUM((V62-U62)/U62)</f>
        <v>#DIV/0!</v>
      </c>
      <c r="Y62" s="472">
        <f t="shared" si="66"/>
        <v>0</v>
      </c>
      <c r="Z62" s="472">
        <f t="shared" si="66"/>
        <v>0</v>
      </c>
      <c r="AA62" s="472">
        <f t="shared" si="66"/>
        <v>0</v>
      </c>
      <c r="AB62" s="473">
        <f t="shared" si="66"/>
        <v>0</v>
      </c>
    </row>
    <row r="63" spans="1:28" s="272" customFormat="1" ht="36.75" thickBot="1" x14ac:dyDescent="0.3">
      <c r="A63" s="271"/>
      <c r="B63" s="801" t="s">
        <v>47</v>
      </c>
      <c r="C63" s="802" t="s">
        <v>48</v>
      </c>
      <c r="D63" s="802" t="s">
        <v>49</v>
      </c>
      <c r="E63" s="802" t="s">
        <v>51</v>
      </c>
      <c r="F63" s="803" t="s">
        <v>50</v>
      </c>
      <c r="G63" s="804" t="s">
        <v>77</v>
      </c>
      <c r="H63" s="802" t="s">
        <v>85</v>
      </c>
      <c r="I63" s="805" t="s">
        <v>75</v>
      </c>
      <c r="J63" s="806" t="s">
        <v>76</v>
      </c>
      <c r="K63" s="808" t="s">
        <v>47</v>
      </c>
      <c r="L63" s="804" t="s">
        <v>48</v>
      </c>
      <c r="M63" s="804" t="s">
        <v>49</v>
      </c>
      <c r="N63" s="802" t="s">
        <v>51</v>
      </c>
      <c r="O63" s="803" t="s">
        <v>50</v>
      </c>
      <c r="P63" s="804" t="s">
        <v>77</v>
      </c>
      <c r="Q63" s="802" t="s">
        <v>85</v>
      </c>
      <c r="R63" s="805" t="s">
        <v>75</v>
      </c>
      <c r="S63" s="806" t="s">
        <v>76</v>
      </c>
      <c r="T63" s="480" t="s">
        <v>47</v>
      </c>
      <c r="U63" s="474" t="s">
        <v>48</v>
      </c>
      <c r="V63" s="474" t="s">
        <v>49</v>
      </c>
      <c r="W63" s="475" t="s">
        <v>51</v>
      </c>
      <c r="X63" s="476" t="s">
        <v>50</v>
      </c>
      <c r="Y63" s="474" t="s">
        <v>77</v>
      </c>
      <c r="Z63" s="475" t="s">
        <v>85</v>
      </c>
      <c r="AA63" s="477" t="s">
        <v>75</v>
      </c>
      <c r="AB63" s="478" t="s">
        <v>76</v>
      </c>
    </row>
    <row r="64" spans="1:28" s="279" customFormat="1" x14ac:dyDescent="0.2">
      <c r="A64" s="273" t="s">
        <v>6</v>
      </c>
      <c r="B64" s="494">
        <f>PRODUCTION!C20</f>
        <v>0</v>
      </c>
      <c r="C64" s="494">
        <f>PRODUCTION!D20</f>
        <v>0</v>
      </c>
      <c r="D64" s="494">
        <f>PRODUCTION!E20</f>
        <v>0</v>
      </c>
      <c r="E64" s="470">
        <f t="shared" ref="E64:E75" si="67">SUM(D64-C64)</f>
        <v>0</v>
      </c>
      <c r="F64" s="471" t="e">
        <f t="shared" ref="F64:F75" si="68">SUM((D64-C64)/C64)</f>
        <v>#DIV/0!</v>
      </c>
      <c r="G64" s="470">
        <f t="shared" ref="G64:G75" si="69">SUM(C64+B64)/2</f>
        <v>0</v>
      </c>
      <c r="H64" s="470">
        <f t="shared" ref="H64:H75" si="70">D64-G64</f>
        <v>0</v>
      </c>
      <c r="I64" s="485">
        <f>SUM(I47+I30+I13)</f>
        <v>0</v>
      </c>
      <c r="J64" s="800">
        <f>SUM(J47+J30+J13)</f>
        <v>0</v>
      </c>
      <c r="K64" s="494">
        <f>NEGOCE!C20</f>
        <v>0</v>
      </c>
      <c r="L64" s="494">
        <f>NEGOCE!D20</f>
        <v>0</v>
      </c>
      <c r="M64" s="494">
        <f>NEGOCE!E20</f>
        <v>0</v>
      </c>
      <c r="N64" s="470">
        <f t="shared" ref="N64:N75" si="71">SUM(M64-L64)</f>
        <v>0</v>
      </c>
      <c r="O64" s="471" t="e">
        <f t="shared" ref="O64:O75" si="72">SUM((M64-L64)/L64)</f>
        <v>#DIV/0!</v>
      </c>
      <c r="P64" s="470">
        <f t="shared" ref="P64:P75" si="73">SUM(L64+K64)/2</f>
        <v>0</v>
      </c>
      <c r="Q64" s="470">
        <f t="shared" ref="Q64:Q75" si="74">M64-P64</f>
        <v>0</v>
      </c>
      <c r="R64" s="485">
        <f>SUM(R47+R30+R13)</f>
        <v>0</v>
      </c>
      <c r="S64" s="800">
        <f>SUM(S47+S30+S13)</f>
        <v>0</v>
      </c>
      <c r="T64" s="494">
        <f>ATELIER!C20</f>
        <v>0</v>
      </c>
      <c r="U64" s="494">
        <f>ATELIER!D20</f>
        <v>0</v>
      </c>
      <c r="V64" s="494">
        <f>ATELIER!E20</f>
        <v>0</v>
      </c>
      <c r="W64" s="274">
        <f t="shared" ref="W64:W75" si="75">SUM(V64-U64)</f>
        <v>0</v>
      </c>
      <c r="X64" s="275" t="e">
        <f t="shared" ref="X64:X75" si="76">SUM((V64-U64)/U64)</f>
        <v>#DIV/0!</v>
      </c>
      <c r="Y64" s="274">
        <f t="shared" ref="Y64:Y75" si="77">SUM(U64+T64)/2</f>
        <v>0</v>
      </c>
      <c r="Z64" s="274">
        <f t="shared" ref="Z64:Z75" si="78">V64-Y64</f>
        <v>0</v>
      </c>
      <c r="AA64" s="276">
        <f>SUM(AA47+AA30+AA13)</f>
        <v>0</v>
      </c>
      <c r="AB64" s="277">
        <f>SUM(AB47+AB30+AB13)</f>
        <v>0</v>
      </c>
    </row>
    <row r="65" spans="1:28" s="279" customFormat="1" x14ac:dyDescent="0.2">
      <c r="A65" s="280" t="s">
        <v>7</v>
      </c>
      <c r="B65" s="494">
        <f>PRODUCTION!C21</f>
        <v>0</v>
      </c>
      <c r="C65" s="494">
        <f>PRODUCTION!D21</f>
        <v>0</v>
      </c>
      <c r="D65" s="494">
        <f>PRODUCTION!E21</f>
        <v>0</v>
      </c>
      <c r="E65" s="281">
        <f t="shared" si="67"/>
        <v>0</v>
      </c>
      <c r="F65" s="282" t="e">
        <f t="shared" si="68"/>
        <v>#DIV/0!</v>
      </c>
      <c r="G65" s="281">
        <f t="shared" si="69"/>
        <v>0</v>
      </c>
      <c r="H65" s="281">
        <f t="shared" si="70"/>
        <v>0</v>
      </c>
      <c r="I65" s="283">
        <f t="shared" ref="I65:J65" si="79">SUM(I48+I31+I14)</f>
        <v>0</v>
      </c>
      <c r="J65" s="284">
        <f t="shared" si="79"/>
        <v>0</v>
      </c>
      <c r="K65" s="494">
        <f>NEGOCE!C21</f>
        <v>0</v>
      </c>
      <c r="L65" s="494">
        <f>NEGOCE!D21</f>
        <v>0</v>
      </c>
      <c r="M65" s="494">
        <f>NEGOCE!E21</f>
        <v>0</v>
      </c>
      <c r="N65" s="281">
        <f t="shared" si="71"/>
        <v>0</v>
      </c>
      <c r="O65" s="282" t="e">
        <f t="shared" si="72"/>
        <v>#DIV/0!</v>
      </c>
      <c r="P65" s="281">
        <f t="shared" si="73"/>
        <v>0</v>
      </c>
      <c r="Q65" s="281">
        <f t="shared" si="74"/>
        <v>0</v>
      </c>
      <c r="R65" s="283">
        <f t="shared" ref="R65:S65" si="80">SUM(R48+R31+R14)</f>
        <v>0</v>
      </c>
      <c r="S65" s="284">
        <f t="shared" si="80"/>
        <v>0</v>
      </c>
      <c r="T65" s="494">
        <f>ATELIER!C21</f>
        <v>0</v>
      </c>
      <c r="U65" s="494">
        <f>ATELIER!D21</f>
        <v>0</v>
      </c>
      <c r="V65" s="494">
        <f>ATELIER!E21</f>
        <v>0</v>
      </c>
      <c r="W65" s="281">
        <f t="shared" si="75"/>
        <v>0</v>
      </c>
      <c r="X65" s="282" t="e">
        <f t="shared" si="76"/>
        <v>#DIV/0!</v>
      </c>
      <c r="Y65" s="281">
        <f t="shared" si="77"/>
        <v>0</v>
      </c>
      <c r="Z65" s="281">
        <f t="shared" si="78"/>
        <v>0</v>
      </c>
      <c r="AA65" s="283">
        <f t="shared" ref="AA65:AB65" si="81">SUM(AA48+AA31+AA14)</f>
        <v>0</v>
      </c>
      <c r="AB65" s="284">
        <f t="shared" si="81"/>
        <v>0</v>
      </c>
    </row>
    <row r="66" spans="1:28" s="279" customFormat="1" x14ac:dyDescent="0.2">
      <c r="A66" s="280" t="s">
        <v>8</v>
      </c>
      <c r="B66" s="494">
        <f>PRODUCTION!C22</f>
        <v>0</v>
      </c>
      <c r="C66" s="494">
        <f>PRODUCTION!D22</f>
        <v>0</v>
      </c>
      <c r="D66" s="494">
        <f>PRODUCTION!E22</f>
        <v>0</v>
      </c>
      <c r="E66" s="281">
        <f t="shared" si="67"/>
        <v>0</v>
      </c>
      <c r="F66" s="282" t="e">
        <f t="shared" si="68"/>
        <v>#DIV/0!</v>
      </c>
      <c r="G66" s="281">
        <f t="shared" si="69"/>
        <v>0</v>
      </c>
      <c r="H66" s="281">
        <f t="shared" si="70"/>
        <v>0</v>
      </c>
      <c r="I66" s="283">
        <f t="shared" ref="I66:J66" si="82">SUM(I49+I32+I15)</f>
        <v>0</v>
      </c>
      <c r="J66" s="284">
        <f t="shared" si="82"/>
        <v>0</v>
      </c>
      <c r="K66" s="494">
        <f>NEGOCE!C22</f>
        <v>0</v>
      </c>
      <c r="L66" s="494">
        <f>NEGOCE!D22</f>
        <v>0</v>
      </c>
      <c r="M66" s="494">
        <f>NEGOCE!E22</f>
        <v>0</v>
      </c>
      <c r="N66" s="281">
        <f t="shared" si="71"/>
        <v>0</v>
      </c>
      <c r="O66" s="282" t="e">
        <f t="shared" si="72"/>
        <v>#DIV/0!</v>
      </c>
      <c r="P66" s="281">
        <f t="shared" si="73"/>
        <v>0</v>
      </c>
      <c r="Q66" s="281">
        <f t="shared" si="74"/>
        <v>0</v>
      </c>
      <c r="R66" s="283">
        <f t="shared" ref="R66:S66" si="83">SUM(R49+R32+R15)</f>
        <v>0</v>
      </c>
      <c r="S66" s="284">
        <f t="shared" si="83"/>
        <v>0</v>
      </c>
      <c r="T66" s="494">
        <f>ATELIER!C22</f>
        <v>0</v>
      </c>
      <c r="U66" s="494">
        <f>ATELIER!D22</f>
        <v>0</v>
      </c>
      <c r="V66" s="494">
        <f>ATELIER!E22</f>
        <v>0</v>
      </c>
      <c r="W66" s="281">
        <f t="shared" si="75"/>
        <v>0</v>
      </c>
      <c r="X66" s="282" t="e">
        <f t="shared" si="76"/>
        <v>#DIV/0!</v>
      </c>
      <c r="Y66" s="281">
        <f t="shared" si="77"/>
        <v>0</v>
      </c>
      <c r="Z66" s="281">
        <f t="shared" si="78"/>
        <v>0</v>
      </c>
      <c r="AA66" s="283">
        <f t="shared" ref="AA66:AB66" si="84">SUM(AA49+AA32+AA15)</f>
        <v>0</v>
      </c>
      <c r="AB66" s="284">
        <f t="shared" si="84"/>
        <v>0</v>
      </c>
    </row>
    <row r="67" spans="1:28" s="279" customFormat="1" x14ac:dyDescent="0.2">
      <c r="A67" s="280" t="s">
        <v>9</v>
      </c>
      <c r="B67" s="494">
        <f>PRODUCTION!C23</f>
        <v>0</v>
      </c>
      <c r="C67" s="494">
        <f>PRODUCTION!D23</f>
        <v>0</v>
      </c>
      <c r="D67" s="494">
        <f>PRODUCTION!E23</f>
        <v>0</v>
      </c>
      <c r="E67" s="281">
        <f t="shared" si="67"/>
        <v>0</v>
      </c>
      <c r="F67" s="282" t="e">
        <f t="shared" si="68"/>
        <v>#DIV/0!</v>
      </c>
      <c r="G67" s="281">
        <f t="shared" si="69"/>
        <v>0</v>
      </c>
      <c r="H67" s="281">
        <f t="shared" si="70"/>
        <v>0</v>
      </c>
      <c r="I67" s="283">
        <f t="shared" ref="I67:J67" si="85">SUM(I50+I33+I16)</f>
        <v>0</v>
      </c>
      <c r="J67" s="284">
        <f t="shared" si="85"/>
        <v>0</v>
      </c>
      <c r="K67" s="494">
        <f>NEGOCE!C23</f>
        <v>0</v>
      </c>
      <c r="L67" s="494">
        <f>NEGOCE!D23</f>
        <v>0</v>
      </c>
      <c r="M67" s="494">
        <f>NEGOCE!E23</f>
        <v>0</v>
      </c>
      <c r="N67" s="281">
        <f t="shared" si="71"/>
        <v>0</v>
      </c>
      <c r="O67" s="282" t="e">
        <f t="shared" si="72"/>
        <v>#DIV/0!</v>
      </c>
      <c r="P67" s="281">
        <f t="shared" si="73"/>
        <v>0</v>
      </c>
      <c r="Q67" s="281">
        <f t="shared" si="74"/>
        <v>0</v>
      </c>
      <c r="R67" s="283">
        <f t="shared" ref="R67:S67" si="86">SUM(R50+R33+R16)</f>
        <v>0</v>
      </c>
      <c r="S67" s="284">
        <f t="shared" si="86"/>
        <v>0</v>
      </c>
      <c r="T67" s="494">
        <f>ATELIER!C23</f>
        <v>0</v>
      </c>
      <c r="U67" s="494">
        <f>ATELIER!D23</f>
        <v>0</v>
      </c>
      <c r="V67" s="494">
        <f>ATELIER!E23</f>
        <v>0</v>
      </c>
      <c r="W67" s="281">
        <f t="shared" si="75"/>
        <v>0</v>
      </c>
      <c r="X67" s="282" t="e">
        <f t="shared" si="76"/>
        <v>#DIV/0!</v>
      </c>
      <c r="Y67" s="281">
        <f t="shared" si="77"/>
        <v>0</v>
      </c>
      <c r="Z67" s="281">
        <f t="shared" si="78"/>
        <v>0</v>
      </c>
      <c r="AA67" s="283">
        <f t="shared" ref="AA67:AB67" si="87">SUM(AA50+AA33+AA16)</f>
        <v>0</v>
      </c>
      <c r="AB67" s="284">
        <f t="shared" si="87"/>
        <v>0</v>
      </c>
    </row>
    <row r="68" spans="1:28" s="279" customFormat="1" x14ac:dyDescent="0.2">
      <c r="A68" s="280" t="s">
        <v>10</v>
      </c>
      <c r="B68" s="494">
        <f>PRODUCTION!C24</f>
        <v>0</v>
      </c>
      <c r="C68" s="494">
        <f>PRODUCTION!D24</f>
        <v>0</v>
      </c>
      <c r="D68" s="494">
        <f>PRODUCTION!E24</f>
        <v>0</v>
      </c>
      <c r="E68" s="281">
        <f t="shared" si="67"/>
        <v>0</v>
      </c>
      <c r="F68" s="282" t="e">
        <f t="shared" si="68"/>
        <v>#DIV/0!</v>
      </c>
      <c r="G68" s="281">
        <f t="shared" si="69"/>
        <v>0</v>
      </c>
      <c r="H68" s="281">
        <f t="shared" si="70"/>
        <v>0</v>
      </c>
      <c r="I68" s="283">
        <f t="shared" ref="I68:J68" si="88">SUM(I51+I34+I17)</f>
        <v>0</v>
      </c>
      <c r="J68" s="284">
        <f t="shared" si="88"/>
        <v>0</v>
      </c>
      <c r="K68" s="494">
        <f>NEGOCE!C24</f>
        <v>0</v>
      </c>
      <c r="L68" s="494">
        <f>NEGOCE!D24</f>
        <v>0</v>
      </c>
      <c r="M68" s="494">
        <f>NEGOCE!E24</f>
        <v>0</v>
      </c>
      <c r="N68" s="281">
        <f t="shared" si="71"/>
        <v>0</v>
      </c>
      <c r="O68" s="282" t="e">
        <f t="shared" si="72"/>
        <v>#DIV/0!</v>
      </c>
      <c r="P68" s="281">
        <f t="shared" si="73"/>
        <v>0</v>
      </c>
      <c r="Q68" s="281">
        <f t="shared" si="74"/>
        <v>0</v>
      </c>
      <c r="R68" s="283">
        <f t="shared" ref="R68:S68" si="89">SUM(R51+R34+R17)</f>
        <v>0</v>
      </c>
      <c r="S68" s="284">
        <f t="shared" si="89"/>
        <v>0</v>
      </c>
      <c r="T68" s="494">
        <f>ATELIER!C24</f>
        <v>0</v>
      </c>
      <c r="U68" s="494">
        <f>ATELIER!D24</f>
        <v>0</v>
      </c>
      <c r="V68" s="494">
        <f>ATELIER!E24</f>
        <v>0</v>
      </c>
      <c r="W68" s="281">
        <f t="shared" si="75"/>
        <v>0</v>
      </c>
      <c r="X68" s="282" t="e">
        <f t="shared" si="76"/>
        <v>#DIV/0!</v>
      </c>
      <c r="Y68" s="281">
        <f t="shared" si="77"/>
        <v>0</v>
      </c>
      <c r="Z68" s="281">
        <f t="shared" si="78"/>
        <v>0</v>
      </c>
      <c r="AA68" s="283">
        <f t="shared" ref="AA68:AB68" si="90">SUM(AA51+AA34+AA17)</f>
        <v>0</v>
      </c>
      <c r="AB68" s="284">
        <f t="shared" si="90"/>
        <v>0</v>
      </c>
    </row>
    <row r="69" spans="1:28" s="279" customFormat="1" x14ac:dyDescent="0.2">
      <c r="A69" s="280" t="s">
        <v>11</v>
      </c>
      <c r="B69" s="494">
        <f>PRODUCTION!C25</f>
        <v>0</v>
      </c>
      <c r="C69" s="494">
        <f>PRODUCTION!D25</f>
        <v>0</v>
      </c>
      <c r="D69" s="494">
        <f>PRODUCTION!E25</f>
        <v>0</v>
      </c>
      <c r="E69" s="281">
        <f t="shared" si="67"/>
        <v>0</v>
      </c>
      <c r="F69" s="282" t="e">
        <f t="shared" si="68"/>
        <v>#DIV/0!</v>
      </c>
      <c r="G69" s="281">
        <f t="shared" si="69"/>
        <v>0</v>
      </c>
      <c r="H69" s="281">
        <f t="shared" si="70"/>
        <v>0</v>
      </c>
      <c r="I69" s="283">
        <f t="shared" ref="I69:J69" si="91">SUM(I52+I35+I18)</f>
        <v>0</v>
      </c>
      <c r="J69" s="284">
        <f t="shared" si="91"/>
        <v>0</v>
      </c>
      <c r="K69" s="494">
        <f>NEGOCE!C25</f>
        <v>0</v>
      </c>
      <c r="L69" s="494">
        <f>NEGOCE!D25</f>
        <v>0</v>
      </c>
      <c r="M69" s="494">
        <f>NEGOCE!E25</f>
        <v>0</v>
      </c>
      <c r="N69" s="281">
        <f t="shared" si="71"/>
        <v>0</v>
      </c>
      <c r="O69" s="282" t="e">
        <f t="shared" si="72"/>
        <v>#DIV/0!</v>
      </c>
      <c r="P69" s="281">
        <f t="shared" si="73"/>
        <v>0</v>
      </c>
      <c r="Q69" s="281">
        <f t="shared" si="74"/>
        <v>0</v>
      </c>
      <c r="R69" s="283">
        <f t="shared" ref="R69:S69" si="92">SUM(R52+R35+R18)</f>
        <v>0</v>
      </c>
      <c r="S69" s="284">
        <f t="shared" si="92"/>
        <v>0</v>
      </c>
      <c r="T69" s="494">
        <f>ATELIER!C25</f>
        <v>0</v>
      </c>
      <c r="U69" s="494">
        <f>ATELIER!D25</f>
        <v>0</v>
      </c>
      <c r="V69" s="494">
        <f>ATELIER!E25</f>
        <v>0</v>
      </c>
      <c r="W69" s="281">
        <f t="shared" si="75"/>
        <v>0</v>
      </c>
      <c r="X69" s="282" t="e">
        <f t="shared" si="76"/>
        <v>#DIV/0!</v>
      </c>
      <c r="Y69" s="281">
        <f t="shared" si="77"/>
        <v>0</v>
      </c>
      <c r="Z69" s="281">
        <f t="shared" si="78"/>
        <v>0</v>
      </c>
      <c r="AA69" s="283">
        <f t="shared" ref="AA69:AB69" si="93">SUM(AA52+AA35+AA18)</f>
        <v>0</v>
      </c>
      <c r="AB69" s="284">
        <f t="shared" si="93"/>
        <v>0</v>
      </c>
    </row>
    <row r="70" spans="1:28" s="279" customFormat="1" x14ac:dyDescent="0.2">
      <c r="A70" s="280" t="s">
        <v>12</v>
      </c>
      <c r="B70" s="494">
        <f>PRODUCTION!C26</f>
        <v>0</v>
      </c>
      <c r="C70" s="494">
        <f>PRODUCTION!D26</f>
        <v>0</v>
      </c>
      <c r="D70" s="494">
        <f>PRODUCTION!E26</f>
        <v>0</v>
      </c>
      <c r="E70" s="281">
        <f t="shared" si="67"/>
        <v>0</v>
      </c>
      <c r="F70" s="282" t="e">
        <f t="shared" si="68"/>
        <v>#DIV/0!</v>
      </c>
      <c r="G70" s="281">
        <f t="shared" si="69"/>
        <v>0</v>
      </c>
      <c r="H70" s="281">
        <f t="shared" si="70"/>
        <v>0</v>
      </c>
      <c r="I70" s="283">
        <f t="shared" ref="I70:J70" si="94">SUM(I53+I36+I19)</f>
        <v>0</v>
      </c>
      <c r="J70" s="284">
        <f t="shared" si="94"/>
        <v>0</v>
      </c>
      <c r="K70" s="494">
        <f>NEGOCE!C26</f>
        <v>0</v>
      </c>
      <c r="L70" s="494">
        <f>NEGOCE!D26</f>
        <v>0</v>
      </c>
      <c r="M70" s="494">
        <f>NEGOCE!E26</f>
        <v>0</v>
      </c>
      <c r="N70" s="281">
        <f t="shared" si="71"/>
        <v>0</v>
      </c>
      <c r="O70" s="282" t="e">
        <f t="shared" si="72"/>
        <v>#DIV/0!</v>
      </c>
      <c r="P70" s="281">
        <f t="shared" si="73"/>
        <v>0</v>
      </c>
      <c r="Q70" s="281">
        <f t="shared" si="74"/>
        <v>0</v>
      </c>
      <c r="R70" s="283">
        <f t="shared" ref="R70:S70" si="95">SUM(R53+R36+R19)</f>
        <v>0</v>
      </c>
      <c r="S70" s="284">
        <f t="shared" si="95"/>
        <v>0</v>
      </c>
      <c r="T70" s="494">
        <f>ATELIER!C26</f>
        <v>0</v>
      </c>
      <c r="U70" s="494">
        <f>ATELIER!D26</f>
        <v>0</v>
      </c>
      <c r="V70" s="494">
        <f>ATELIER!E26</f>
        <v>0</v>
      </c>
      <c r="W70" s="281">
        <f t="shared" si="75"/>
        <v>0</v>
      </c>
      <c r="X70" s="282" t="e">
        <f t="shared" si="76"/>
        <v>#DIV/0!</v>
      </c>
      <c r="Y70" s="281">
        <f t="shared" si="77"/>
        <v>0</v>
      </c>
      <c r="Z70" s="281">
        <f t="shared" si="78"/>
        <v>0</v>
      </c>
      <c r="AA70" s="283">
        <f t="shared" ref="AA70:AB70" si="96">SUM(AA53+AA36+AA19)</f>
        <v>0</v>
      </c>
      <c r="AB70" s="284">
        <f t="shared" si="96"/>
        <v>0</v>
      </c>
    </row>
    <row r="71" spans="1:28" s="279" customFormat="1" x14ac:dyDescent="0.2">
      <c r="A71" s="280" t="s">
        <v>13</v>
      </c>
      <c r="B71" s="494">
        <f>PRODUCTION!C27</f>
        <v>0</v>
      </c>
      <c r="C71" s="494">
        <f>PRODUCTION!D27</f>
        <v>0</v>
      </c>
      <c r="D71" s="494">
        <f>PRODUCTION!E27</f>
        <v>0</v>
      </c>
      <c r="E71" s="281">
        <f t="shared" si="67"/>
        <v>0</v>
      </c>
      <c r="F71" s="282" t="e">
        <f t="shared" si="68"/>
        <v>#DIV/0!</v>
      </c>
      <c r="G71" s="281">
        <f t="shared" si="69"/>
        <v>0</v>
      </c>
      <c r="H71" s="281">
        <f t="shared" si="70"/>
        <v>0</v>
      </c>
      <c r="I71" s="283">
        <f t="shared" ref="I71:J71" si="97">SUM(I54+I37+I20)</f>
        <v>0</v>
      </c>
      <c r="J71" s="284">
        <f t="shared" si="97"/>
        <v>0</v>
      </c>
      <c r="K71" s="494">
        <f>NEGOCE!C27</f>
        <v>0</v>
      </c>
      <c r="L71" s="494">
        <f>NEGOCE!D27</f>
        <v>0</v>
      </c>
      <c r="M71" s="494">
        <f>NEGOCE!E27</f>
        <v>0</v>
      </c>
      <c r="N71" s="281">
        <f t="shared" si="71"/>
        <v>0</v>
      </c>
      <c r="O71" s="282" t="e">
        <f t="shared" si="72"/>
        <v>#DIV/0!</v>
      </c>
      <c r="P71" s="281">
        <f t="shared" si="73"/>
        <v>0</v>
      </c>
      <c r="Q71" s="281">
        <f t="shared" si="74"/>
        <v>0</v>
      </c>
      <c r="R71" s="283">
        <f t="shared" ref="R71:S71" si="98">SUM(R54+R37+R20)</f>
        <v>0</v>
      </c>
      <c r="S71" s="284">
        <f t="shared" si="98"/>
        <v>0</v>
      </c>
      <c r="T71" s="494">
        <f>ATELIER!C27</f>
        <v>0</v>
      </c>
      <c r="U71" s="494">
        <f>ATELIER!D27</f>
        <v>0</v>
      </c>
      <c r="V71" s="494">
        <f>ATELIER!E27</f>
        <v>0</v>
      </c>
      <c r="W71" s="281">
        <f t="shared" si="75"/>
        <v>0</v>
      </c>
      <c r="X71" s="282" t="e">
        <f t="shared" si="76"/>
        <v>#DIV/0!</v>
      </c>
      <c r="Y71" s="281">
        <f t="shared" si="77"/>
        <v>0</v>
      </c>
      <c r="Z71" s="281">
        <f t="shared" si="78"/>
        <v>0</v>
      </c>
      <c r="AA71" s="283">
        <f t="shared" ref="AA71:AB71" si="99">SUM(AA54+AA37+AA20)</f>
        <v>0</v>
      </c>
      <c r="AB71" s="284">
        <f t="shared" si="99"/>
        <v>0</v>
      </c>
    </row>
    <row r="72" spans="1:28" s="279" customFormat="1" x14ac:dyDescent="0.2">
      <c r="A72" s="280" t="s">
        <v>2</v>
      </c>
      <c r="B72" s="494">
        <f>PRODUCTION!C28</f>
        <v>0</v>
      </c>
      <c r="C72" s="494">
        <f>PRODUCTION!D28</f>
        <v>0</v>
      </c>
      <c r="D72" s="494">
        <f>PRODUCTION!E28</f>
        <v>0</v>
      </c>
      <c r="E72" s="281">
        <f t="shared" si="67"/>
        <v>0</v>
      </c>
      <c r="F72" s="282" t="e">
        <f t="shared" si="68"/>
        <v>#DIV/0!</v>
      </c>
      <c r="G72" s="281">
        <f t="shared" si="69"/>
        <v>0</v>
      </c>
      <c r="H72" s="281">
        <f t="shared" si="70"/>
        <v>0</v>
      </c>
      <c r="I72" s="283">
        <f t="shared" ref="I72:J72" si="100">SUM(I55+I38+I21)</f>
        <v>0</v>
      </c>
      <c r="J72" s="284">
        <f t="shared" si="100"/>
        <v>0</v>
      </c>
      <c r="K72" s="494">
        <f>NEGOCE!C28</f>
        <v>0</v>
      </c>
      <c r="L72" s="494">
        <f>NEGOCE!D28</f>
        <v>0</v>
      </c>
      <c r="M72" s="494">
        <f>NEGOCE!E28</f>
        <v>0</v>
      </c>
      <c r="N72" s="281">
        <f t="shared" si="71"/>
        <v>0</v>
      </c>
      <c r="O72" s="282" t="e">
        <f t="shared" si="72"/>
        <v>#DIV/0!</v>
      </c>
      <c r="P72" s="281">
        <f t="shared" si="73"/>
        <v>0</v>
      </c>
      <c r="Q72" s="281">
        <f t="shared" si="74"/>
        <v>0</v>
      </c>
      <c r="R72" s="283">
        <f t="shared" ref="R72:S72" si="101">SUM(R55+R38+R21)</f>
        <v>0</v>
      </c>
      <c r="S72" s="284">
        <f t="shared" si="101"/>
        <v>0</v>
      </c>
      <c r="T72" s="494">
        <f>ATELIER!C28</f>
        <v>0</v>
      </c>
      <c r="U72" s="494">
        <f>ATELIER!D28</f>
        <v>0</v>
      </c>
      <c r="V72" s="494">
        <f>ATELIER!E28</f>
        <v>0</v>
      </c>
      <c r="W72" s="281">
        <f t="shared" si="75"/>
        <v>0</v>
      </c>
      <c r="X72" s="282" t="e">
        <f t="shared" si="76"/>
        <v>#DIV/0!</v>
      </c>
      <c r="Y72" s="281">
        <f t="shared" si="77"/>
        <v>0</v>
      </c>
      <c r="Z72" s="281">
        <f t="shared" si="78"/>
        <v>0</v>
      </c>
      <c r="AA72" s="283">
        <f t="shared" ref="AA72:AB72" si="102">SUM(AA55+AA38+AA21)</f>
        <v>0</v>
      </c>
      <c r="AB72" s="284">
        <f t="shared" si="102"/>
        <v>0</v>
      </c>
    </row>
    <row r="73" spans="1:28" s="279" customFormat="1" x14ac:dyDescent="0.2">
      <c r="A73" s="280" t="s">
        <v>3</v>
      </c>
      <c r="B73" s="494">
        <f>PRODUCTION!C29</f>
        <v>0</v>
      </c>
      <c r="C73" s="494">
        <f>PRODUCTION!D29</f>
        <v>0</v>
      </c>
      <c r="D73" s="494">
        <f>PRODUCTION!E29</f>
        <v>0</v>
      </c>
      <c r="E73" s="281">
        <f t="shared" si="67"/>
        <v>0</v>
      </c>
      <c r="F73" s="282" t="e">
        <f t="shared" si="68"/>
        <v>#DIV/0!</v>
      </c>
      <c r="G73" s="281">
        <f t="shared" si="69"/>
        <v>0</v>
      </c>
      <c r="H73" s="281">
        <f t="shared" si="70"/>
        <v>0</v>
      </c>
      <c r="I73" s="283">
        <f t="shared" ref="I73:J73" si="103">SUM(I56+I39+I22)</f>
        <v>0</v>
      </c>
      <c r="J73" s="284">
        <f t="shared" si="103"/>
        <v>0</v>
      </c>
      <c r="K73" s="494">
        <f>NEGOCE!C29</f>
        <v>0</v>
      </c>
      <c r="L73" s="494">
        <f>NEGOCE!D29</f>
        <v>0</v>
      </c>
      <c r="M73" s="494">
        <f>NEGOCE!E29</f>
        <v>0</v>
      </c>
      <c r="N73" s="281">
        <f t="shared" si="71"/>
        <v>0</v>
      </c>
      <c r="O73" s="282" t="e">
        <f t="shared" si="72"/>
        <v>#DIV/0!</v>
      </c>
      <c r="P73" s="281">
        <f t="shared" si="73"/>
        <v>0</v>
      </c>
      <c r="Q73" s="281">
        <f t="shared" si="74"/>
        <v>0</v>
      </c>
      <c r="R73" s="283">
        <f t="shared" ref="R73:S73" si="104">SUM(R56+R39+R22)</f>
        <v>0</v>
      </c>
      <c r="S73" s="284">
        <f t="shared" si="104"/>
        <v>0</v>
      </c>
      <c r="T73" s="494">
        <f>ATELIER!C29</f>
        <v>0</v>
      </c>
      <c r="U73" s="494">
        <f>ATELIER!D29</f>
        <v>0</v>
      </c>
      <c r="V73" s="494">
        <f>ATELIER!E29</f>
        <v>0</v>
      </c>
      <c r="W73" s="281">
        <f t="shared" si="75"/>
        <v>0</v>
      </c>
      <c r="X73" s="282" t="e">
        <f t="shared" si="76"/>
        <v>#DIV/0!</v>
      </c>
      <c r="Y73" s="281">
        <f t="shared" si="77"/>
        <v>0</v>
      </c>
      <c r="Z73" s="281">
        <f t="shared" si="78"/>
        <v>0</v>
      </c>
      <c r="AA73" s="283">
        <f t="shared" ref="AA73:AB73" si="105">SUM(AA56+AA39+AA22)</f>
        <v>0</v>
      </c>
      <c r="AB73" s="284">
        <f t="shared" si="105"/>
        <v>0</v>
      </c>
    </row>
    <row r="74" spans="1:28" x14ac:dyDescent="0.2">
      <c r="A74" s="280" t="s">
        <v>4</v>
      </c>
      <c r="B74" s="494">
        <f>PRODUCTION!C30</f>
        <v>0</v>
      </c>
      <c r="C74" s="494">
        <f>PRODUCTION!D30</f>
        <v>0</v>
      </c>
      <c r="D74" s="494">
        <f>PRODUCTION!E30</f>
        <v>0</v>
      </c>
      <c r="E74" s="281">
        <f t="shared" si="67"/>
        <v>0</v>
      </c>
      <c r="F74" s="282" t="e">
        <f t="shared" si="68"/>
        <v>#DIV/0!</v>
      </c>
      <c r="G74" s="281">
        <f t="shared" si="69"/>
        <v>0</v>
      </c>
      <c r="H74" s="281">
        <f t="shared" si="70"/>
        <v>0</v>
      </c>
      <c r="I74" s="283">
        <f t="shared" ref="I74:J74" si="106">SUM(I57+I40+I23)</f>
        <v>0</v>
      </c>
      <c r="J74" s="284">
        <f t="shared" si="106"/>
        <v>0</v>
      </c>
      <c r="K74" s="494">
        <f>NEGOCE!C30</f>
        <v>0</v>
      </c>
      <c r="L74" s="494">
        <f>NEGOCE!D30</f>
        <v>0</v>
      </c>
      <c r="M74" s="494">
        <f>NEGOCE!E30</f>
        <v>0</v>
      </c>
      <c r="N74" s="281">
        <f t="shared" si="71"/>
        <v>0</v>
      </c>
      <c r="O74" s="282" t="e">
        <f t="shared" si="72"/>
        <v>#DIV/0!</v>
      </c>
      <c r="P74" s="281">
        <f t="shared" si="73"/>
        <v>0</v>
      </c>
      <c r="Q74" s="281">
        <f t="shared" si="74"/>
        <v>0</v>
      </c>
      <c r="R74" s="283">
        <f t="shared" ref="R74:S74" si="107">SUM(R57+R40+R23)</f>
        <v>0</v>
      </c>
      <c r="S74" s="284">
        <f t="shared" si="107"/>
        <v>0</v>
      </c>
      <c r="T74" s="494">
        <f>ATELIER!C30</f>
        <v>0</v>
      </c>
      <c r="U74" s="494">
        <f>ATELIER!D30</f>
        <v>0</v>
      </c>
      <c r="V74" s="494">
        <f>ATELIER!E30</f>
        <v>0</v>
      </c>
      <c r="W74" s="281">
        <f t="shared" si="75"/>
        <v>0</v>
      </c>
      <c r="X74" s="282" t="e">
        <f t="shared" si="76"/>
        <v>#DIV/0!</v>
      </c>
      <c r="Y74" s="281">
        <f t="shared" si="77"/>
        <v>0</v>
      </c>
      <c r="Z74" s="281">
        <f t="shared" si="78"/>
        <v>0</v>
      </c>
      <c r="AA74" s="283">
        <f t="shared" ref="AA74:AB74" si="108">SUM(AA57+AA40+AA23)</f>
        <v>0</v>
      </c>
      <c r="AB74" s="284">
        <f t="shared" si="108"/>
        <v>0</v>
      </c>
    </row>
    <row r="75" spans="1:28" ht="12.75" thickBot="1" x14ac:dyDescent="0.25">
      <c r="A75" s="530" t="s">
        <v>5</v>
      </c>
      <c r="B75" s="531">
        <f>PRODUCTION!C31</f>
        <v>0</v>
      </c>
      <c r="C75" s="531">
        <f>PRODUCTION!D31</f>
        <v>0</v>
      </c>
      <c r="D75" s="531">
        <f>PRODUCTION!E31</f>
        <v>0</v>
      </c>
      <c r="E75" s="532">
        <f t="shared" si="67"/>
        <v>0</v>
      </c>
      <c r="F75" s="533" t="e">
        <f t="shared" si="68"/>
        <v>#DIV/0!</v>
      </c>
      <c r="G75" s="532">
        <f t="shared" si="69"/>
        <v>0</v>
      </c>
      <c r="H75" s="532">
        <f t="shared" si="70"/>
        <v>0</v>
      </c>
      <c r="I75" s="809">
        <f t="shared" ref="I75:J75" si="109">SUM(I58+I41+I24)</f>
        <v>0</v>
      </c>
      <c r="J75" s="810">
        <f t="shared" si="109"/>
        <v>0</v>
      </c>
      <c r="K75" s="494">
        <f>NEGOCE!C31</f>
        <v>0</v>
      </c>
      <c r="L75" s="494">
        <f>NEGOCE!D31</f>
        <v>0</v>
      </c>
      <c r="M75" s="494">
        <f>NEGOCE!E31</f>
        <v>0</v>
      </c>
      <c r="N75" s="532">
        <f t="shared" si="71"/>
        <v>0</v>
      </c>
      <c r="O75" s="533" t="e">
        <f t="shared" si="72"/>
        <v>#DIV/0!</v>
      </c>
      <c r="P75" s="532">
        <f t="shared" si="73"/>
        <v>0</v>
      </c>
      <c r="Q75" s="532">
        <f t="shared" si="74"/>
        <v>0</v>
      </c>
      <c r="R75" s="290">
        <f t="shared" ref="R75:S75" si="110">SUM(R58+R41+R24)</f>
        <v>0</v>
      </c>
      <c r="S75" s="291">
        <f t="shared" si="110"/>
        <v>0</v>
      </c>
      <c r="T75" s="494">
        <f>ATELIER!C31</f>
        <v>0</v>
      </c>
      <c r="U75" s="494">
        <f>ATELIER!D31</f>
        <v>0</v>
      </c>
      <c r="V75" s="494">
        <f>ATELIER!E31</f>
        <v>0</v>
      </c>
      <c r="W75" s="532">
        <f t="shared" si="75"/>
        <v>0</v>
      </c>
      <c r="X75" s="533" t="e">
        <f t="shared" si="76"/>
        <v>#DIV/0!</v>
      </c>
      <c r="Y75" s="532">
        <f t="shared" si="77"/>
        <v>0</v>
      </c>
      <c r="Z75" s="532">
        <f t="shared" si="78"/>
        <v>0</v>
      </c>
      <c r="AA75" s="290">
        <f t="shared" ref="AA75:AB75" si="111">SUM(AA58+AA41+AA24)</f>
        <v>0</v>
      </c>
      <c r="AB75" s="291">
        <f t="shared" si="111"/>
        <v>0</v>
      </c>
    </row>
    <row r="76" spans="1:28" ht="12.75" thickBot="1" x14ac:dyDescent="0.25">
      <c r="A76" s="534" t="s">
        <v>108</v>
      </c>
      <c r="B76" s="535">
        <f>SUM(PRODUCTION!C20+PRODUCTION!C21+PRODUCTION!C22+PRODUCTION!C23+PRODUCTION!C24+PRODUCTION!C25+PRODUCTION!C26+PRODUCTION!C27+PRODUCTION!C28+PRODUCTION!C29+PRODUCTION!C30+PRODUCTION!C31-'Saisie Commerciaux'!B62)</f>
        <v>0</v>
      </c>
      <c r="C76" s="536">
        <f>SUM(PRODUCTION!D20+PRODUCTION!D21+PRODUCTION!D22+PRODUCTION!D23+PRODUCTION!D24+PRODUCTION!D25+PRODUCTION!D26+PRODUCTION!D27+PRODUCTION!D28+PRODUCTION!D29+PRODUCTION!D30+PRODUCTION!D31-'Saisie Commerciaux'!C62)</f>
        <v>0</v>
      </c>
      <c r="D76" s="536">
        <f>SUM(PRODUCTION!E20+PRODUCTION!E21+PRODUCTION!E22+PRODUCTION!E23+PRODUCTION!E24+PRODUCTION!E25+PRODUCTION!E26+PRODUCTION!E27+PRODUCTION!E28+PRODUCTION!E29+PRODUCTION!E30+PRODUCTION!E31-'Saisie Commerciaux'!D62)</f>
        <v>0</v>
      </c>
      <c r="E76" s="536">
        <f>SUM(PRODUCTION!G20+PRODUCTION!G21+PRODUCTION!G22+PRODUCTION!G23+PRODUCTION!G24+PRODUCTION!G25+PRODUCTION!G26+PRODUCTION!G27+PRODUCTION!G28+PRODUCTION!G29+PRODUCTION!G30+PRODUCTION!G31-'Saisie Commerciaux'!E62)</f>
        <v>0</v>
      </c>
      <c r="F76" s="537"/>
      <c r="G76" s="536">
        <f>SUM(PRODUCTION!H20+PRODUCTION!H21+PRODUCTION!H22+PRODUCTION!H23+PRODUCTION!H24+PRODUCTION!H25+PRODUCTION!H26+PRODUCTION!H27+PRODUCTION!H28+PRODUCTION!H29+PRODUCTION!H30+PRODUCTION!H31-'Saisie Commerciaux'!G62)</f>
        <v>0</v>
      </c>
      <c r="H76" s="536">
        <f>SUM(PRODUCTION!I20+PRODUCTION!I21+PRODUCTION!I22+PRODUCTION!I23+PRODUCTION!I24+PRODUCTION!I25+PRODUCTION!I26+PRODUCTION!I27+PRODUCTION!I28+PRODUCTION!I29+PRODUCTION!I30+PRODUCTION!I31-'Saisie Commerciaux'!H62)</f>
        <v>0</v>
      </c>
      <c r="I76" s="536"/>
      <c r="J76" s="538"/>
      <c r="K76" s="535">
        <f>SUM(NEGOCE!C20+NEGOCE!C21+NEGOCE!C22+NEGOCE!C23+NEGOCE!C24+NEGOCE!C25+NEGOCE!C26+NEGOCE!C27+NEGOCE!C28+NEGOCE!C29+NEGOCE!C30+NEGOCE!C31-'Saisie Commerciaux'!K62)</f>
        <v>0</v>
      </c>
      <c r="L76" s="536">
        <f>SUM(NEGOCE!D20+NEGOCE!D21+NEGOCE!D22+NEGOCE!D23+NEGOCE!D24+NEGOCE!D25+NEGOCE!D26+NEGOCE!D27+NEGOCE!D28+NEGOCE!D29+NEGOCE!D30+NEGOCE!D31-'Saisie Commerciaux'!L62)</f>
        <v>0</v>
      </c>
      <c r="M76" s="536">
        <f>SUM(NEGOCE!E20+NEGOCE!E21+NEGOCE!E22+NEGOCE!E23+NEGOCE!E24+NEGOCE!E25+NEGOCE!E26+NEGOCE!E27+NEGOCE!E28+NEGOCE!E29+NEGOCE!E30+NEGOCE!E31-'Saisie Commerciaux'!M62)</f>
        <v>0</v>
      </c>
      <c r="N76" s="536">
        <f>SUM(NEGOCE!G20+NEGOCE!G21+NEGOCE!G22+NEGOCE!G23+NEGOCE!G24+NEGOCE!G25+NEGOCE!G26+NEGOCE!G27+NEGOCE!G28+NEGOCE!G29+NEGOCE!G30+NEGOCE!G31-'Saisie Commerciaux'!N62)</f>
        <v>0</v>
      </c>
      <c r="O76" s="537"/>
      <c r="P76" s="536">
        <f>SUM(NEGOCE!H20+NEGOCE!H21+NEGOCE!H22+NEGOCE!H23+NEGOCE!H24+NEGOCE!H25+NEGOCE!H26+NEGOCE!H27+NEGOCE!H28+NEGOCE!H29+NEGOCE!H30+NEGOCE!H31-'Saisie Commerciaux'!P62)</f>
        <v>0</v>
      </c>
      <c r="Q76" s="536">
        <f>SUM(NEGOCE!I20+NEGOCE!I21+NEGOCE!I22+NEGOCE!I23+NEGOCE!I24+NEGOCE!I25+NEGOCE!I26+NEGOCE!I27+NEGOCE!I28+NEGOCE!I29+NEGOCE!I30+NEGOCE!I31-'Saisie Commerciaux'!Q62)</f>
        <v>0</v>
      </c>
      <c r="R76" s="536"/>
      <c r="S76" s="538"/>
      <c r="T76" s="539">
        <f>SUM(ATELIER!C20+ATELIER!C21+ATELIER!C22+ATELIER!C23+ATELIER!C24+ATELIER!C25+ATELIER!C26+ATELIER!C27+ATELIER!C28+ATELIER!C29+ATELIER!C30+ATELIER!C31-'Saisie Commerciaux'!T62)</f>
        <v>0</v>
      </c>
      <c r="U76" s="536">
        <f>SUM(ATELIER!D20+ATELIER!D21+ATELIER!D22+ATELIER!D23+ATELIER!D24+ATELIER!D25+ATELIER!D26+ATELIER!D27+ATELIER!D28+ATELIER!D29+ATELIER!D30+ATELIER!D31-'Saisie Commerciaux'!U62)</f>
        <v>0</v>
      </c>
      <c r="V76" s="536">
        <f>SUM(ATELIER!E20+ATELIER!E21+ATELIER!E22+ATELIER!E23+ATELIER!E24+ATELIER!E25+ATELIER!E26+ATELIER!E27+ATELIER!E28+ATELIER!E29+ATELIER!E30+ATELIER!E31-'Saisie Commerciaux'!V62)</f>
        <v>0</v>
      </c>
      <c r="W76" s="536">
        <f>SUM(ATELIER!G20+ATELIER!G21+ATELIER!G22+ATELIER!G23+ATELIER!G24+ATELIER!G25+ATELIER!G26+ATELIER!G27+ATELIER!G28+ATELIER!G29+ATELIER!G30+ATELIER!G31-'Saisie Commerciaux'!W62)</f>
        <v>0</v>
      </c>
      <c r="X76" s="537"/>
      <c r="Y76" s="536">
        <f>SUM(ATELIER!H20+ATELIER!H21+ATELIER!H22+ATELIER!H23+ATELIER!H24+ATELIER!H25+ATELIER!H26+ATELIER!H27+ATELIER!H28+ATELIER!H29+ATELIER!H30+ATELIER!H31-'Saisie Commerciaux'!Y62)</f>
        <v>0</v>
      </c>
      <c r="Z76" s="536">
        <f>SUM(ATELIER!I20+ATELIER!I21+ATELIER!I22+ATELIER!I23+ATELIER!I24+ATELIER!I25+ATELIER!I26+ATELIER!I27+ATELIER!I28+ATELIER!I29+ATELIER!I30+ATELIER!I31-'Saisie Commerciaux'!Z62)</f>
        <v>0</v>
      </c>
      <c r="AA76" s="536"/>
      <c r="AB76" s="538"/>
    </row>
  </sheetData>
  <mergeCells count="16">
    <mergeCell ref="B10:J10"/>
    <mergeCell ref="K10:S10"/>
    <mergeCell ref="T10:AB10"/>
    <mergeCell ref="B9:AB9"/>
    <mergeCell ref="B60:AB60"/>
    <mergeCell ref="B61:J61"/>
    <mergeCell ref="K61:S61"/>
    <mergeCell ref="T61:AB61"/>
    <mergeCell ref="B26:AB26"/>
    <mergeCell ref="B27:J27"/>
    <mergeCell ref="K27:S27"/>
    <mergeCell ref="T27:AB27"/>
    <mergeCell ref="B43:AB43"/>
    <mergeCell ref="B44:J44"/>
    <mergeCell ref="K44:S44"/>
    <mergeCell ref="T44:AB44"/>
  </mergeCells>
  <conditionalFormatting sqref="B11:H11 B13:H24">
    <cfRule type="cellIs" dxfId="203" priority="124" operator="lessThan">
      <formula>0</formula>
    </cfRule>
  </conditionalFormatting>
  <conditionalFormatting sqref="I11:J11 I13:J24">
    <cfRule type="cellIs" dxfId="202" priority="123" operator="lessThan">
      <formula>0</formula>
    </cfRule>
  </conditionalFormatting>
  <conditionalFormatting sqref="T64:V75">
    <cfRule type="cellIs" dxfId="201" priority="8" operator="lessThan">
      <formula>0</formula>
    </cfRule>
  </conditionalFormatting>
  <conditionalFormatting sqref="T64:V75">
    <cfRule type="cellIs" dxfId="200" priority="7" operator="lessThan">
      <formula>0</formula>
    </cfRule>
  </conditionalFormatting>
  <conditionalFormatting sqref="B13:J24">
    <cfRule type="cellIs" dxfId="199" priority="120" operator="lessThan">
      <formula>0</formula>
    </cfRule>
  </conditionalFormatting>
  <conditionalFormatting sqref="K11:Q11">
    <cfRule type="cellIs" dxfId="198" priority="119" operator="lessThan">
      <formula>0</formula>
    </cfRule>
  </conditionalFormatting>
  <conditionalFormatting sqref="R11:AB11">
    <cfRule type="cellIs" dxfId="197" priority="118" operator="lessThan">
      <formula>0</formula>
    </cfRule>
  </conditionalFormatting>
  <conditionalFormatting sqref="N13:N24">
    <cfRule type="cellIs" dxfId="196" priority="117" operator="lessThan">
      <formula>0</formula>
    </cfRule>
  </conditionalFormatting>
  <conditionalFormatting sqref="N13:N24">
    <cfRule type="cellIs" dxfId="195" priority="116" operator="lessThan">
      <formula>0</formula>
    </cfRule>
  </conditionalFormatting>
  <conditionalFormatting sqref="O13:O24">
    <cfRule type="cellIs" dxfId="194" priority="115" operator="lessThan">
      <formula>0</formula>
    </cfRule>
  </conditionalFormatting>
  <conditionalFormatting sqref="O13:O24">
    <cfRule type="cellIs" dxfId="193" priority="114" operator="lessThan">
      <formula>0</formula>
    </cfRule>
  </conditionalFormatting>
  <conditionalFormatting sqref="P13:P24">
    <cfRule type="cellIs" dxfId="192" priority="113" operator="lessThan">
      <formula>0</formula>
    </cfRule>
  </conditionalFormatting>
  <conditionalFormatting sqref="P13:P24">
    <cfRule type="cellIs" dxfId="191" priority="112" operator="lessThan">
      <formula>0</formula>
    </cfRule>
  </conditionalFormatting>
  <conditionalFormatting sqref="W13:W24">
    <cfRule type="cellIs" dxfId="190" priority="111" operator="lessThan">
      <formula>0</formula>
    </cfRule>
  </conditionalFormatting>
  <conditionalFormatting sqref="W13:W24">
    <cfRule type="cellIs" dxfId="189" priority="110" operator="lessThan">
      <formula>0</formula>
    </cfRule>
  </conditionalFormatting>
  <conditionalFormatting sqref="X13:X24">
    <cfRule type="cellIs" dxfId="188" priority="109" operator="lessThan">
      <formula>0</formula>
    </cfRule>
  </conditionalFormatting>
  <conditionalFormatting sqref="X13:X24">
    <cfRule type="cellIs" dxfId="187" priority="108" operator="lessThan">
      <formula>0</formula>
    </cfRule>
  </conditionalFormatting>
  <conditionalFormatting sqref="Y13:Y24">
    <cfRule type="cellIs" dxfId="186" priority="107" operator="lessThan">
      <formula>0</formula>
    </cfRule>
  </conditionalFormatting>
  <conditionalFormatting sqref="Y13:Y24">
    <cfRule type="cellIs" dxfId="185" priority="106" operator="lessThan">
      <formula>0</formula>
    </cfRule>
  </conditionalFormatting>
  <conditionalFormatting sqref="Q13:Q24">
    <cfRule type="cellIs" dxfId="184" priority="105" operator="lessThan">
      <formula>0</formula>
    </cfRule>
  </conditionalFormatting>
  <conditionalFormatting sqref="Q13:Q24">
    <cfRule type="cellIs" dxfId="183" priority="104" operator="lessThan">
      <formula>0</formula>
    </cfRule>
  </conditionalFormatting>
  <conditionalFormatting sqref="Z13:Z24">
    <cfRule type="cellIs" dxfId="182" priority="103" operator="lessThan">
      <formula>0</formula>
    </cfRule>
  </conditionalFormatting>
  <conditionalFormatting sqref="Z13:Z24">
    <cfRule type="cellIs" dxfId="181" priority="102" operator="lessThan">
      <formula>0</formula>
    </cfRule>
  </conditionalFormatting>
  <conditionalFormatting sqref="V13:V24">
    <cfRule type="cellIs" dxfId="180" priority="101" operator="lessThan">
      <formula>0</formula>
    </cfRule>
  </conditionalFormatting>
  <conditionalFormatting sqref="V13:V24">
    <cfRule type="cellIs" dxfId="179" priority="100" operator="lessThan">
      <formula>0</formula>
    </cfRule>
  </conditionalFormatting>
  <conditionalFormatting sqref="U13:U24">
    <cfRule type="cellIs" dxfId="178" priority="99" operator="lessThan">
      <formula>0</formula>
    </cfRule>
  </conditionalFormatting>
  <conditionalFormatting sqref="U13:U24">
    <cfRule type="cellIs" dxfId="177" priority="98" operator="lessThan">
      <formula>0</formula>
    </cfRule>
  </conditionalFormatting>
  <conditionalFormatting sqref="T13:T24">
    <cfRule type="cellIs" dxfId="176" priority="97" operator="lessThan">
      <formula>0</formula>
    </cfRule>
  </conditionalFormatting>
  <conditionalFormatting sqref="T13:T24">
    <cfRule type="cellIs" dxfId="175" priority="96" operator="lessThan">
      <formula>0</formula>
    </cfRule>
  </conditionalFormatting>
  <conditionalFormatting sqref="B28:H28 B30:H41">
    <cfRule type="cellIs" dxfId="174" priority="95" operator="lessThan">
      <formula>0</formula>
    </cfRule>
  </conditionalFormatting>
  <conditionalFormatting sqref="I28:J28 I30:J41">
    <cfRule type="cellIs" dxfId="173" priority="94" operator="lessThan">
      <formula>0</formula>
    </cfRule>
  </conditionalFormatting>
  <conditionalFormatting sqref="B30:J41">
    <cfRule type="cellIs" dxfId="172" priority="93" operator="lessThan">
      <formula>0</formula>
    </cfRule>
  </conditionalFormatting>
  <conditionalFormatting sqref="K28:Q28">
    <cfRule type="cellIs" dxfId="171" priority="92" operator="lessThan">
      <formula>0</formula>
    </cfRule>
  </conditionalFormatting>
  <conditionalFormatting sqref="R28:AB28">
    <cfRule type="cellIs" dxfId="170" priority="91" operator="lessThan">
      <formula>0</formula>
    </cfRule>
  </conditionalFormatting>
  <conditionalFormatting sqref="N30:N41">
    <cfRule type="cellIs" dxfId="169" priority="90" operator="lessThan">
      <formula>0</formula>
    </cfRule>
  </conditionalFormatting>
  <conditionalFormatting sqref="N30:N41">
    <cfRule type="cellIs" dxfId="168" priority="89" operator="lessThan">
      <formula>0</formula>
    </cfRule>
  </conditionalFormatting>
  <conditionalFormatting sqref="O30:O41">
    <cfRule type="cellIs" dxfId="167" priority="88" operator="lessThan">
      <formula>0</formula>
    </cfRule>
  </conditionalFormatting>
  <conditionalFormatting sqref="O30:O41">
    <cfRule type="cellIs" dxfId="166" priority="87" operator="lessThan">
      <formula>0</formula>
    </cfRule>
  </conditionalFormatting>
  <conditionalFormatting sqref="P30:P41">
    <cfRule type="cellIs" dxfId="165" priority="86" operator="lessThan">
      <formula>0</formula>
    </cfRule>
  </conditionalFormatting>
  <conditionalFormatting sqref="P30:P41">
    <cfRule type="cellIs" dxfId="164" priority="85" operator="lessThan">
      <formula>0</formula>
    </cfRule>
  </conditionalFormatting>
  <conditionalFormatting sqref="W30:W41">
    <cfRule type="cellIs" dxfId="163" priority="84" operator="lessThan">
      <formula>0</formula>
    </cfRule>
  </conditionalFormatting>
  <conditionalFormatting sqref="W30:W41">
    <cfRule type="cellIs" dxfId="162" priority="83" operator="lessThan">
      <formula>0</formula>
    </cfRule>
  </conditionalFormatting>
  <conditionalFormatting sqref="X30:X41">
    <cfRule type="cellIs" dxfId="161" priority="82" operator="lessThan">
      <formula>0</formula>
    </cfRule>
  </conditionalFormatting>
  <conditionalFormatting sqref="X30:X41">
    <cfRule type="cellIs" dxfId="160" priority="81" operator="lessThan">
      <formula>0</formula>
    </cfRule>
  </conditionalFormatting>
  <conditionalFormatting sqref="Y30:Y41">
    <cfRule type="cellIs" dxfId="159" priority="80" operator="lessThan">
      <formula>0</formula>
    </cfRule>
  </conditionalFormatting>
  <conditionalFormatting sqref="Y30:Y41">
    <cfRule type="cellIs" dxfId="158" priority="79" operator="lessThan">
      <formula>0</formula>
    </cfRule>
  </conditionalFormatting>
  <conditionalFormatting sqref="Q30:Q41">
    <cfRule type="cellIs" dxfId="157" priority="78" operator="lessThan">
      <formula>0</formula>
    </cfRule>
  </conditionalFormatting>
  <conditionalFormatting sqref="Q30:Q41">
    <cfRule type="cellIs" dxfId="156" priority="77" operator="lessThan">
      <formula>0</formula>
    </cfRule>
  </conditionalFormatting>
  <conditionalFormatting sqref="Z30:Z41">
    <cfRule type="cellIs" dxfId="155" priority="76" operator="lessThan">
      <formula>0</formula>
    </cfRule>
  </conditionalFormatting>
  <conditionalFormatting sqref="Z30:Z41">
    <cfRule type="cellIs" dxfId="154" priority="75" operator="lessThan">
      <formula>0</formula>
    </cfRule>
  </conditionalFormatting>
  <conditionalFormatting sqref="X62">
    <cfRule type="cellIs" dxfId="153" priority="6" operator="lessThan">
      <formula>0</formula>
    </cfRule>
  </conditionalFormatting>
  <conditionalFormatting sqref="K64:M75">
    <cfRule type="cellIs" dxfId="152" priority="10" operator="lessThan">
      <formula>0</formula>
    </cfRule>
  </conditionalFormatting>
  <conditionalFormatting sqref="K64:M75">
    <cfRule type="cellIs" dxfId="151" priority="9" operator="lessThan">
      <formula>0</formula>
    </cfRule>
  </conditionalFormatting>
  <conditionalFormatting sqref="AA64:AB75">
    <cfRule type="cellIs" dxfId="150" priority="3" operator="lessThan">
      <formula>0</formula>
    </cfRule>
  </conditionalFormatting>
  <conditionalFormatting sqref="AA64:AB75">
    <cfRule type="cellIs" dxfId="149" priority="2" operator="lessThan">
      <formula>0</formula>
    </cfRule>
  </conditionalFormatting>
  <conditionalFormatting sqref="T30:V41">
    <cfRule type="cellIs" dxfId="148" priority="68" operator="lessThan">
      <formula>0</formula>
    </cfRule>
  </conditionalFormatting>
  <conditionalFormatting sqref="T30:V41">
    <cfRule type="cellIs" dxfId="147" priority="67" operator="lessThan">
      <formula>0</formula>
    </cfRule>
  </conditionalFormatting>
  <conditionalFormatting sqref="B45:H45 B47:H58">
    <cfRule type="cellIs" dxfId="146" priority="66" operator="lessThan">
      <formula>0</formula>
    </cfRule>
  </conditionalFormatting>
  <conditionalFormatting sqref="I45:J45 I47:J58">
    <cfRule type="cellIs" dxfId="145" priority="65" operator="lessThan">
      <formula>0</formula>
    </cfRule>
  </conditionalFormatting>
  <conditionalFormatting sqref="B47:J58">
    <cfRule type="cellIs" dxfId="144" priority="64" operator="lessThan">
      <formula>0</formula>
    </cfRule>
  </conditionalFormatting>
  <conditionalFormatting sqref="K45:Q45">
    <cfRule type="cellIs" dxfId="143" priority="63" operator="lessThan">
      <formula>0</formula>
    </cfRule>
  </conditionalFormatting>
  <conditionalFormatting sqref="R45:AB45">
    <cfRule type="cellIs" dxfId="142" priority="62" operator="lessThan">
      <formula>0</formula>
    </cfRule>
  </conditionalFormatting>
  <conditionalFormatting sqref="N47:N58">
    <cfRule type="cellIs" dxfId="141" priority="61" operator="lessThan">
      <formula>0</formula>
    </cfRule>
  </conditionalFormatting>
  <conditionalFormatting sqref="N47:N58">
    <cfRule type="cellIs" dxfId="140" priority="60" operator="lessThan">
      <formula>0</formula>
    </cfRule>
  </conditionalFormatting>
  <conditionalFormatting sqref="O47:O58">
    <cfRule type="cellIs" dxfId="139" priority="59" operator="lessThan">
      <formula>0</formula>
    </cfRule>
  </conditionalFormatting>
  <conditionalFormatting sqref="O47:O58">
    <cfRule type="cellIs" dxfId="138" priority="58" operator="lessThan">
      <formula>0</formula>
    </cfRule>
  </conditionalFormatting>
  <conditionalFormatting sqref="P47:P58">
    <cfRule type="cellIs" dxfId="137" priority="57" operator="lessThan">
      <formula>0</formula>
    </cfRule>
  </conditionalFormatting>
  <conditionalFormatting sqref="P47:P58">
    <cfRule type="cellIs" dxfId="136" priority="56" operator="lessThan">
      <formula>0</formula>
    </cfRule>
  </conditionalFormatting>
  <conditionalFormatting sqref="W47:W58">
    <cfRule type="cellIs" dxfId="135" priority="55" operator="lessThan">
      <formula>0</formula>
    </cfRule>
  </conditionalFormatting>
  <conditionalFormatting sqref="W47:W58">
    <cfRule type="cellIs" dxfId="134" priority="54" operator="lessThan">
      <formula>0</formula>
    </cfRule>
  </conditionalFormatting>
  <conditionalFormatting sqref="X47:X58">
    <cfRule type="cellIs" dxfId="133" priority="53" operator="lessThan">
      <formula>0</formula>
    </cfRule>
  </conditionalFormatting>
  <conditionalFormatting sqref="X47:X58">
    <cfRule type="cellIs" dxfId="132" priority="52" operator="lessThan">
      <formula>0</formula>
    </cfRule>
  </conditionalFormatting>
  <conditionalFormatting sqref="Y47:Y58">
    <cfRule type="cellIs" dxfId="131" priority="51" operator="lessThan">
      <formula>0</formula>
    </cfRule>
  </conditionalFormatting>
  <conditionalFormatting sqref="Y47:Y58">
    <cfRule type="cellIs" dxfId="130" priority="50" operator="lessThan">
      <formula>0</formula>
    </cfRule>
  </conditionalFormatting>
  <conditionalFormatting sqref="Q47:Q58">
    <cfRule type="cellIs" dxfId="129" priority="49" operator="lessThan">
      <formula>0</formula>
    </cfRule>
  </conditionalFormatting>
  <conditionalFormatting sqref="Q47:Q58">
    <cfRule type="cellIs" dxfId="128" priority="48" operator="lessThan">
      <formula>0</formula>
    </cfRule>
  </conditionalFormatting>
  <conditionalFormatting sqref="Z47:Z58">
    <cfRule type="cellIs" dxfId="127" priority="47" operator="lessThan">
      <formula>0</formula>
    </cfRule>
  </conditionalFormatting>
  <conditionalFormatting sqref="Z47:Z58">
    <cfRule type="cellIs" dxfId="126" priority="46" operator="lessThan">
      <formula>0</formula>
    </cfRule>
  </conditionalFormatting>
  <conditionalFormatting sqref="A1:XFD1048576">
    <cfRule type="cellIs" dxfId="125" priority="1" operator="lessThan">
      <formula>0</formula>
    </cfRule>
  </conditionalFormatting>
  <conditionalFormatting sqref="T47:V58">
    <cfRule type="cellIs" dxfId="124" priority="43" operator="lessThan">
      <formula>0</formula>
    </cfRule>
  </conditionalFormatting>
  <conditionalFormatting sqref="T47:V58">
    <cfRule type="cellIs" dxfId="123" priority="42" operator="lessThan">
      <formula>0</formula>
    </cfRule>
  </conditionalFormatting>
  <conditionalFormatting sqref="R47:S58">
    <cfRule type="cellIs" dxfId="122" priority="41" operator="lessThan">
      <formula>0</formula>
    </cfRule>
  </conditionalFormatting>
  <conditionalFormatting sqref="R47:S58">
    <cfRule type="cellIs" dxfId="121" priority="40" operator="lessThan">
      <formula>0</formula>
    </cfRule>
  </conditionalFormatting>
  <conditionalFormatting sqref="R30:S41">
    <cfRule type="cellIs" dxfId="120" priority="39" operator="lessThan">
      <formula>0</formula>
    </cfRule>
  </conditionalFormatting>
  <conditionalFormatting sqref="R30:S41">
    <cfRule type="cellIs" dxfId="119" priority="38" operator="lessThan">
      <formula>0</formula>
    </cfRule>
  </conditionalFormatting>
  <conditionalFormatting sqref="R13:S24">
    <cfRule type="cellIs" dxfId="118" priority="37" operator="lessThan">
      <formula>0</formula>
    </cfRule>
  </conditionalFormatting>
  <conditionalFormatting sqref="R13:S24">
    <cfRule type="cellIs" dxfId="117" priority="36" operator="lessThan">
      <formula>0</formula>
    </cfRule>
  </conditionalFormatting>
  <conditionalFormatting sqref="B62:H62 B64:H75">
    <cfRule type="cellIs" dxfId="116" priority="35" operator="lessThan">
      <formula>0</formula>
    </cfRule>
  </conditionalFormatting>
  <conditionalFormatting sqref="I62:J62 I64:J75">
    <cfRule type="cellIs" dxfId="115" priority="34" operator="lessThan">
      <formula>0</formula>
    </cfRule>
  </conditionalFormatting>
  <conditionalFormatting sqref="B64:J75">
    <cfRule type="cellIs" dxfId="114" priority="33" operator="lessThan">
      <formula>0</formula>
    </cfRule>
  </conditionalFormatting>
  <conditionalFormatting sqref="K62:Q62">
    <cfRule type="cellIs" dxfId="113" priority="32" operator="lessThan">
      <formula>0</formula>
    </cfRule>
  </conditionalFormatting>
  <conditionalFormatting sqref="R62:W62 Y62:AB62">
    <cfRule type="cellIs" dxfId="112" priority="31" operator="lessThan">
      <formula>0</formula>
    </cfRule>
  </conditionalFormatting>
  <conditionalFormatting sqref="N64:N75">
    <cfRule type="cellIs" dxfId="111" priority="30" operator="lessThan">
      <formula>0</formula>
    </cfRule>
  </conditionalFormatting>
  <conditionalFormatting sqref="N64:N75">
    <cfRule type="cellIs" dxfId="110" priority="29" operator="lessThan">
      <formula>0</formula>
    </cfRule>
  </conditionalFormatting>
  <conditionalFormatting sqref="O64:O75">
    <cfRule type="cellIs" dxfId="109" priority="28" operator="lessThan">
      <formula>0</formula>
    </cfRule>
  </conditionalFormatting>
  <conditionalFormatting sqref="O64:O75">
    <cfRule type="cellIs" dxfId="108" priority="27" operator="lessThan">
      <formula>0</formula>
    </cfRule>
  </conditionalFormatting>
  <conditionalFormatting sqref="P64:P75">
    <cfRule type="cellIs" dxfId="107" priority="26" operator="lessThan">
      <formula>0</formula>
    </cfRule>
  </conditionalFormatting>
  <conditionalFormatting sqref="P64:P75">
    <cfRule type="cellIs" dxfId="106" priority="25" operator="lessThan">
      <formula>0</formula>
    </cfRule>
  </conditionalFormatting>
  <conditionalFormatting sqref="W64:W75">
    <cfRule type="cellIs" dxfId="105" priority="24" operator="lessThan">
      <formula>0</formula>
    </cfRule>
  </conditionalFormatting>
  <conditionalFormatting sqref="W64:W75">
    <cfRule type="cellIs" dxfId="104" priority="23" operator="lessThan">
      <formula>0</formula>
    </cfRule>
  </conditionalFormatting>
  <conditionalFormatting sqref="X64:X75">
    <cfRule type="cellIs" dxfId="103" priority="22" operator="lessThan">
      <formula>0</formula>
    </cfRule>
  </conditionalFormatting>
  <conditionalFormatting sqref="X64:X75">
    <cfRule type="cellIs" dxfId="102" priority="21" operator="lessThan">
      <formula>0</formula>
    </cfRule>
  </conditionalFormatting>
  <conditionalFormatting sqref="Y64:Y75">
    <cfRule type="cellIs" dxfId="101" priority="20" operator="lessThan">
      <formula>0</formula>
    </cfRule>
  </conditionalFormatting>
  <conditionalFormatting sqref="Y64:Y75">
    <cfRule type="cellIs" dxfId="100" priority="19" operator="lessThan">
      <formula>0</formula>
    </cfRule>
  </conditionalFormatting>
  <conditionalFormatting sqref="Q64:Q75">
    <cfRule type="cellIs" dxfId="99" priority="18" operator="lessThan">
      <formula>0</formula>
    </cfRule>
  </conditionalFormatting>
  <conditionalFormatting sqref="Q64:Q75">
    <cfRule type="cellIs" dxfId="98" priority="17" operator="lessThan">
      <formula>0</formula>
    </cfRule>
  </conditionalFormatting>
  <conditionalFormatting sqref="Z64:Z75">
    <cfRule type="cellIs" dxfId="97" priority="16" operator="lessThan">
      <formula>0</formula>
    </cfRule>
  </conditionalFormatting>
  <conditionalFormatting sqref="Z64:Z75">
    <cfRule type="cellIs" dxfId="96" priority="15" operator="lessThan">
      <formula>0</formula>
    </cfRule>
  </conditionalFormatting>
  <conditionalFormatting sqref="R64:S75">
    <cfRule type="cellIs" dxfId="95" priority="5" operator="lessThan">
      <formula>0</formula>
    </cfRule>
  </conditionalFormatting>
  <conditionalFormatting sqref="R64:S75">
    <cfRule type="cellIs" dxfId="94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B1:P108"/>
  <sheetViews>
    <sheetView tabSelected="1" zoomScaleNormal="100" workbookViewId="0">
      <pane ySplit="7" topLeftCell="A8" activePane="bottomLeft" state="frozen"/>
      <selection pane="bottomLeft" activeCell="O9" sqref="O9"/>
    </sheetView>
  </sheetViews>
  <sheetFormatPr baseColWidth="10" defaultRowHeight="12.75" x14ac:dyDescent="0.2"/>
  <cols>
    <col min="1" max="1" width="5.7109375" style="23" customWidth="1"/>
    <col min="2" max="3" width="12.7109375" style="23" customWidth="1"/>
    <col min="4" max="5" width="10.7109375" style="23" customWidth="1"/>
    <col min="6" max="6" width="11.85546875" style="23" bestFit="1" customWidth="1"/>
    <col min="7" max="8" width="10.7109375" style="23" customWidth="1"/>
    <col min="9" max="10" width="13.140625" style="23" customWidth="1"/>
    <col min="11" max="16" width="10.7109375" style="23" customWidth="1"/>
    <col min="17" max="17" width="32" style="23" bestFit="1" customWidth="1"/>
    <col min="18" max="16384" width="11.42578125" style="23"/>
  </cols>
  <sheetData>
    <row r="1" spans="2:16" ht="15" customHeight="1" x14ac:dyDescent="0.2"/>
    <row r="2" spans="2:16" ht="15" customHeight="1" x14ac:dyDescent="0.2"/>
    <row r="3" spans="2:16" ht="15" customHeight="1" x14ac:dyDescent="0.2"/>
    <row r="4" spans="2:16" ht="15" customHeight="1" x14ac:dyDescent="0.2"/>
    <row r="5" spans="2:16" ht="15" customHeight="1" x14ac:dyDescent="0.2"/>
    <row r="6" spans="2:16" ht="15" customHeight="1" x14ac:dyDescent="0.2"/>
    <row r="7" spans="2:16" ht="15" customHeight="1" x14ac:dyDescent="0.2"/>
    <row r="8" spans="2:16" ht="15" customHeight="1" x14ac:dyDescent="0.2"/>
    <row r="9" spans="2:16" ht="15" customHeight="1" thickBot="1" x14ac:dyDescent="0.25"/>
    <row r="10" spans="2:16" ht="15" customHeight="1" thickBot="1" x14ac:dyDescent="0.25">
      <c r="B10" s="83" t="s">
        <v>18</v>
      </c>
      <c r="C10" s="29" t="s">
        <v>11</v>
      </c>
    </row>
    <row r="11" spans="2:16" ht="15" customHeight="1" x14ac:dyDescent="0.2">
      <c r="B11" s="52"/>
      <c r="C11" s="51"/>
    </row>
    <row r="12" spans="2:16" ht="22.5" x14ac:dyDescent="0.2">
      <c r="B12" s="931" t="s">
        <v>60</v>
      </c>
      <c r="C12" s="931"/>
      <c r="D12" s="931"/>
      <c r="E12" s="931"/>
      <c r="F12" s="931"/>
      <c r="G12" s="931"/>
      <c r="H12" s="931"/>
      <c r="I12" s="931"/>
      <c r="J12" s="931"/>
      <c r="K12" s="931"/>
      <c r="L12" s="931"/>
      <c r="M12" s="931"/>
      <c r="N12" s="628"/>
      <c r="O12" s="628"/>
      <c r="P12" s="628"/>
    </row>
    <row r="13" spans="2:16" ht="15" customHeight="1" x14ac:dyDescent="0.2">
      <c r="B13" s="626" t="str">
        <f>C10</f>
        <v>Juillet</v>
      </c>
      <c r="C13" s="145"/>
    </row>
    <row r="15" spans="2:16" ht="15.75" x14ac:dyDescent="0.2">
      <c r="B15" s="546" t="str">
        <f>calculs!AB31</f>
        <v>Commercial 1</v>
      </c>
      <c r="C15" s="76"/>
    </row>
    <row r="16" spans="2:16" x14ac:dyDescent="0.2">
      <c r="B16" s="74"/>
      <c r="C16" s="74"/>
    </row>
    <row r="17" spans="2:11" x14ac:dyDescent="0.2">
      <c r="B17" s="877" t="s">
        <v>34</v>
      </c>
      <c r="C17" s="877"/>
    </row>
    <row r="18" spans="2:11" ht="15" customHeight="1" x14ac:dyDescent="0.2">
      <c r="B18" s="76"/>
      <c r="C18" s="76"/>
    </row>
    <row r="19" spans="2:11" ht="15" customHeight="1" x14ac:dyDescent="0.2">
      <c r="B19" s="35"/>
      <c r="C19" s="35"/>
    </row>
    <row r="20" spans="2:11" ht="13.5" customHeight="1" x14ac:dyDescent="0.2">
      <c r="B20" s="877" t="s">
        <v>107</v>
      </c>
      <c r="C20" s="877"/>
    </row>
    <row r="21" spans="2:11" ht="13.5" customHeight="1" x14ac:dyDescent="0.2">
      <c r="B21" s="76"/>
      <c r="C21" s="76"/>
    </row>
    <row r="22" spans="2:11" x14ac:dyDescent="0.2">
      <c r="B22" s="74"/>
      <c r="C22" s="74"/>
    </row>
    <row r="23" spans="2:11" ht="24.95" customHeight="1" x14ac:dyDescent="0.2">
      <c r="B23" s="876" t="s">
        <v>35</v>
      </c>
      <c r="C23" s="876"/>
    </row>
    <row r="24" spans="2:11" ht="19.5" x14ac:dyDescent="0.2">
      <c r="C24" s="636" t="e">
        <f>CHOOSE(calculs!AH4,calculs!$I$69,calculs!$I$70,calculs!$I$71)</f>
        <v>#DIV/0!</v>
      </c>
    </row>
    <row r="28" spans="2:11" ht="13.5" thickBot="1" x14ac:dyDescent="0.25">
      <c r="J28" s="74"/>
      <c r="K28" s="74"/>
    </row>
    <row r="29" spans="2:11" ht="15" customHeight="1" thickBot="1" x14ac:dyDescent="0.25">
      <c r="B29" s="922" t="s">
        <v>83</v>
      </c>
      <c r="C29" s="923"/>
      <c r="D29" s="923"/>
      <c r="E29" s="924"/>
    </row>
    <row r="30" spans="2:11" ht="13.5" thickBot="1" x14ac:dyDescent="0.25">
      <c r="B30" s="547"/>
      <c r="C30" s="551" t="s">
        <v>54</v>
      </c>
      <c r="D30" s="417" t="s">
        <v>55</v>
      </c>
      <c r="E30" s="418" t="s">
        <v>82</v>
      </c>
    </row>
    <row r="31" spans="2:11" ht="15" customHeight="1" x14ac:dyDescent="0.2">
      <c r="B31" s="548" t="str">
        <f>calculs!AB31</f>
        <v>Commercial 1</v>
      </c>
      <c r="C31" s="169">
        <f>calculs!AC31</f>
        <v>1</v>
      </c>
      <c r="D31" s="170">
        <f>calculs!AD31</f>
        <v>1</v>
      </c>
      <c r="E31" s="171">
        <f>calculs!AE31</f>
        <v>1</v>
      </c>
      <c r="I31" s="877" t="s">
        <v>70</v>
      </c>
      <c r="J31" s="877"/>
      <c r="K31" s="74"/>
    </row>
    <row r="32" spans="2:11" x14ac:dyDescent="0.2">
      <c r="B32" s="549" t="str">
        <f>calculs!AB32</f>
        <v>Commercial 2</v>
      </c>
      <c r="C32" s="172">
        <f>calculs!AC32</f>
        <v>1</v>
      </c>
      <c r="D32" s="173">
        <f>calculs!AD32</f>
        <v>1</v>
      </c>
      <c r="E32" s="174">
        <f>calculs!AE32</f>
        <v>1</v>
      </c>
    </row>
    <row r="33" spans="2:10" ht="13.5" thickBot="1" x14ac:dyDescent="0.25">
      <c r="B33" s="550" t="str">
        <f>calculs!AB33</f>
        <v>COMMERCIAL 3</v>
      </c>
      <c r="C33" s="175">
        <f>calculs!AC33</f>
        <v>1</v>
      </c>
      <c r="D33" s="176">
        <f>calculs!AD33</f>
        <v>1</v>
      </c>
      <c r="E33" s="177">
        <f>calculs!AE33</f>
        <v>1</v>
      </c>
    </row>
    <row r="34" spans="2:10" ht="13.5" thickBot="1" x14ac:dyDescent="0.25">
      <c r="I34" s="877" t="s">
        <v>69</v>
      </c>
      <c r="J34" s="877"/>
    </row>
    <row r="35" spans="2:10" ht="13.5" thickBot="1" x14ac:dyDescent="0.25">
      <c r="C35" s="919" t="s">
        <v>100</v>
      </c>
      <c r="D35" s="920"/>
      <c r="E35" s="920"/>
      <c r="F35" s="920"/>
      <c r="G35" s="920"/>
      <c r="H35" s="921"/>
    </row>
    <row r="36" spans="2:10" x14ac:dyDescent="0.2">
      <c r="B36" s="597"/>
      <c r="C36" s="925" t="str">
        <f>'Saisie Commerciaux'!B10</f>
        <v>PRODUCTION</v>
      </c>
      <c r="D36" s="926"/>
      <c r="E36" s="927"/>
      <c r="F36" s="928" t="str">
        <f>'Saisie Commerciaux'!K10</f>
        <v>NEGOCE</v>
      </c>
      <c r="G36" s="929"/>
      <c r="H36" s="930"/>
    </row>
    <row r="37" spans="2:10" ht="23.25" thickBot="1" x14ac:dyDescent="0.25">
      <c r="B37" s="76"/>
      <c r="C37" s="603" t="s">
        <v>14</v>
      </c>
      <c r="D37" s="604" t="s">
        <v>15</v>
      </c>
      <c r="E37" s="605" t="s">
        <v>16</v>
      </c>
      <c r="F37" s="606" t="s">
        <v>14</v>
      </c>
      <c r="G37" s="604" t="s">
        <v>15</v>
      </c>
      <c r="H37" s="605" t="s">
        <v>16</v>
      </c>
      <c r="J37" s="462"/>
    </row>
    <row r="38" spans="2:10" s="42" customFormat="1" ht="16.5" thickBot="1" x14ac:dyDescent="0.25">
      <c r="B38" s="598" t="str">
        <f>C10</f>
        <v>Juillet</v>
      </c>
      <c r="C38" s="599" t="str">
        <f>IFERROR(VLOOKUP(C10,calculs!AB52:AN65,5,FALSE),"")</f>
        <v/>
      </c>
      <c r="D38" s="600" t="str">
        <f>IFERROR(VLOOKUP(C10,calculs!AB52:AN65,6,FALSE),"")</f>
        <v/>
      </c>
      <c r="E38" s="601" t="str">
        <f>IFERROR(VLOOKUP(C10,calculs!AB52:AN65,7,FALSE),"")</f>
        <v/>
      </c>
      <c r="F38" s="602" t="str">
        <f>IFERROR(VLOOKUP(C10,calculs!AB83:AN99,5,FALSE),"")</f>
        <v/>
      </c>
      <c r="G38" s="600" t="str">
        <f>IFERROR(VLOOKUP(C10,calculs!AB83:AN99,6,FALSE),"")</f>
        <v/>
      </c>
      <c r="H38" s="601" t="str">
        <f>IFERROR(VLOOKUP(C10,calculs!AB83:AN99,7,FALSE),"")</f>
        <v/>
      </c>
      <c r="I38" s="89"/>
      <c r="J38" s="89"/>
    </row>
    <row r="39" spans="2:10" s="42" customFormat="1" ht="13.5" thickBot="1" x14ac:dyDescent="0.25">
      <c r="B39" s="43" t="s">
        <v>33</v>
      </c>
      <c r="C39" s="595" t="e">
        <f ca="1">SUM(calculs!AF50/calculs!AC50)</f>
        <v>#DIV/0!</v>
      </c>
      <c r="D39" s="594" t="e">
        <f ca="1">SUM(calculs!AG50/calculs!AD50)</f>
        <v>#DIV/0!</v>
      </c>
      <c r="E39" s="596" t="e">
        <f ca="1">SUM(calculs!AH50/calculs!AE50)</f>
        <v>#DIV/0!</v>
      </c>
      <c r="F39" s="619" t="e">
        <f ca="1">SUM(calculs!AF81/calculs!AC81)</f>
        <v>#DIV/0!</v>
      </c>
      <c r="G39" s="594" t="e">
        <f ca="1">SUM(calculs!AG81/calculs!AD81)</f>
        <v>#DIV/0!</v>
      </c>
      <c r="H39" s="595" t="e">
        <f ca="1">SUM(calculs!AH81/calculs!AE81)</f>
        <v>#DIV/0!</v>
      </c>
    </row>
    <row r="40" spans="2:10" s="42" customFormat="1" ht="15.75" x14ac:dyDescent="0.2">
      <c r="B40" s="592"/>
      <c r="C40" s="591"/>
      <c r="D40" s="591"/>
      <c r="E40" s="591"/>
      <c r="F40" s="591"/>
      <c r="G40" s="591"/>
      <c r="H40" s="591"/>
    </row>
    <row r="41" spans="2:10" s="42" customFormat="1" ht="15.75" x14ac:dyDescent="0.2">
      <c r="B41" s="625" t="str">
        <f>C10</f>
        <v>Juillet</v>
      </c>
      <c r="D41" s="591"/>
      <c r="E41" s="591"/>
      <c r="F41" s="591"/>
      <c r="G41" s="591"/>
      <c r="H41" s="591"/>
    </row>
    <row r="42" spans="2:10" s="42" customFormat="1" ht="15.75" x14ac:dyDescent="0.25">
      <c r="B42" s="621" t="str">
        <f>calculs!AB32</f>
        <v>Commercial 2</v>
      </c>
    </row>
    <row r="43" spans="2:10" s="42" customFormat="1" x14ac:dyDescent="0.2"/>
    <row r="44" spans="2:10" s="42" customFormat="1" ht="15.75" x14ac:dyDescent="0.2">
      <c r="B44" s="877" t="s">
        <v>34</v>
      </c>
      <c r="C44" s="877"/>
      <c r="J44" s="89"/>
    </row>
    <row r="45" spans="2:10" s="42" customFormat="1" x14ac:dyDescent="0.2"/>
    <row r="46" spans="2:10" s="42" customFormat="1" ht="15.75" x14ac:dyDescent="0.2">
      <c r="B46" s="592"/>
      <c r="C46" s="591"/>
      <c r="D46" s="591"/>
      <c r="E46" s="591"/>
      <c r="F46" s="591"/>
      <c r="G46" s="591"/>
      <c r="H46" s="591"/>
    </row>
    <row r="47" spans="2:10" s="42" customFormat="1" ht="15.75" x14ac:dyDescent="0.2">
      <c r="B47" s="877" t="s">
        <v>107</v>
      </c>
      <c r="C47" s="877"/>
      <c r="D47" s="591"/>
      <c r="E47" s="591"/>
      <c r="F47" s="591"/>
      <c r="G47" s="591"/>
      <c r="H47" s="591"/>
    </row>
    <row r="48" spans="2:10" s="42" customFormat="1" ht="15.75" x14ac:dyDescent="0.2">
      <c r="B48" s="592"/>
      <c r="C48" s="591"/>
      <c r="D48" s="591"/>
      <c r="E48" s="591"/>
      <c r="F48" s="591"/>
      <c r="G48" s="591"/>
      <c r="H48" s="591"/>
    </row>
    <row r="49" spans="2:16" s="42" customFormat="1" x14ac:dyDescent="0.2"/>
    <row r="50" spans="2:16" s="76" customFormat="1" ht="24.95" customHeight="1" x14ac:dyDescent="0.2">
      <c r="B50" s="876" t="s">
        <v>35</v>
      </c>
      <c r="C50" s="876"/>
      <c r="N50" s="167"/>
      <c r="O50" s="167"/>
    </row>
    <row r="51" spans="2:16" s="76" customFormat="1" ht="18" x14ac:dyDescent="0.2">
      <c r="C51" s="635" t="e">
        <f>CHOOSE(calculs!AP4,calculs!$I$69,calculs!$I$70,calculs!$I$71)</f>
        <v>#DIV/0!</v>
      </c>
      <c r="I51" s="308"/>
      <c r="J51" s="308"/>
      <c r="K51" s="308"/>
      <c r="L51" s="308"/>
    </row>
    <row r="52" spans="2:16" s="76" customFormat="1" x14ac:dyDescent="0.2">
      <c r="I52" s="552"/>
      <c r="J52" s="306"/>
      <c r="K52" s="306"/>
      <c r="L52" s="306"/>
    </row>
    <row r="53" spans="2:16" s="76" customFormat="1" x14ac:dyDescent="0.2">
      <c r="I53" s="553"/>
      <c r="J53" s="307"/>
      <c r="K53" s="307"/>
      <c r="L53" s="307"/>
    </row>
    <row r="54" spans="2:16" s="76" customFormat="1" x14ac:dyDescent="0.2">
      <c r="I54" s="553"/>
      <c r="J54" s="307"/>
      <c r="K54" s="307"/>
      <c r="L54" s="307"/>
    </row>
    <row r="55" spans="2:16" s="76" customFormat="1" ht="13.5" thickBot="1" x14ac:dyDescent="0.25">
      <c r="I55" s="553"/>
      <c r="J55" s="307"/>
      <c r="K55" s="307"/>
      <c r="L55" s="307"/>
    </row>
    <row r="56" spans="2:16" s="76" customFormat="1" ht="16.5" thickBot="1" x14ac:dyDescent="0.25">
      <c r="B56" s="922" t="s">
        <v>83</v>
      </c>
      <c r="C56" s="923"/>
      <c r="D56" s="923"/>
      <c r="E56" s="924"/>
    </row>
    <row r="57" spans="2:16" s="76" customFormat="1" ht="16.5" thickBot="1" x14ac:dyDescent="0.25">
      <c r="B57" s="547"/>
      <c r="C57" s="551" t="s">
        <v>54</v>
      </c>
      <c r="D57" s="465" t="s">
        <v>55</v>
      </c>
      <c r="E57" s="466" t="s">
        <v>82</v>
      </c>
      <c r="I57" s="308"/>
      <c r="J57" s="308"/>
      <c r="K57" s="308"/>
      <c r="L57" s="308"/>
    </row>
    <row r="58" spans="2:16" s="76" customFormat="1" x14ac:dyDescent="0.2">
      <c r="B58" s="548" t="str">
        <f>calculs!AB31</f>
        <v>Commercial 1</v>
      </c>
      <c r="C58" s="169">
        <f>calculs!AC31</f>
        <v>1</v>
      </c>
      <c r="D58" s="170">
        <f>calculs!AD31</f>
        <v>1</v>
      </c>
      <c r="E58" s="171">
        <f>calculs!AE31</f>
        <v>1</v>
      </c>
      <c r="I58" s="877" t="s">
        <v>70</v>
      </c>
      <c r="J58" s="877"/>
      <c r="K58" s="405"/>
      <c r="L58" s="306"/>
    </row>
    <row r="59" spans="2:16" s="76" customFormat="1" x14ac:dyDescent="0.2">
      <c r="B59" s="549" t="str">
        <f>calculs!AB32</f>
        <v>Commercial 2</v>
      </c>
      <c r="C59" s="172">
        <f>calculs!AC32</f>
        <v>1</v>
      </c>
      <c r="D59" s="173">
        <f>calculs!AD32</f>
        <v>1</v>
      </c>
      <c r="E59" s="174">
        <f>calculs!AE32</f>
        <v>1</v>
      </c>
      <c r="I59" s="346"/>
      <c r="J59" s="405"/>
      <c r="K59" s="405"/>
      <c r="L59" s="307"/>
    </row>
    <row r="60" spans="2:16" s="76" customFormat="1" ht="13.5" thickBot="1" x14ac:dyDescent="0.25">
      <c r="B60" s="550" t="str">
        <f>calculs!AB33</f>
        <v>COMMERCIAL 3</v>
      </c>
      <c r="C60" s="175">
        <f>calculs!AC33</f>
        <v>1</v>
      </c>
      <c r="D60" s="176">
        <f>calculs!AD33</f>
        <v>1</v>
      </c>
      <c r="E60" s="177">
        <f>calculs!AE33</f>
        <v>1</v>
      </c>
      <c r="I60" s="346"/>
      <c r="J60" s="405"/>
      <c r="K60" s="405"/>
      <c r="L60" s="307"/>
    </row>
    <row r="61" spans="2:16" s="76" customFormat="1" ht="13.5" thickBot="1" x14ac:dyDescent="0.25">
      <c r="I61" s="877" t="s">
        <v>69</v>
      </c>
      <c r="J61" s="877"/>
      <c r="K61" s="307"/>
      <c r="L61" s="307"/>
    </row>
    <row r="62" spans="2:16" s="76" customFormat="1" ht="13.5" thickBot="1" x14ac:dyDescent="0.25">
      <c r="C62" s="919" t="s">
        <v>100</v>
      </c>
      <c r="D62" s="920"/>
      <c r="E62" s="920"/>
      <c r="F62" s="920"/>
      <c r="G62" s="920"/>
      <c r="H62" s="921"/>
    </row>
    <row r="63" spans="2:16" s="76" customFormat="1" x14ac:dyDescent="0.2">
      <c r="B63" s="597"/>
      <c r="C63" s="925" t="str">
        <f>'Saisie Commerciaux'!B27</f>
        <v>PRODUCTION</v>
      </c>
      <c r="D63" s="926"/>
      <c r="E63" s="927"/>
      <c r="F63" s="928" t="str">
        <f>'Saisie Commerciaux'!K27</f>
        <v>NEGOCE</v>
      </c>
      <c r="G63" s="929"/>
      <c r="H63" s="930"/>
    </row>
    <row r="64" spans="2:16" ht="23.25" thickBot="1" x14ac:dyDescent="0.35">
      <c r="B64" s="76"/>
      <c r="C64" s="603" t="s">
        <v>14</v>
      </c>
      <c r="D64" s="604" t="s">
        <v>15</v>
      </c>
      <c r="E64" s="605" t="s">
        <v>16</v>
      </c>
      <c r="F64" s="606" t="s">
        <v>14</v>
      </c>
      <c r="G64" s="604" t="s">
        <v>15</v>
      </c>
      <c r="H64" s="605" t="s">
        <v>16</v>
      </c>
      <c r="I64" s="309"/>
      <c r="J64" s="622"/>
      <c r="K64" s="309"/>
      <c r="L64" s="309"/>
      <c r="M64" s="309"/>
      <c r="N64" s="309"/>
      <c r="O64" s="309"/>
      <c r="P64" s="309"/>
    </row>
    <row r="65" spans="2:16" ht="13.5" thickBot="1" x14ac:dyDescent="0.25">
      <c r="B65" s="598" t="str">
        <f>C10</f>
        <v>Juillet</v>
      </c>
      <c r="C65" s="599" t="str">
        <f>IFERROR(VLOOKUP(C10,calculs!AB52:AN65,8,FALSE),"")</f>
        <v/>
      </c>
      <c r="D65" s="600" t="str">
        <f>IFERROR(VLOOKUP(C10,calculs!AB52:AN65,9,FALSE),"")</f>
        <v/>
      </c>
      <c r="E65" s="601" t="str">
        <f>IFERROR(VLOOKUP(C10,calculs!AB52:AN65,10,FALSE),"")</f>
        <v/>
      </c>
      <c r="F65" s="602" t="str">
        <f>IFERROR(VLOOKUP(C10,calculs!AB83:AN99,8,FALSE),"")</f>
        <v/>
      </c>
      <c r="G65" s="600" t="str">
        <f>IFERROR(VLOOKUP(C10,calculs!AB83:AN99,9,FALSE),"")</f>
        <v/>
      </c>
      <c r="H65" s="601" t="str">
        <f>IFERROR(VLOOKUP(C10,calculs!AB83:AN99,10,FALSE),"")</f>
        <v/>
      </c>
      <c r="I65" s="48"/>
      <c r="J65" s="48"/>
      <c r="K65" s="48"/>
      <c r="L65" s="48"/>
      <c r="M65" s="48"/>
      <c r="N65" s="48"/>
      <c r="O65" s="48"/>
      <c r="P65" s="48"/>
    </row>
    <row r="66" spans="2:16" ht="13.5" thickBot="1" x14ac:dyDescent="0.25">
      <c r="B66" s="43" t="s">
        <v>33</v>
      </c>
      <c r="C66" s="595" t="e">
        <f ca="1">SUM(calculs!AI50/calculs!AC50)</f>
        <v>#DIV/0!</v>
      </c>
      <c r="D66" s="595" t="e">
        <f ca="1">SUM(calculs!AJ50/calculs!AD50)</f>
        <v>#DIV/0!</v>
      </c>
      <c r="E66" s="623" t="e">
        <f ca="1">SUM(calculs!AK50/calculs!AE50)</f>
        <v>#DIV/0!</v>
      </c>
      <c r="F66" s="618" t="e">
        <f ca="1">SUM(calculs!AI81/calculs!AC81)</f>
        <v>#DIV/0!</v>
      </c>
      <c r="G66" s="594" t="e">
        <f ca="1">SUM(calculs!AJ81/calculs!AD81)</f>
        <v>#DIV/0!</v>
      </c>
      <c r="H66" s="620" t="e">
        <f ca="1">SUM(calculs!AK81/calculs!AE81)</f>
        <v>#DIV/0!</v>
      </c>
    </row>
    <row r="67" spans="2:16" x14ac:dyDescent="0.2">
      <c r="C67" s="49"/>
      <c r="D67" s="76"/>
    </row>
    <row r="68" spans="2:16" x14ac:dyDescent="0.2">
      <c r="C68" s="49"/>
      <c r="D68" s="76"/>
    </row>
    <row r="69" spans="2:16" x14ac:dyDescent="0.2">
      <c r="C69" s="49"/>
      <c r="D69" s="76"/>
      <c r="F69" s="624"/>
    </row>
    <row r="70" spans="2:16" x14ac:dyDescent="0.2">
      <c r="C70" s="49"/>
      <c r="D70" s="76"/>
    </row>
    <row r="71" spans="2:16" x14ac:dyDescent="0.2">
      <c r="C71" s="49"/>
      <c r="D71" s="76"/>
    </row>
    <row r="72" spans="2:16" x14ac:dyDescent="0.2">
      <c r="C72" s="49"/>
      <c r="D72" s="76"/>
    </row>
    <row r="73" spans="2:16" x14ac:dyDescent="0.2">
      <c r="C73" s="49"/>
      <c r="D73" s="76"/>
    </row>
    <row r="74" spans="2:16" x14ac:dyDescent="0.2">
      <c r="C74" s="49"/>
      <c r="D74" s="76"/>
    </row>
    <row r="75" spans="2:16" x14ac:dyDescent="0.2">
      <c r="C75" s="49"/>
      <c r="D75" s="76"/>
    </row>
    <row r="76" spans="2:16" x14ac:dyDescent="0.2">
      <c r="C76" s="49"/>
    </row>
    <row r="77" spans="2:16" x14ac:dyDescent="0.2">
      <c r="C77" s="49"/>
    </row>
    <row r="81" spans="2:15" s="42" customFormat="1" ht="15.75" x14ac:dyDescent="0.2">
      <c r="B81" s="592"/>
      <c r="C81" s="591"/>
      <c r="D81" s="591"/>
      <c r="E81" s="591"/>
      <c r="F81" s="591"/>
      <c r="G81" s="591"/>
      <c r="H81" s="591"/>
    </row>
    <row r="82" spans="2:15" s="42" customFormat="1" ht="15.75" x14ac:dyDescent="0.2">
      <c r="B82" s="625" t="str">
        <f>C10</f>
        <v>Juillet</v>
      </c>
      <c r="D82" s="591"/>
      <c r="E82" s="591"/>
      <c r="F82" s="591"/>
      <c r="G82" s="591"/>
      <c r="H82" s="591"/>
    </row>
    <row r="83" spans="2:15" s="42" customFormat="1" ht="15.75" x14ac:dyDescent="0.25">
      <c r="B83" s="621" t="str">
        <f>calculs!AB33</f>
        <v>COMMERCIAL 3</v>
      </c>
    </row>
    <row r="84" spans="2:15" s="42" customFormat="1" x14ac:dyDescent="0.2"/>
    <row r="85" spans="2:15" s="42" customFormat="1" ht="15.75" x14ac:dyDescent="0.2">
      <c r="B85" s="877" t="s">
        <v>34</v>
      </c>
      <c r="C85" s="877"/>
      <c r="J85" s="89"/>
    </row>
    <row r="86" spans="2:15" s="42" customFormat="1" x14ac:dyDescent="0.2"/>
    <row r="87" spans="2:15" s="42" customFormat="1" ht="15.75" x14ac:dyDescent="0.2">
      <c r="B87" s="592"/>
      <c r="C87" s="591"/>
      <c r="D87" s="591"/>
      <c r="E87" s="591"/>
      <c r="F87" s="591"/>
      <c r="G87" s="591"/>
      <c r="H87" s="591"/>
    </row>
    <row r="88" spans="2:15" s="42" customFormat="1" ht="15.75" x14ac:dyDescent="0.2">
      <c r="B88" s="877" t="s">
        <v>107</v>
      </c>
      <c r="C88" s="877"/>
      <c r="D88" s="591"/>
      <c r="E88" s="591"/>
      <c r="F88" s="591"/>
      <c r="G88" s="591"/>
      <c r="H88" s="591"/>
    </row>
    <row r="89" spans="2:15" s="42" customFormat="1" ht="15.75" x14ac:dyDescent="0.2">
      <c r="B89" s="592"/>
      <c r="C89" s="591"/>
      <c r="D89" s="591"/>
      <c r="E89" s="591"/>
      <c r="F89" s="591"/>
      <c r="G89" s="591"/>
      <c r="H89" s="591"/>
    </row>
    <row r="90" spans="2:15" s="42" customFormat="1" x14ac:dyDescent="0.2"/>
    <row r="91" spans="2:15" s="76" customFormat="1" ht="24.95" customHeight="1" x14ac:dyDescent="0.2">
      <c r="B91" s="876" t="s">
        <v>35</v>
      </c>
      <c r="C91" s="876"/>
      <c r="N91" s="167"/>
      <c r="O91" s="167"/>
    </row>
    <row r="92" spans="2:15" s="76" customFormat="1" ht="19.5" x14ac:dyDescent="0.2">
      <c r="C92" s="636" t="e">
        <f>CHOOSE(calculs!AX4,calculs!$I$69,calculs!$I$70,calculs!$I$71)</f>
        <v>#DIV/0!</v>
      </c>
      <c r="I92" s="308"/>
      <c r="J92" s="308"/>
      <c r="K92" s="308"/>
      <c r="L92" s="308"/>
    </row>
    <row r="93" spans="2:15" s="76" customFormat="1" x14ac:dyDescent="0.2">
      <c r="I93" s="552"/>
      <c r="J93" s="306"/>
      <c r="K93" s="306"/>
      <c r="L93" s="306"/>
    </row>
    <row r="94" spans="2:15" s="76" customFormat="1" x14ac:dyDescent="0.2">
      <c r="I94" s="553"/>
      <c r="J94" s="307"/>
      <c r="K94" s="307"/>
      <c r="L94" s="307"/>
    </row>
    <row r="95" spans="2:15" s="76" customFormat="1" x14ac:dyDescent="0.2">
      <c r="I95" s="553"/>
      <c r="J95" s="307"/>
      <c r="K95" s="307"/>
      <c r="L95" s="307"/>
    </row>
    <row r="96" spans="2:15" s="76" customFormat="1" ht="13.5" thickBot="1" x14ac:dyDescent="0.25">
      <c r="I96" s="553"/>
      <c r="J96" s="307"/>
      <c r="K96" s="307"/>
      <c r="L96" s="307"/>
    </row>
    <row r="97" spans="2:16" s="76" customFormat="1" ht="16.5" thickBot="1" x14ac:dyDescent="0.25">
      <c r="B97" s="922" t="s">
        <v>83</v>
      </c>
      <c r="C97" s="923"/>
      <c r="D97" s="923"/>
      <c r="E97" s="924"/>
    </row>
    <row r="98" spans="2:16" s="76" customFormat="1" ht="16.5" thickBot="1" x14ac:dyDescent="0.25">
      <c r="B98" s="547"/>
      <c r="C98" s="551" t="s">
        <v>54</v>
      </c>
      <c r="D98" s="465" t="s">
        <v>55</v>
      </c>
      <c r="E98" s="466" t="s">
        <v>82</v>
      </c>
      <c r="I98" s="308"/>
      <c r="J98" s="308"/>
      <c r="K98" s="308"/>
      <c r="L98" s="308"/>
    </row>
    <row r="99" spans="2:16" s="76" customFormat="1" x14ac:dyDescent="0.2">
      <c r="B99" s="548" t="str">
        <f>calculs!AB31</f>
        <v>Commercial 1</v>
      </c>
      <c r="C99" s="169">
        <f>calculs!AC31</f>
        <v>1</v>
      </c>
      <c r="D99" s="170">
        <f>calculs!AD31</f>
        <v>1</v>
      </c>
      <c r="E99" s="171">
        <f>calculs!AE31</f>
        <v>1</v>
      </c>
      <c r="I99" s="877" t="s">
        <v>70</v>
      </c>
      <c r="J99" s="877"/>
      <c r="K99" s="405"/>
      <c r="L99" s="306"/>
    </row>
    <row r="100" spans="2:16" s="76" customFormat="1" x14ac:dyDescent="0.2">
      <c r="B100" s="549" t="str">
        <f>calculs!AB32</f>
        <v>Commercial 2</v>
      </c>
      <c r="C100" s="172">
        <f>calculs!AC32</f>
        <v>1</v>
      </c>
      <c r="D100" s="173">
        <f>calculs!AD32</f>
        <v>1</v>
      </c>
      <c r="E100" s="174">
        <f>calculs!AE32</f>
        <v>1</v>
      </c>
      <c r="I100" s="346"/>
      <c r="J100" s="405"/>
      <c r="K100" s="405"/>
      <c r="L100" s="307"/>
    </row>
    <row r="101" spans="2:16" s="76" customFormat="1" ht="13.5" thickBot="1" x14ac:dyDescent="0.25">
      <c r="B101" s="550" t="str">
        <f>calculs!AB33</f>
        <v>COMMERCIAL 3</v>
      </c>
      <c r="C101" s="175">
        <f>calculs!AC33</f>
        <v>1</v>
      </c>
      <c r="D101" s="176">
        <f>calculs!AD33</f>
        <v>1</v>
      </c>
      <c r="E101" s="177">
        <f>calculs!AE33</f>
        <v>1</v>
      </c>
      <c r="I101" s="346"/>
      <c r="J101" s="405"/>
      <c r="K101" s="405"/>
      <c r="L101" s="307"/>
    </row>
    <row r="102" spans="2:16" s="76" customFormat="1" ht="13.5" thickBot="1" x14ac:dyDescent="0.25">
      <c r="I102" s="877" t="s">
        <v>69</v>
      </c>
      <c r="J102" s="877"/>
      <c r="K102" s="307"/>
      <c r="L102" s="307"/>
    </row>
    <row r="103" spans="2:16" s="76" customFormat="1" ht="13.5" thickBot="1" x14ac:dyDescent="0.25">
      <c r="C103" s="919" t="s">
        <v>100</v>
      </c>
      <c r="D103" s="920"/>
      <c r="E103" s="920"/>
      <c r="F103" s="920"/>
      <c r="G103" s="920"/>
      <c r="H103" s="921"/>
    </row>
    <row r="104" spans="2:16" s="76" customFormat="1" x14ac:dyDescent="0.2">
      <c r="B104" s="597"/>
      <c r="C104" s="925" t="str">
        <f>'Saisie Commerciaux'!B27</f>
        <v>PRODUCTION</v>
      </c>
      <c r="D104" s="926"/>
      <c r="E104" s="927"/>
      <c r="F104" s="928" t="str">
        <f>'Saisie Commerciaux'!K27</f>
        <v>NEGOCE</v>
      </c>
      <c r="G104" s="929"/>
      <c r="H104" s="930"/>
    </row>
    <row r="105" spans="2:16" s="76" customFormat="1" ht="23.25" thickBot="1" x14ac:dyDescent="0.35">
      <c r="C105" s="603" t="s">
        <v>14</v>
      </c>
      <c r="D105" s="604" t="s">
        <v>15</v>
      </c>
      <c r="E105" s="605" t="s">
        <v>16</v>
      </c>
      <c r="F105" s="606" t="s">
        <v>14</v>
      </c>
      <c r="G105" s="604" t="s">
        <v>15</v>
      </c>
      <c r="H105" s="605" t="s">
        <v>16</v>
      </c>
      <c r="I105" s="309"/>
      <c r="J105" s="622"/>
      <c r="K105" s="309"/>
      <c r="L105" s="309"/>
      <c r="M105" s="309"/>
      <c r="N105" s="309"/>
      <c r="O105" s="309"/>
      <c r="P105" s="309"/>
    </row>
    <row r="106" spans="2:16" s="76" customFormat="1" ht="13.5" thickBot="1" x14ac:dyDescent="0.25">
      <c r="B106" s="598" t="str">
        <f>C10</f>
        <v>Juillet</v>
      </c>
      <c r="C106" s="599" t="str">
        <f>IFERROR(VLOOKUP(C10,calculs!AB52:AN65,11,FALSE),"")</f>
        <v/>
      </c>
      <c r="D106" s="600" t="str">
        <f>IFERROR(VLOOKUP(C10,calculs!AB52:AN65,12,FALSE),"")</f>
        <v/>
      </c>
      <c r="E106" s="601" t="str">
        <f>IFERROR(VLOOKUP(C10,calculs!AB52:AN65,13,FALSE),"")</f>
        <v/>
      </c>
      <c r="F106" s="602" t="str">
        <f>IFERROR(VLOOKUP(C10,calculs!AB83:AN99,11,FALSE),"")</f>
        <v/>
      </c>
      <c r="G106" s="600" t="str">
        <f>IFERROR(VLOOKUP(C10,calculs!AB83:AN99,12,FALSE),"")</f>
        <v/>
      </c>
      <c r="H106" s="601" t="str">
        <f>IFERROR(VLOOKUP(C10,calculs!AB83:AN99,13,FALSE),"")</f>
        <v/>
      </c>
      <c r="I106" s="48"/>
      <c r="J106" s="48"/>
      <c r="K106" s="48"/>
      <c r="L106" s="48"/>
      <c r="M106" s="48"/>
      <c r="N106" s="48"/>
      <c r="O106" s="48"/>
      <c r="P106" s="48"/>
    </row>
    <row r="107" spans="2:16" s="76" customFormat="1" ht="13.5" thickBot="1" x14ac:dyDescent="0.25">
      <c r="B107" s="627" t="s">
        <v>33</v>
      </c>
      <c r="C107" s="618" t="e">
        <f ca="1">SUM(calculs!AL50/calculs!AC50)</f>
        <v>#DIV/0!</v>
      </c>
      <c r="D107" s="594" t="e">
        <f ca="1">SUM(calculs!AM50/calculs!AD50)</f>
        <v>#DIV/0!</v>
      </c>
      <c r="E107" s="596" t="e">
        <f ca="1">SUM(calculs!AN50/calculs!AE50)</f>
        <v>#DIV/0!</v>
      </c>
      <c r="F107" s="618" t="e">
        <f ca="1">SUM(calculs!AL81/calculs!AC81)</f>
        <v>#DIV/0!</v>
      </c>
      <c r="G107" s="594" t="e">
        <f ca="1">SUM(calculs!AM81/calculs!AD81)</f>
        <v>#DIV/0!</v>
      </c>
      <c r="H107" s="620" t="e">
        <f ca="1">SUM(calculs!AN81/calculs!AE81)</f>
        <v>#DIV/0!</v>
      </c>
    </row>
    <row r="108" spans="2:16" s="76" customFormat="1" x14ac:dyDescent="0.2">
      <c r="C108" s="49"/>
    </row>
  </sheetData>
  <mergeCells count="28">
    <mergeCell ref="B12:M12"/>
    <mergeCell ref="C104:E104"/>
    <mergeCell ref="F104:H104"/>
    <mergeCell ref="B91:C91"/>
    <mergeCell ref="B97:E97"/>
    <mergeCell ref="I99:J99"/>
    <mergeCell ref="I102:J102"/>
    <mergeCell ref="C103:H103"/>
    <mergeCell ref="C62:H62"/>
    <mergeCell ref="C63:E63"/>
    <mergeCell ref="F63:H63"/>
    <mergeCell ref="B85:C85"/>
    <mergeCell ref="B88:C88"/>
    <mergeCell ref="B44:C44"/>
    <mergeCell ref="B47:C47"/>
    <mergeCell ref="B50:C50"/>
    <mergeCell ref="I58:J58"/>
    <mergeCell ref="I61:J61"/>
    <mergeCell ref="B56:E56"/>
    <mergeCell ref="C36:E36"/>
    <mergeCell ref="F36:H36"/>
    <mergeCell ref="I34:J34"/>
    <mergeCell ref="I31:J31"/>
    <mergeCell ref="C35:H35"/>
    <mergeCell ref="B17:C17"/>
    <mergeCell ref="B20:C20"/>
    <mergeCell ref="B23:C23"/>
    <mergeCell ref="B29:E29"/>
  </mergeCells>
  <conditionalFormatting sqref="C99">
    <cfRule type="cellIs" dxfId="93" priority="37" operator="equal">
      <formula>3</formula>
    </cfRule>
    <cfRule type="cellIs" dxfId="92" priority="38" operator="equal">
      <formula>2</formula>
    </cfRule>
    <cfRule type="cellIs" dxfId="91" priority="39" operator="equal">
      <formula>1</formula>
    </cfRule>
  </conditionalFormatting>
  <conditionalFormatting sqref="D99">
    <cfRule type="cellIs" dxfId="90" priority="34" operator="equal">
      <formula>3</formula>
    </cfRule>
    <cfRule type="cellIs" dxfId="89" priority="35" operator="equal">
      <formula>2</formula>
    </cfRule>
    <cfRule type="cellIs" dxfId="88" priority="36" operator="equal">
      <formula>1</formula>
    </cfRule>
  </conditionalFormatting>
  <conditionalFormatting sqref="E99">
    <cfRule type="cellIs" dxfId="87" priority="31" operator="equal">
      <formula>3</formula>
    </cfRule>
    <cfRule type="cellIs" dxfId="86" priority="32" operator="equal">
      <formula>2</formula>
    </cfRule>
    <cfRule type="cellIs" dxfId="85" priority="33" operator="equal">
      <formula>1</formula>
    </cfRule>
  </conditionalFormatting>
  <conditionalFormatting sqref="C100:E101">
    <cfRule type="cellIs" dxfId="84" priority="28" operator="equal">
      <formula>3</formula>
    </cfRule>
    <cfRule type="cellIs" dxfId="83" priority="29" operator="equal">
      <formula>2</formula>
    </cfRule>
    <cfRule type="cellIs" dxfId="82" priority="30" operator="equal">
      <formula>1</formula>
    </cfRule>
  </conditionalFormatting>
  <conditionalFormatting sqref="C58:E60">
    <cfRule type="cellIs" dxfId="81" priority="13" operator="equal">
      <formula>3</formula>
    </cfRule>
    <cfRule type="cellIs" dxfId="80" priority="14" operator="equal">
      <formula>2</formula>
    </cfRule>
    <cfRule type="cellIs" dxfId="79" priority="15" operator="equal">
      <formula>1</formula>
    </cfRule>
  </conditionalFormatting>
  <conditionalFormatting sqref="C31:E33">
    <cfRule type="cellIs" dxfId="78" priority="1" operator="equal">
      <formula>3</formula>
    </cfRule>
    <cfRule type="cellIs" dxfId="77" priority="2" operator="equal">
      <formula>2</formula>
    </cfRule>
    <cfRule type="cellIs" dxfId="76" priority="3" operator="equal">
      <formula>1</formula>
    </cfRule>
  </conditionalFormatting>
  <conditionalFormatting sqref="C24">
    <cfRule type="cellIs" dxfId="75" priority="46" operator="equal">
      <formula>"K"</formula>
    </cfRule>
    <cfRule type="cellIs" dxfId="74" priority="47" operator="equal">
      <formula>"J"</formula>
    </cfRule>
    <cfRule type="cellIs" dxfId="73" priority="48" operator="equal">
      <formula>"L"</formula>
    </cfRule>
  </conditionalFormatting>
  <conditionalFormatting sqref="C51">
    <cfRule type="cellIs" dxfId="72" priority="43" operator="equal">
      <formula>"L"</formula>
    </cfRule>
    <cfRule type="cellIs" dxfId="71" priority="44" operator="equal">
      <formula>"K"</formula>
    </cfRule>
    <cfRule type="cellIs" dxfId="70" priority="45" operator="equal">
      <formula>"J"</formula>
    </cfRule>
  </conditionalFormatting>
  <conditionalFormatting sqref="C92">
    <cfRule type="cellIs" dxfId="69" priority="40" operator="equal">
      <formula>"L"</formula>
    </cfRule>
    <cfRule type="cellIs" dxfId="68" priority="41" operator="equal">
      <formula>"K"</formula>
    </cfRule>
    <cfRule type="cellIs" dxfId="67" priority="42" operator="equal">
      <formula>"J"</formula>
    </cfRule>
  </conditionalFormatting>
  <printOptions horizontalCentered="1" verticalCentered="1"/>
  <pageMargins left="0" right="0" top="0" bottom="0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'Saisie Commerciaux'!$A$64:$A$75</xm:f>
          </x14:formula1>
          <xm:sqref>C10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A118"/>
  <sheetViews>
    <sheetView topLeftCell="A88" workbookViewId="0">
      <selection activeCell="K92" sqref="K92"/>
    </sheetView>
  </sheetViews>
  <sheetFormatPr baseColWidth="10" defaultRowHeight="15" x14ac:dyDescent="0.25"/>
  <cols>
    <col min="1" max="1" width="11.42578125" style="72"/>
    <col min="3" max="3" width="22.85546875" style="36" bestFit="1" customWidth="1"/>
    <col min="4" max="4" width="29.5703125" style="36" customWidth="1"/>
    <col min="5" max="5" width="10.28515625" style="36" bestFit="1" customWidth="1"/>
    <col min="6" max="6" width="11.42578125" style="36"/>
    <col min="9" max="9" width="19.85546875" bestFit="1" customWidth="1"/>
    <col min="10" max="10" width="19.140625" bestFit="1" customWidth="1"/>
    <col min="14" max="14" width="22.85546875" bestFit="1" customWidth="1"/>
    <col min="15" max="15" width="29.5703125" customWidth="1"/>
    <col min="16" max="16" width="8.85546875" bestFit="1" customWidth="1"/>
    <col min="18" max="18" width="15" bestFit="1" customWidth="1"/>
    <col min="20" max="20" width="14.5703125" bestFit="1" customWidth="1"/>
    <col min="21" max="21" width="28.42578125" bestFit="1" customWidth="1"/>
    <col min="22" max="22" width="22.85546875" bestFit="1" customWidth="1"/>
    <col min="23" max="23" width="34.28515625" customWidth="1"/>
    <col min="24" max="24" width="14.42578125" bestFit="1" customWidth="1"/>
    <col min="25" max="25" width="13.85546875" bestFit="1" customWidth="1"/>
    <col min="28" max="28" width="14.7109375" bestFit="1" customWidth="1"/>
    <col min="29" max="29" width="12.42578125" bestFit="1" customWidth="1"/>
    <col min="30" max="30" width="22.85546875" bestFit="1" customWidth="1"/>
    <col min="31" max="31" width="28.140625" customWidth="1"/>
    <col min="32" max="32" width="11.85546875" bestFit="1" customWidth="1"/>
    <col min="33" max="33" width="13.85546875" bestFit="1" customWidth="1"/>
    <col min="34" max="34" width="19.7109375" bestFit="1" customWidth="1"/>
    <col min="35" max="35" width="15.7109375" bestFit="1" customWidth="1"/>
    <col min="36" max="37" width="14.5703125" bestFit="1" customWidth="1"/>
    <col min="38" max="38" width="22.85546875" bestFit="1" customWidth="1"/>
    <col min="39" max="39" width="28.140625" customWidth="1"/>
    <col min="40" max="40" width="9" bestFit="1" customWidth="1"/>
    <col min="41" max="41" width="8.85546875" bestFit="1" customWidth="1"/>
    <col min="46" max="46" width="22.85546875" bestFit="1" customWidth="1"/>
    <col min="47" max="47" width="28.140625" customWidth="1"/>
  </cols>
  <sheetData>
    <row r="1" spans="1:50" ht="15" customHeight="1" x14ac:dyDescent="0.3">
      <c r="A1" s="946" t="s">
        <v>25</v>
      </c>
      <c r="B1" s="936"/>
      <c r="C1" s="936"/>
      <c r="D1" s="936"/>
      <c r="E1" s="936"/>
      <c r="F1" s="936"/>
      <c r="G1" s="937"/>
      <c r="I1" s="37" t="s">
        <v>43</v>
      </c>
      <c r="J1" s="38">
        <f ca="1">NOW()</f>
        <v>42599.884316319447</v>
      </c>
      <c r="L1" s="946" t="s">
        <v>40</v>
      </c>
      <c r="M1" s="936"/>
      <c r="N1" s="936"/>
      <c r="O1" s="936"/>
      <c r="P1" s="936"/>
      <c r="Q1" s="936"/>
      <c r="R1" s="937"/>
      <c r="T1" s="946" t="s">
        <v>84</v>
      </c>
      <c r="U1" s="936"/>
      <c r="V1" s="936"/>
      <c r="W1" s="936"/>
      <c r="X1" s="936"/>
      <c r="Y1" s="936"/>
      <c r="Z1" s="937"/>
      <c r="AB1" s="935" t="str">
        <f>AB31</f>
        <v>Commercial 1</v>
      </c>
      <c r="AC1" s="936"/>
      <c r="AD1" s="936"/>
      <c r="AE1" s="936"/>
      <c r="AF1" s="936"/>
      <c r="AG1" s="936"/>
      <c r="AH1" s="937"/>
      <c r="AJ1" s="935" t="str">
        <f>AB32</f>
        <v>Commercial 2</v>
      </c>
      <c r="AK1" s="936"/>
      <c r="AL1" s="936"/>
      <c r="AM1" s="936"/>
      <c r="AN1" s="936"/>
      <c r="AO1" s="936"/>
      <c r="AP1" s="937"/>
      <c r="AR1" s="935" t="str">
        <f>AB33</f>
        <v>COMMERCIAL 3</v>
      </c>
      <c r="AS1" s="936"/>
      <c r="AT1" s="936"/>
      <c r="AU1" s="936"/>
      <c r="AV1" s="936"/>
      <c r="AW1" s="936"/>
      <c r="AX1" s="937"/>
    </row>
    <row r="2" spans="1:50" ht="15.75" thickBot="1" x14ac:dyDescent="0.3">
      <c r="A2" s="122"/>
      <c r="B2" s="3"/>
      <c r="C2" s="123"/>
      <c r="D2" s="123"/>
      <c r="E2" s="123"/>
      <c r="F2" s="123"/>
      <c r="G2" s="124"/>
      <c r="I2" s="37" t="s">
        <v>44</v>
      </c>
      <c r="J2" s="39">
        <f ca="1">NOW()</f>
        <v>42599.884316319447</v>
      </c>
      <c r="L2" s="122"/>
      <c r="M2" s="3"/>
      <c r="N2" s="123"/>
      <c r="O2" s="123"/>
      <c r="P2" s="123"/>
      <c r="Q2" s="123"/>
      <c r="R2" s="124"/>
      <c r="T2" s="122"/>
      <c r="U2" s="3"/>
      <c r="V2" s="123"/>
      <c r="W2" s="123"/>
      <c r="X2" s="123"/>
      <c r="Y2" s="123"/>
      <c r="Z2" s="124"/>
      <c r="AB2" s="122"/>
      <c r="AC2" s="3"/>
      <c r="AD2" s="123"/>
      <c r="AE2" s="123"/>
      <c r="AF2" s="123"/>
      <c r="AG2" s="123"/>
      <c r="AH2" s="124"/>
      <c r="AJ2" s="122"/>
      <c r="AK2" s="3"/>
      <c r="AL2" s="123"/>
      <c r="AM2" s="123"/>
      <c r="AN2" s="123"/>
      <c r="AO2" s="123"/>
      <c r="AP2" s="124"/>
      <c r="AR2" s="122"/>
      <c r="AS2" s="3"/>
      <c r="AT2" s="123"/>
      <c r="AU2" s="123"/>
      <c r="AV2" s="123"/>
      <c r="AW2" s="123"/>
      <c r="AX2" s="124"/>
    </row>
    <row r="3" spans="1:50" ht="15.75" thickBot="1" x14ac:dyDescent="0.3">
      <c r="A3" s="122"/>
      <c r="B3" s="42"/>
      <c r="C3" s="102" t="s">
        <v>15</v>
      </c>
      <c r="D3" s="938" t="s">
        <v>16</v>
      </c>
      <c r="E3" s="939"/>
      <c r="F3" s="102" t="s">
        <v>24</v>
      </c>
      <c r="G3" s="124"/>
      <c r="L3" s="122"/>
      <c r="M3" s="42"/>
      <c r="N3" s="102" t="s">
        <v>15</v>
      </c>
      <c r="O3" s="938" t="s">
        <v>16</v>
      </c>
      <c r="P3" s="939"/>
      <c r="Q3" s="102" t="s">
        <v>24</v>
      </c>
      <c r="R3" s="124"/>
      <c r="T3" s="122"/>
      <c r="U3" s="42"/>
      <c r="V3" s="102" t="s">
        <v>15</v>
      </c>
      <c r="W3" s="938" t="s">
        <v>16</v>
      </c>
      <c r="X3" s="939"/>
      <c r="Y3" s="102" t="s">
        <v>24</v>
      </c>
      <c r="Z3" s="124"/>
      <c r="AB3" s="122"/>
      <c r="AC3" s="42"/>
      <c r="AD3" s="102" t="s">
        <v>15</v>
      </c>
      <c r="AE3" s="938" t="s">
        <v>16</v>
      </c>
      <c r="AF3" s="939"/>
      <c r="AG3" s="102" t="s">
        <v>24</v>
      </c>
      <c r="AH3" s="124"/>
      <c r="AJ3" s="122"/>
      <c r="AK3" s="42"/>
      <c r="AL3" s="102" t="s">
        <v>15</v>
      </c>
      <c r="AM3" s="938" t="s">
        <v>16</v>
      </c>
      <c r="AN3" s="939"/>
      <c r="AO3" s="102" t="s">
        <v>24</v>
      </c>
      <c r="AP3" s="124"/>
      <c r="AR3" s="122"/>
      <c r="AS3" s="42"/>
      <c r="AT3" s="102" t="s">
        <v>15</v>
      </c>
      <c r="AU3" s="938" t="s">
        <v>16</v>
      </c>
      <c r="AV3" s="939"/>
      <c r="AW3" s="102" t="s">
        <v>24</v>
      </c>
      <c r="AX3" s="124"/>
    </row>
    <row r="4" spans="1:50" ht="15.75" thickBot="1" x14ac:dyDescent="0.3">
      <c r="A4" s="122"/>
      <c r="B4" s="42"/>
      <c r="C4" s="103">
        <f>IFERROR(VLOOKUP('TABLEAU DE BORD ATELIER'!$C$10,NEGOCE!B17:I31,3,FALSE),"")</f>
        <v>0</v>
      </c>
      <c r="D4" s="103">
        <f>IFERROR(VLOOKUP('TABLEAU DE BORD ATELIER'!$C$10,NEGOCE!B17:I31,4,FALSE),"")</f>
        <v>0</v>
      </c>
      <c r="E4" s="103">
        <f>D4</f>
        <v>0</v>
      </c>
      <c r="F4" s="104" t="e">
        <f>SUM(D4-C4)/C4</f>
        <v>#DIV/0!</v>
      </c>
      <c r="G4" s="124" t="e">
        <f>IF(F4&lt;=0%,3,IF(F4&lt;=5%,2,1))</f>
        <v>#DIV/0!</v>
      </c>
      <c r="L4" s="122"/>
      <c r="M4" s="42"/>
      <c r="N4" s="103">
        <f>IFERROR(VLOOKUP('TABLEAU DE BORD MAGASINS'!$C$10,'Boutique 1'!B17:I31,3,FALSE),"")</f>
        <v>0</v>
      </c>
      <c r="O4" s="103">
        <f>IFERROR(VLOOKUP('TABLEAU DE BORD MAGASINS'!$C$10,'Boutique 1'!B17:I31,4,FALSE),"")</f>
        <v>0</v>
      </c>
      <c r="P4" s="103">
        <f>O4</f>
        <v>0</v>
      </c>
      <c r="Q4" s="104" t="e">
        <f>SUM(O4-N4)/N4</f>
        <v>#DIV/0!</v>
      </c>
      <c r="R4" s="633" t="e">
        <f>IF(Q4&lt;=0%,3,IF(Q4&lt;=5%,2,1))</f>
        <v>#DIV/0!</v>
      </c>
      <c r="T4" s="122"/>
      <c r="U4" s="42"/>
      <c r="V4" s="103">
        <f>IFERROR(VLOOKUP('TDB entreprise'!C10,'Saisie CA'!$A$28:$Z$44,23,FALSE),"")</f>
        <v>0</v>
      </c>
      <c r="W4" s="103">
        <f>IFERROR(VLOOKUP('TDB entreprise'!C10,'Saisie CA'!A28:Z44,24,FALSE),"")</f>
        <v>0</v>
      </c>
      <c r="X4" s="103">
        <f>W4</f>
        <v>0</v>
      </c>
      <c r="Y4" s="104" t="e">
        <f>SUM(W4-V4)/V4</f>
        <v>#DIV/0!</v>
      </c>
      <c r="Z4" s="124" t="e">
        <f>IF(Y4&lt;=0%,3,IF(Y4&lt;=5%,2,1))</f>
        <v>#DIV/0!</v>
      </c>
      <c r="AB4" s="122"/>
      <c r="AC4" s="42"/>
      <c r="AD4" s="103">
        <f>IFERROR(VLOOKUP('Tableau de Bord commerciaux'!C10,'Saisie Commerciaux'!A9:AB24,21,FALSE),"")</f>
        <v>0</v>
      </c>
      <c r="AE4" s="103">
        <f>IFERROR(VLOOKUP('Tableau de Bord commerciaux'!C10,'Saisie Commerciaux'!A9:AB24,22,FALSE),"")</f>
        <v>0</v>
      </c>
      <c r="AF4" s="103">
        <f>AE4</f>
        <v>0</v>
      </c>
      <c r="AG4" s="104" t="e">
        <f>SUM(AE4-AD4)/AD4</f>
        <v>#DIV/0!</v>
      </c>
      <c r="AH4" s="124" t="e">
        <f>IF(AG4&lt;=0%,3,IF(AG4&lt;=5%,2,1))</f>
        <v>#DIV/0!</v>
      </c>
      <c r="AJ4" s="122"/>
      <c r="AK4" s="42"/>
      <c r="AL4" s="103">
        <f>IFERROR(VLOOKUP('Tableau de Bord commerciaux'!C10,'Saisie Commerciaux'!A26:AB41,21,FALSE),"")</f>
        <v>0</v>
      </c>
      <c r="AM4" s="103">
        <f>IFERROR(VLOOKUP('Tableau de Bord commerciaux'!C10,'Saisie Commerciaux'!A26:AB41,22,FALSE),"")</f>
        <v>0</v>
      </c>
      <c r="AN4" s="103">
        <f>AM4</f>
        <v>0</v>
      </c>
      <c r="AO4" s="104" t="e">
        <f>SUM(AM4-AL4)/AL4</f>
        <v>#DIV/0!</v>
      </c>
      <c r="AP4" s="124" t="e">
        <f>IF(AO4&lt;=0%,3,IF(AO4&lt;=5%,2,1))</f>
        <v>#DIV/0!</v>
      </c>
      <c r="AR4" s="122"/>
      <c r="AS4" s="42"/>
      <c r="AT4" s="103">
        <f>IFERROR(VLOOKUP('Tableau de Bord commerciaux'!C10,'Saisie Commerciaux'!A43:AB58,21,FALSE),"")</f>
        <v>0</v>
      </c>
      <c r="AU4" s="103">
        <f>IFERROR(VLOOKUP('Tableau de Bord commerciaux'!C10,'Saisie Commerciaux'!A43:AB58,22,FALSE),"")</f>
        <v>0</v>
      </c>
      <c r="AV4" s="103">
        <f>AU4</f>
        <v>0</v>
      </c>
      <c r="AW4" s="104" t="e">
        <f>SUM(AU4-AT4)/AT4</f>
        <v>#DIV/0!</v>
      </c>
      <c r="AX4" s="124" t="e">
        <f>IF(AW4&lt;=0%,3,IF(AW4&lt;=5%,2,1))</f>
        <v>#DIV/0!</v>
      </c>
    </row>
    <row r="5" spans="1:50" ht="18.75" thickBot="1" x14ac:dyDescent="0.3">
      <c r="A5" s="122"/>
      <c r="B5" s="88" t="s">
        <v>22</v>
      </c>
      <c r="C5" s="105" t="str">
        <f>IF(D4&gt;C4,"p","q")</f>
        <v>q</v>
      </c>
      <c r="D5" s="106" t="s">
        <v>23</v>
      </c>
      <c r="E5" s="98"/>
      <c r="F5" s="91"/>
      <c r="G5" s="630" t="e">
        <f>CHOOSE(G4,$I$69,$I$70,$I$71)</f>
        <v>#DIV/0!</v>
      </c>
      <c r="L5" s="122"/>
      <c r="M5" s="88" t="s">
        <v>22</v>
      </c>
      <c r="N5" s="105" t="str">
        <f>IF(O4&gt;N4,"p","q")</f>
        <v>q</v>
      </c>
      <c r="O5" s="106" t="s">
        <v>23</v>
      </c>
      <c r="P5" s="98"/>
      <c r="Q5" s="91"/>
      <c r="R5" s="630" t="e">
        <f>CHOOSE(R4,$I$69,$I$70,$I$71)</f>
        <v>#DIV/0!</v>
      </c>
      <c r="T5" s="122"/>
      <c r="U5" s="88" t="s">
        <v>22</v>
      </c>
      <c r="V5" s="105" t="str">
        <f>IF(W4&gt;V4,"p","q")</f>
        <v>q</v>
      </c>
      <c r="W5" s="106" t="s">
        <v>23</v>
      </c>
      <c r="X5" s="98"/>
      <c r="Y5" s="91"/>
      <c r="Z5" s="630" t="e">
        <f>CHOOSE(Z4,$I$69,$I$70,$I$71)</f>
        <v>#DIV/0!</v>
      </c>
      <c r="AB5" s="122"/>
      <c r="AC5" s="143" t="s">
        <v>22</v>
      </c>
      <c r="AD5" s="105" t="str">
        <f>IF(AE4&gt;AD4,"p","q")</f>
        <v>q</v>
      </c>
      <c r="AE5" s="106" t="s">
        <v>23</v>
      </c>
      <c r="AF5" s="98"/>
      <c r="AG5" s="91"/>
      <c r="AH5" s="639" t="e">
        <f>CHOOSE(AH4,$I$69,$I$70,$I$71)</f>
        <v>#DIV/0!</v>
      </c>
      <c r="AJ5" s="122"/>
      <c r="AK5" s="468" t="s">
        <v>22</v>
      </c>
      <c r="AL5" s="105" t="str">
        <f>IF(AM4&gt;AL4,"p","q")</f>
        <v>q</v>
      </c>
      <c r="AM5" s="106" t="s">
        <v>23</v>
      </c>
      <c r="AN5" s="98"/>
      <c r="AO5" s="91"/>
      <c r="AP5" s="632" t="e">
        <f>CHOOSE(AP4,$I$69,$I$70,$I$71)</f>
        <v>#DIV/0!</v>
      </c>
      <c r="AR5" s="122"/>
      <c r="AS5" s="468" t="s">
        <v>22</v>
      </c>
      <c r="AT5" s="105" t="str">
        <f>IF(AU4&gt;AT4,"p","q")</f>
        <v>q</v>
      </c>
      <c r="AU5" s="106" t="s">
        <v>23</v>
      </c>
      <c r="AV5" s="98"/>
      <c r="AW5" s="91"/>
      <c r="AX5" s="632" t="e">
        <f>CHOOSE(AX4,$I$69,$I$70,$I$71)</f>
        <v>#DIV/0!</v>
      </c>
    </row>
    <row r="6" spans="1:50" ht="15.75" thickBot="1" x14ac:dyDescent="0.3">
      <c r="A6" s="122"/>
      <c r="B6" s="42"/>
      <c r="C6" s="123"/>
      <c r="D6" s="123"/>
      <c r="E6" s="123"/>
      <c r="F6" s="123"/>
      <c r="G6" s="124"/>
      <c r="I6" s="149"/>
      <c r="L6" s="122"/>
      <c r="M6" s="42"/>
      <c r="N6" s="123"/>
      <c r="O6" s="123"/>
      <c r="P6" s="123"/>
      <c r="Q6" s="123"/>
      <c r="R6" s="124"/>
      <c r="T6" s="122"/>
      <c r="U6" s="42"/>
      <c r="V6" s="123"/>
      <c r="W6" s="123"/>
      <c r="X6" s="123"/>
      <c r="Y6" s="123"/>
      <c r="Z6" s="124"/>
      <c r="AB6" s="122"/>
      <c r="AC6" s="42"/>
      <c r="AD6" s="123"/>
      <c r="AE6" s="123"/>
      <c r="AF6" s="123"/>
      <c r="AG6" s="123"/>
      <c r="AH6" s="124"/>
      <c r="AJ6" s="122"/>
      <c r="AK6" s="42"/>
      <c r="AL6" s="123"/>
      <c r="AM6" s="123"/>
      <c r="AN6" s="123"/>
      <c r="AO6" s="123"/>
      <c r="AP6" s="124"/>
      <c r="AR6" s="122"/>
      <c r="AS6" s="42"/>
      <c r="AT6" s="123"/>
      <c r="AU6" s="123"/>
      <c r="AV6" s="123"/>
      <c r="AW6" s="123"/>
      <c r="AX6" s="124"/>
    </row>
    <row r="7" spans="1:50" ht="15.75" thickBot="1" x14ac:dyDescent="0.3">
      <c r="A7" s="122"/>
      <c r="B7" s="42"/>
      <c r="C7" s="102" t="s">
        <v>34</v>
      </c>
      <c r="D7" s="940" t="s">
        <v>66</v>
      </c>
      <c r="E7" s="941"/>
      <c r="F7" s="91"/>
      <c r="G7" s="124"/>
      <c r="I7" s="149"/>
      <c r="L7" s="122"/>
      <c r="M7" s="42"/>
      <c r="N7" s="102" t="s">
        <v>34</v>
      </c>
      <c r="O7" s="940" t="s">
        <v>66</v>
      </c>
      <c r="P7" s="941"/>
      <c r="Q7" s="91"/>
      <c r="R7" s="124"/>
      <c r="T7" s="122"/>
      <c r="U7" s="42"/>
      <c r="V7" s="102" t="s">
        <v>34</v>
      </c>
      <c r="W7" s="940" t="s">
        <v>66</v>
      </c>
      <c r="X7" s="941"/>
      <c r="Y7" s="91"/>
      <c r="Z7" s="124"/>
      <c r="AB7" s="122"/>
      <c r="AC7" s="42"/>
      <c r="AD7" s="102" t="s">
        <v>34</v>
      </c>
      <c r="AE7" s="940" t="s">
        <v>66</v>
      </c>
      <c r="AF7" s="941"/>
      <c r="AG7" s="91"/>
      <c r="AH7" s="124"/>
      <c r="AJ7" s="122"/>
      <c r="AK7" s="42"/>
      <c r="AL7" s="102" t="s">
        <v>34</v>
      </c>
      <c r="AM7" s="940" t="s">
        <v>66</v>
      </c>
      <c r="AN7" s="941"/>
      <c r="AO7" s="91"/>
      <c r="AP7" s="124"/>
      <c r="AR7" s="122"/>
      <c r="AS7" s="42"/>
      <c r="AT7" s="102" t="s">
        <v>34</v>
      </c>
      <c r="AU7" s="940" t="s">
        <v>66</v>
      </c>
      <c r="AV7" s="941"/>
      <c r="AW7" s="91"/>
      <c r="AX7" s="124"/>
    </row>
    <row r="8" spans="1:50" ht="15.75" thickBot="1" x14ac:dyDescent="0.3">
      <c r="A8" s="122"/>
      <c r="B8" s="42"/>
      <c r="C8" s="92">
        <f>IFERROR(VLOOKUP('TABLEAU DE BORD ATELIER'!$C$10,NEGOCE!B17:I31,4,FALSE),"")</f>
        <v>0</v>
      </c>
      <c r="D8" s="92">
        <f>IFERROR(VLOOKUP('TABLEAU DE BORD ATELIER'!$C$10,NEGOCE!B17:I31,7,FALSE),"")</f>
        <v>0</v>
      </c>
      <c r="E8" s="92">
        <f>D8</f>
        <v>0</v>
      </c>
      <c r="F8" s="93" t="e">
        <f>SUM(C8/D8)</f>
        <v>#DIV/0!</v>
      </c>
      <c r="G8" s="124"/>
      <c r="I8" s="149"/>
      <c r="L8" s="122"/>
      <c r="M8" s="42"/>
      <c r="N8" s="92">
        <f>IFERROR(VLOOKUP('TABLEAU DE BORD MAGASINS'!$C$10,'Boutique 1'!B17:I31,4,FALSE),"")</f>
        <v>0</v>
      </c>
      <c r="O8" s="92">
        <f>IFERROR(VLOOKUP('TABLEAU DE BORD MAGASINS'!$C$10,'Boutique 1'!B17:I31,7,FALSE),"")</f>
        <v>0</v>
      </c>
      <c r="P8" s="92">
        <f>O8</f>
        <v>0</v>
      </c>
      <c r="Q8" s="93" t="e">
        <f>SUM(N8/O8)</f>
        <v>#DIV/0!</v>
      </c>
      <c r="R8" s="124"/>
      <c r="T8" s="122"/>
      <c r="U8" s="42"/>
      <c r="V8" s="92">
        <f>IFERROR(VLOOKUP('TDB entreprise'!C10,'Saisie CA'!A28:Z44,24,FALSE),"")</f>
        <v>0</v>
      </c>
      <c r="W8" s="92">
        <f>IFERROR(VLOOKUP('TDB entreprise'!C10,'Objectifs Entreprise'!A27:Z43,10,FALSE),"")</f>
        <v>0</v>
      </c>
      <c r="X8" s="92">
        <f>W8</f>
        <v>0</v>
      </c>
      <c r="Y8" s="93" t="e">
        <f>SUM(V8/W8)</f>
        <v>#DIV/0!</v>
      </c>
      <c r="Z8" s="124"/>
      <c r="AB8" s="122"/>
      <c r="AC8" s="42"/>
      <c r="AD8" s="92">
        <f>IFERROR(VLOOKUP('Tableau de Bord commerciaux'!C10,'Saisie Commerciaux'!A9:AB24,22,FALSE),"")</f>
        <v>0</v>
      </c>
      <c r="AE8" s="92">
        <f>IFERROR(VLOOKUP('Tableau de Bord commerciaux'!C10,'Saisie Commerciaux'!A9:AB24,25,FALSE),"")</f>
        <v>0</v>
      </c>
      <c r="AF8" s="92">
        <f>AE8</f>
        <v>0</v>
      </c>
      <c r="AG8" s="93" t="e">
        <f>SUM(AD8/AE8)</f>
        <v>#DIV/0!</v>
      </c>
      <c r="AH8" s="124"/>
      <c r="AJ8" s="122"/>
      <c r="AK8" s="42"/>
      <c r="AL8" s="92">
        <f>IFERROR(VLOOKUP('Tableau de Bord commerciaux'!C10,'Saisie Commerciaux'!A26:AB41,22,FALSE),"")</f>
        <v>0</v>
      </c>
      <c r="AM8" s="92">
        <f>IFERROR(VLOOKUP('Tableau de Bord commerciaux'!C10,'Saisie Commerciaux'!A26:AB41,25,FALSE),"")</f>
        <v>0</v>
      </c>
      <c r="AN8" s="92">
        <f>AM8</f>
        <v>0</v>
      </c>
      <c r="AO8" s="93" t="e">
        <f>SUM(AL8/AM8)</f>
        <v>#DIV/0!</v>
      </c>
      <c r="AP8" s="124"/>
      <c r="AR8" s="122"/>
      <c r="AS8" s="42"/>
      <c r="AT8" s="92">
        <f>IFERROR(VLOOKUP('Tableau de Bord commerciaux'!C10,'Saisie Commerciaux'!A43:AB58,22,FALSE),"")</f>
        <v>0</v>
      </c>
      <c r="AU8" s="92">
        <f>IFERROR(VLOOKUP('Tableau de Bord commerciaux'!C10,'Saisie Commerciaux'!A43:AB58,25,FALSE),"")</f>
        <v>0</v>
      </c>
      <c r="AV8" s="92">
        <f>AU8</f>
        <v>0</v>
      </c>
      <c r="AW8" s="93" t="e">
        <f>SUM(AT8/AU8)</f>
        <v>#DIV/0!</v>
      </c>
      <c r="AX8" s="124"/>
    </row>
    <row r="9" spans="1:50" ht="15.75" thickBot="1" x14ac:dyDescent="0.3">
      <c r="A9" s="122"/>
      <c r="B9" s="42"/>
      <c r="C9" s="123"/>
      <c r="D9" s="123"/>
      <c r="E9" s="123"/>
      <c r="F9" s="123"/>
      <c r="G9" s="124"/>
      <c r="I9" s="149"/>
      <c r="L9" s="122"/>
      <c r="M9" s="42"/>
      <c r="N9" s="123"/>
      <c r="O9" s="123"/>
      <c r="P9" s="123"/>
      <c r="Q9" s="123"/>
      <c r="R9" s="124"/>
      <c r="T9" s="122"/>
      <c r="U9" s="42"/>
      <c r="V9" s="123"/>
      <c r="W9" s="123"/>
      <c r="X9" s="123"/>
      <c r="Y9" s="123"/>
      <c r="Z9" s="124"/>
      <c r="AB9" s="122"/>
      <c r="AC9" s="42"/>
      <c r="AD9" s="123"/>
      <c r="AE9" s="123"/>
      <c r="AF9" s="123"/>
      <c r="AG9" s="123"/>
      <c r="AH9" s="124"/>
      <c r="AJ9" s="122"/>
      <c r="AK9" s="42"/>
      <c r="AL9" s="123"/>
      <c r="AM9" s="123"/>
      <c r="AN9" s="123"/>
      <c r="AO9" s="123"/>
      <c r="AP9" s="124"/>
      <c r="AR9" s="122"/>
      <c r="AS9" s="42"/>
      <c r="AT9" s="123"/>
      <c r="AU9" s="123"/>
      <c r="AV9" s="123"/>
      <c r="AW9" s="123"/>
      <c r="AX9" s="124"/>
    </row>
    <row r="10" spans="1:50" ht="15.75" thickBot="1" x14ac:dyDescent="0.3">
      <c r="A10" s="122"/>
      <c r="B10" s="42"/>
      <c r="C10" s="123"/>
      <c r="D10" s="107" t="s">
        <v>32</v>
      </c>
      <c r="E10" s="102" t="s">
        <v>96</v>
      </c>
      <c r="F10" s="117" t="s">
        <v>97</v>
      </c>
      <c r="G10" s="124"/>
      <c r="L10" s="122"/>
      <c r="M10" s="42"/>
      <c r="N10" s="123"/>
      <c r="O10" s="107" t="s">
        <v>32</v>
      </c>
      <c r="P10" s="102" t="s">
        <v>33</v>
      </c>
      <c r="Q10" s="123"/>
      <c r="R10" s="124"/>
      <c r="T10" s="122"/>
      <c r="U10" s="42"/>
      <c r="V10" s="123"/>
      <c r="W10" s="107" t="s">
        <v>32</v>
      </c>
      <c r="X10" s="102" t="s">
        <v>33</v>
      </c>
      <c r="Y10" s="123"/>
      <c r="Z10" s="124"/>
      <c r="AB10" s="122"/>
      <c r="AC10" s="42"/>
      <c r="AD10" s="123"/>
      <c r="AE10" s="142" t="s">
        <v>32</v>
      </c>
      <c r="AF10" s="102" t="s">
        <v>33</v>
      </c>
      <c r="AG10" s="123"/>
      <c r="AH10" s="124"/>
      <c r="AJ10" s="122"/>
      <c r="AK10" s="42"/>
      <c r="AL10" s="123"/>
      <c r="AM10" s="467" t="s">
        <v>32</v>
      </c>
      <c r="AN10" s="102" t="s">
        <v>33</v>
      </c>
      <c r="AO10" s="123"/>
      <c r="AP10" s="124"/>
      <c r="AR10" s="122"/>
      <c r="AS10" s="42"/>
      <c r="AT10" s="123"/>
      <c r="AU10" s="467" t="s">
        <v>32</v>
      </c>
      <c r="AV10" s="102" t="s">
        <v>33</v>
      </c>
      <c r="AW10" s="123"/>
      <c r="AX10" s="124"/>
    </row>
    <row r="11" spans="1:50" ht="15.75" thickBot="1" x14ac:dyDescent="0.3">
      <c r="A11" s="122"/>
      <c r="B11" s="42"/>
      <c r="C11" s="117" t="s">
        <v>28</v>
      </c>
      <c r="D11" s="94">
        <f>IFERROR(VLOOKUP('TABLEAU DE BORD ATELIER'!$C$10,NEGOCE!B17:I31,4,FALSE),"")</f>
        <v>0</v>
      </c>
      <c r="E11" s="410">
        <f ca="1">SUM(OFFSET(NEGOCE!E20,0,0,MATCH('TABLEAU DE BORD ATELIER'!C10,NEGOCE!B20:B31,0)))</f>
        <v>0</v>
      </c>
      <c r="F11" s="95">
        <f ca="1">SUM(OFFSET(NEGOCE!D20,0,0,MATCH('TABLEAU DE BORD ATELIER'!C10,NEGOCE!B20:B31,0)))</f>
        <v>0</v>
      </c>
      <c r="G11" s="124"/>
      <c r="I11" s="149"/>
      <c r="L11" s="122"/>
      <c r="M11" s="42"/>
      <c r="N11" s="117" t="s">
        <v>28</v>
      </c>
      <c r="O11" s="94">
        <f>IFERROR(VLOOKUP('TABLEAU DE BORD MAGASINS'!$C$10,'Boutique 1'!B17:I31,4,FALSE),"")</f>
        <v>0</v>
      </c>
      <c r="P11" s="95">
        <f ca="1">SUM(OFFSET('Boutique 1'!E20,0,0,MATCH('TABLEAU DE BORD MAGASINS'!C10,'Boutique 1'!B20:B31,0)))</f>
        <v>0</v>
      </c>
      <c r="Q11" s="123"/>
      <c r="R11" s="124"/>
      <c r="T11" s="122"/>
      <c r="U11" s="42"/>
      <c r="V11" s="117" t="s">
        <v>28</v>
      </c>
      <c r="W11" s="94">
        <f>IFERROR(VLOOKUP('TDB entreprise'!C10,'Saisie CA'!A28:Z44,24,FALSE),"")</f>
        <v>0</v>
      </c>
      <c r="X11" s="95">
        <f ca="1">SUM(OFFSET('Saisie CA'!X33,0,0,MATCH('TDB entreprise'!C10,'Saisie CA'!A33:A44,0)))</f>
        <v>0</v>
      </c>
      <c r="Y11" s="123"/>
      <c r="Z11" s="124"/>
      <c r="AB11" s="122"/>
      <c r="AC11" s="42"/>
      <c r="AD11" s="117" t="s">
        <v>28</v>
      </c>
      <c r="AE11" s="94">
        <f>IFERROR(VLOOKUP('Tableau de Bord commerciaux'!C10,'Saisie Commerciaux'!A9:AB24,22,FALSE),"")</f>
        <v>0</v>
      </c>
      <c r="AF11" s="95">
        <f ca="1">SUM(OFFSET('Saisie Commerciaux'!V13,0,0,MATCH('Tableau de Bord commerciaux'!C10,'Saisie Commerciaux'!A13:A24,0)))</f>
        <v>0</v>
      </c>
      <c r="AG11" s="123"/>
      <c r="AH11" s="124"/>
      <c r="AJ11" s="122"/>
      <c r="AK11" s="42"/>
      <c r="AL11" s="117" t="s">
        <v>28</v>
      </c>
      <c r="AM11" s="94">
        <f>IFERROR(VLOOKUP('Tableau de Bord commerciaux'!C10,'Saisie Commerciaux'!A26:AB41,22,FALSE),"")</f>
        <v>0</v>
      </c>
      <c r="AN11" s="95">
        <f ca="1">SUM(OFFSET('Saisie Commerciaux'!V30,0,0,MATCH('Tableau de Bord commerciaux'!C10,'Saisie Commerciaux'!A30:A41,0)))</f>
        <v>0</v>
      </c>
      <c r="AO11" s="123"/>
      <c r="AP11" s="124"/>
      <c r="AR11" s="122"/>
      <c r="AS11" s="42"/>
      <c r="AT11" s="117" t="s">
        <v>28</v>
      </c>
      <c r="AU11" s="94">
        <f>IFERROR(VLOOKUP('Tableau de Bord commerciaux'!C10,'Saisie Commerciaux'!A43:AB58,22,FALSE),"")</f>
        <v>0</v>
      </c>
      <c r="AV11" s="95">
        <f ca="1">SUM(OFFSET('Saisie Commerciaux'!V47,0,0,MATCH('Tableau de Bord commerciaux'!C10,'Saisie Commerciaux'!A47:A58,0)))</f>
        <v>0</v>
      </c>
      <c r="AW11" s="123"/>
      <c r="AX11" s="124"/>
    </row>
    <row r="12" spans="1:50" ht="15.75" thickBot="1" x14ac:dyDescent="0.3">
      <c r="A12" s="122"/>
      <c r="B12" s="42"/>
      <c r="C12" s="102" t="s">
        <v>27</v>
      </c>
      <c r="D12" s="96">
        <f>D8</f>
        <v>0</v>
      </c>
      <c r="E12" s="411">
        <f>SUM(NEGOCE!H20:H31)</f>
        <v>0</v>
      </c>
      <c r="F12" s="412"/>
      <c r="G12" s="124"/>
      <c r="I12" s="149"/>
      <c r="L12" s="122"/>
      <c r="M12" s="42"/>
      <c r="N12" s="102" t="s">
        <v>27</v>
      </c>
      <c r="O12" s="96">
        <f>O8</f>
        <v>0</v>
      </c>
      <c r="P12" s="97">
        <f>SUM('Boutique 1'!H20:H31)</f>
        <v>0</v>
      </c>
      <c r="Q12" s="123"/>
      <c r="R12" s="124"/>
      <c r="T12" s="122"/>
      <c r="U12" s="42"/>
      <c r="V12" s="102" t="s">
        <v>27</v>
      </c>
      <c r="W12" s="96">
        <f>W8</f>
        <v>0</v>
      </c>
      <c r="X12" s="97">
        <f>SUM('Objectifs Entreprise'!J32:J43)</f>
        <v>0</v>
      </c>
      <c r="Y12" s="123"/>
      <c r="Z12" s="124"/>
      <c r="AB12" s="122"/>
      <c r="AC12" s="42"/>
      <c r="AD12" s="102" t="s">
        <v>27</v>
      </c>
      <c r="AE12" s="96">
        <f>AE8</f>
        <v>0</v>
      </c>
      <c r="AF12" s="97">
        <f>SUM('Saisie Commerciaux'!Y11)</f>
        <v>0</v>
      </c>
      <c r="AG12" s="123"/>
      <c r="AH12" s="124"/>
      <c r="AJ12" s="122"/>
      <c r="AK12" s="42"/>
      <c r="AL12" s="102" t="s">
        <v>27</v>
      </c>
      <c r="AM12" s="96">
        <f>AM8</f>
        <v>0</v>
      </c>
      <c r="AN12" s="97">
        <f>'Saisie Commerciaux'!Y28</f>
        <v>0</v>
      </c>
      <c r="AO12" s="123"/>
      <c r="AP12" s="124"/>
      <c r="AR12" s="122"/>
      <c r="AS12" s="42"/>
      <c r="AT12" s="102" t="s">
        <v>27</v>
      </c>
      <c r="AU12" s="96">
        <f>AU8</f>
        <v>0</v>
      </c>
      <c r="AV12" s="97">
        <f>'Saisie Commerciaux'!Y45</f>
        <v>0</v>
      </c>
      <c r="AW12" s="123"/>
      <c r="AX12" s="124"/>
    </row>
    <row r="13" spans="1:50" s="72" customFormat="1" ht="15.75" thickBot="1" x14ac:dyDescent="0.3">
      <c r="A13" s="122"/>
      <c r="B13" s="42"/>
      <c r="C13" s="32"/>
      <c r="D13" s="116"/>
      <c r="E13" s="116"/>
      <c r="F13" s="123"/>
      <c r="G13" s="124"/>
      <c r="I13" s="149"/>
      <c r="L13" s="122"/>
      <c r="M13" s="42"/>
      <c r="N13" s="32"/>
      <c r="O13" s="116"/>
      <c r="P13" s="116"/>
      <c r="Q13" s="123"/>
      <c r="R13" s="124"/>
      <c r="T13" s="122"/>
      <c r="U13" s="42"/>
      <c r="V13" s="32"/>
      <c r="W13" s="116"/>
      <c r="X13" s="116"/>
      <c r="Y13" s="123"/>
      <c r="Z13" s="124"/>
      <c r="AB13" s="122"/>
      <c r="AC13" s="42"/>
      <c r="AD13" s="32"/>
      <c r="AE13" s="116"/>
      <c r="AF13" s="116"/>
      <c r="AG13" s="123"/>
      <c r="AH13" s="124"/>
      <c r="AJ13" s="122"/>
      <c r="AK13" s="42"/>
      <c r="AL13" s="464"/>
      <c r="AM13" s="116"/>
      <c r="AN13" s="116"/>
      <c r="AO13" s="123"/>
      <c r="AP13" s="124"/>
      <c r="AR13" s="122"/>
      <c r="AS13" s="42"/>
      <c r="AT13" s="464"/>
      <c r="AU13" s="116"/>
      <c r="AV13" s="116"/>
      <c r="AW13" s="123"/>
      <c r="AX13" s="124"/>
    </row>
    <row r="14" spans="1:50" ht="15.75" thickBot="1" x14ac:dyDescent="0.3">
      <c r="A14" s="122"/>
      <c r="B14" s="42"/>
      <c r="C14" s="938" t="s">
        <v>67</v>
      </c>
      <c r="D14" s="942"/>
      <c r="E14" s="939"/>
      <c r="F14" s="123"/>
      <c r="G14" s="124"/>
      <c r="I14" s="149"/>
      <c r="J14" s="461"/>
      <c r="L14" s="122"/>
      <c r="M14" s="42"/>
      <c r="N14" s="938" t="s">
        <v>67</v>
      </c>
      <c r="O14" s="942"/>
      <c r="P14" s="939"/>
      <c r="Q14" s="123"/>
      <c r="R14" s="124"/>
      <c r="T14" s="122"/>
      <c r="U14" s="42"/>
      <c r="V14" s="938" t="s">
        <v>67</v>
      </c>
      <c r="W14" s="942"/>
      <c r="X14" s="939"/>
      <c r="Y14" s="123"/>
      <c r="Z14" s="124"/>
      <c r="AB14" s="122"/>
      <c r="AC14" s="42"/>
      <c r="AD14" s="938" t="s">
        <v>67</v>
      </c>
      <c r="AE14" s="942"/>
      <c r="AF14" s="939"/>
      <c r="AG14" s="123"/>
      <c r="AH14" s="124"/>
      <c r="AJ14" s="122"/>
      <c r="AK14" s="42"/>
      <c r="AL14" s="938" t="s">
        <v>67</v>
      </c>
      <c r="AM14" s="942"/>
      <c r="AN14" s="939"/>
      <c r="AO14" s="123"/>
      <c r="AP14" s="124"/>
      <c r="AR14" s="122"/>
      <c r="AS14" s="42"/>
      <c r="AT14" s="938" t="s">
        <v>67</v>
      </c>
      <c r="AU14" s="942"/>
      <c r="AV14" s="939"/>
      <c r="AW14" s="123"/>
      <c r="AX14" s="124"/>
    </row>
    <row r="15" spans="1:50" ht="15.75" thickBot="1" x14ac:dyDescent="0.3">
      <c r="A15" s="122"/>
      <c r="B15" s="42"/>
      <c r="C15" s="120"/>
      <c r="D15" s="118" t="s">
        <v>26</v>
      </c>
      <c r="E15" s="118" t="s">
        <v>38</v>
      </c>
      <c r="F15" s="123"/>
      <c r="G15" s="124"/>
      <c r="L15" s="122"/>
      <c r="M15" s="42"/>
      <c r="N15" s="120"/>
      <c r="O15" s="118" t="s">
        <v>26</v>
      </c>
      <c r="P15" s="118" t="s">
        <v>38</v>
      </c>
      <c r="Q15" s="123"/>
      <c r="R15" s="124"/>
      <c r="T15" s="122"/>
      <c r="U15" s="42"/>
      <c r="V15" s="120"/>
      <c r="W15" s="118" t="s">
        <v>26</v>
      </c>
      <c r="X15" s="118" t="s">
        <v>38</v>
      </c>
      <c r="Y15" s="123"/>
      <c r="Z15" s="124"/>
      <c r="AB15" s="122"/>
      <c r="AC15" s="42"/>
      <c r="AD15" s="120"/>
      <c r="AE15" s="118" t="s">
        <v>26</v>
      </c>
      <c r="AF15" s="118" t="s">
        <v>38</v>
      </c>
      <c r="AG15" s="123"/>
      <c r="AH15" s="124"/>
      <c r="AJ15" s="122"/>
      <c r="AK15" s="42"/>
      <c r="AL15" s="120"/>
      <c r="AM15" s="118" t="s">
        <v>26</v>
      </c>
      <c r="AN15" s="118" t="s">
        <v>38</v>
      </c>
      <c r="AO15" s="123"/>
      <c r="AP15" s="124"/>
      <c r="AR15" s="122"/>
      <c r="AS15" s="42"/>
      <c r="AT15" s="120"/>
      <c r="AU15" s="118" t="s">
        <v>26</v>
      </c>
      <c r="AV15" s="118" t="s">
        <v>38</v>
      </c>
      <c r="AW15" s="123"/>
      <c r="AX15" s="124"/>
    </row>
    <row r="16" spans="1:50" ht="18" x14ac:dyDescent="0.25">
      <c r="A16" s="122"/>
      <c r="B16" s="42"/>
      <c r="C16" s="108" t="s">
        <v>31</v>
      </c>
      <c r="D16" s="112" t="e">
        <f>SUM(D11/D12)</f>
        <v>#DIV/0!</v>
      </c>
      <c r="E16" s="112">
        <v>0.33329999999999999</v>
      </c>
      <c r="F16" s="123">
        <f>IF(E16&lt;=25%,3,IF(E16&lt;=70%,2,1))</f>
        <v>2</v>
      </c>
      <c r="G16" s="455" t="str">
        <f>CHOOSE(F16,$I$69,$I$70,$I$71)</f>
        <v>K</v>
      </c>
      <c r="I16" s="149"/>
      <c r="L16" s="122"/>
      <c r="M16" s="42"/>
      <c r="N16" s="108" t="s">
        <v>31</v>
      </c>
      <c r="O16" s="112" t="e">
        <f>SUM(O11/O12)</f>
        <v>#DIV/0!</v>
      </c>
      <c r="P16" s="112">
        <v>0.33329999999999999</v>
      </c>
      <c r="Q16" s="123" t="e">
        <f>IF(O16&lt;=25%,3,IF(O16&lt;=70%,2,1))</f>
        <v>#DIV/0!</v>
      </c>
      <c r="R16" s="630" t="e">
        <f>CHOOSE(Q16,$I$69,$I$70,$I$71)</f>
        <v>#DIV/0!</v>
      </c>
      <c r="T16" s="122"/>
      <c r="U16" s="42"/>
      <c r="V16" s="108" t="s">
        <v>31</v>
      </c>
      <c r="W16" s="112" t="e">
        <f>SUM(W11/W12)</f>
        <v>#DIV/0!</v>
      </c>
      <c r="X16" s="112">
        <v>0.33329999999999999</v>
      </c>
      <c r="Y16" s="123" t="e">
        <f>IF(W16&lt;=25%,3,IF(W16&lt;=70%,2,1))</f>
        <v>#DIV/0!</v>
      </c>
      <c r="Z16" s="454" t="e">
        <f>CHOOSE(Y16,$I$69,$I$70,$I$71)</f>
        <v>#DIV/0!</v>
      </c>
      <c r="AB16" s="122"/>
      <c r="AC16" s="42"/>
      <c r="AD16" s="108" t="s">
        <v>31</v>
      </c>
      <c r="AE16" s="112" t="e">
        <f>SUM(AE11/AE12)</f>
        <v>#DIV/0!</v>
      </c>
      <c r="AF16" s="112">
        <v>0.33329999999999999</v>
      </c>
      <c r="AG16" s="123" t="e">
        <f>IF(AE16&lt;=25%,3,IF(AE16&lt;=70%,2,1))</f>
        <v>#DIV/0!</v>
      </c>
      <c r="AH16" s="454" t="e">
        <f>CHOOSE(AG16,$I$69,$I$70,$I$71)</f>
        <v>#DIV/0!</v>
      </c>
      <c r="AJ16" s="122"/>
      <c r="AK16" s="42"/>
      <c r="AL16" s="108" t="s">
        <v>31</v>
      </c>
      <c r="AM16" s="112" t="e">
        <f>SUM(AM11/AM12)</f>
        <v>#DIV/0!</v>
      </c>
      <c r="AN16" s="112">
        <v>0.33329999999999999</v>
      </c>
      <c r="AO16" s="123" t="e">
        <f>IF(AM16&lt;=25%,3,IF(AM16&lt;=70%,2,1))</f>
        <v>#DIV/0!</v>
      </c>
      <c r="AP16" s="454" t="e">
        <f>CHOOSE(AO16,$I$69,$I$70,$I$71)</f>
        <v>#DIV/0!</v>
      </c>
      <c r="AR16" s="122"/>
      <c r="AS16" s="42"/>
      <c r="AT16" s="108" t="s">
        <v>31</v>
      </c>
      <c r="AU16" s="112" t="e">
        <f>SUM(AU11/AU12)</f>
        <v>#DIV/0!</v>
      </c>
      <c r="AV16" s="112">
        <v>0.33329999999999999</v>
      </c>
      <c r="AW16" s="123" t="e">
        <f>IF(AU16&lt;=25%,3,IF(AU16&lt;=70%,2,1))</f>
        <v>#DIV/0!</v>
      </c>
      <c r="AX16" s="454" t="e">
        <f>CHOOSE(AW16,$I$69,$I$70,$I$71)</f>
        <v>#DIV/0!</v>
      </c>
    </row>
    <row r="17" spans="1:50" x14ac:dyDescent="0.25">
      <c r="A17" s="122"/>
      <c r="B17" s="42"/>
      <c r="C17" s="109" t="s">
        <v>30</v>
      </c>
      <c r="D17" s="113" t="e">
        <f>SUM(D18-D16)</f>
        <v>#DIV/0!</v>
      </c>
      <c r="E17" s="113">
        <v>0.33329999999999999</v>
      </c>
      <c r="F17" s="123"/>
      <c r="G17" s="124"/>
      <c r="I17" s="149"/>
      <c r="L17" s="122"/>
      <c r="M17" s="42"/>
      <c r="N17" s="109" t="s">
        <v>30</v>
      </c>
      <c r="O17" s="113" t="e">
        <f>SUM(O18-O16)</f>
        <v>#DIV/0!</v>
      </c>
      <c r="P17" s="113">
        <v>0.33329999999999999</v>
      </c>
      <c r="Q17" s="123"/>
      <c r="R17" s="124"/>
      <c r="T17" s="122"/>
      <c r="U17" s="42"/>
      <c r="V17" s="109" t="s">
        <v>30</v>
      </c>
      <c r="W17" s="113" t="e">
        <f>SUM(W18-W16)</f>
        <v>#DIV/0!</v>
      </c>
      <c r="X17" s="113">
        <v>0.33329999999999999</v>
      </c>
      <c r="Y17" s="123"/>
      <c r="Z17" s="124"/>
      <c r="AB17" s="122"/>
      <c r="AC17" s="42"/>
      <c r="AD17" s="109" t="s">
        <v>30</v>
      </c>
      <c r="AE17" s="113" t="e">
        <f>SUM(AE18-AE16)</f>
        <v>#DIV/0!</v>
      </c>
      <c r="AF17" s="113">
        <v>0.33329999999999999</v>
      </c>
      <c r="AG17" s="123"/>
      <c r="AH17" s="124"/>
      <c r="AJ17" s="122"/>
      <c r="AK17" s="42"/>
      <c r="AL17" s="109" t="s">
        <v>30</v>
      </c>
      <c r="AM17" s="113" t="e">
        <f>SUM(AM18-AM16)</f>
        <v>#DIV/0!</v>
      </c>
      <c r="AN17" s="113">
        <v>0.33329999999999999</v>
      </c>
      <c r="AO17" s="123"/>
      <c r="AP17" s="124"/>
      <c r="AR17" s="122"/>
      <c r="AS17" s="42"/>
      <c r="AT17" s="109" t="s">
        <v>30</v>
      </c>
      <c r="AU17" s="113" t="e">
        <f>SUM(AU18-AU16)</f>
        <v>#DIV/0!</v>
      </c>
      <c r="AV17" s="113">
        <v>0.33329999999999999</v>
      </c>
      <c r="AW17" s="123"/>
      <c r="AX17" s="124"/>
    </row>
    <row r="18" spans="1:50" x14ac:dyDescent="0.25">
      <c r="A18" s="122"/>
      <c r="B18" s="42"/>
      <c r="C18" s="110" t="s">
        <v>29</v>
      </c>
      <c r="D18" s="113">
        <v>1</v>
      </c>
      <c r="E18" s="113">
        <v>0.33329999999999999</v>
      </c>
      <c r="F18" s="123"/>
      <c r="G18" s="124"/>
      <c r="I18" s="149"/>
      <c r="L18" s="122"/>
      <c r="M18" s="42"/>
      <c r="N18" s="110" t="s">
        <v>29</v>
      </c>
      <c r="O18" s="113">
        <v>1</v>
      </c>
      <c r="P18" s="113">
        <v>0.33329999999999999</v>
      </c>
      <c r="Q18" s="123"/>
      <c r="R18" s="124"/>
      <c r="T18" s="122"/>
      <c r="U18" s="42"/>
      <c r="V18" s="110" t="s">
        <v>29</v>
      </c>
      <c r="W18" s="113">
        <v>1</v>
      </c>
      <c r="X18" s="113">
        <v>0.33329999999999999</v>
      </c>
      <c r="Y18" s="123"/>
      <c r="Z18" s="124"/>
      <c r="AB18" s="122"/>
      <c r="AC18" s="42"/>
      <c r="AD18" s="110" t="s">
        <v>29</v>
      </c>
      <c r="AE18" s="113">
        <v>1</v>
      </c>
      <c r="AF18" s="113">
        <v>0.33329999999999999</v>
      </c>
      <c r="AG18" s="123"/>
      <c r="AH18" s="124"/>
      <c r="AJ18" s="122"/>
      <c r="AK18" s="42"/>
      <c r="AL18" s="110" t="s">
        <v>29</v>
      </c>
      <c r="AM18" s="113">
        <v>1</v>
      </c>
      <c r="AN18" s="113">
        <v>0.33329999999999999</v>
      </c>
      <c r="AO18" s="123"/>
      <c r="AP18" s="124"/>
      <c r="AR18" s="122"/>
      <c r="AS18" s="42"/>
      <c r="AT18" s="110" t="s">
        <v>29</v>
      </c>
      <c r="AU18" s="113">
        <v>1</v>
      </c>
      <c r="AV18" s="113">
        <v>0.33329999999999999</v>
      </c>
      <c r="AW18" s="123"/>
      <c r="AX18" s="124"/>
    </row>
    <row r="19" spans="1:50" ht="15.75" thickBot="1" x14ac:dyDescent="0.3">
      <c r="A19" s="122"/>
      <c r="B19" s="42"/>
      <c r="C19" s="111"/>
      <c r="D19" s="115"/>
      <c r="E19" s="115">
        <v>0.99990000000000001</v>
      </c>
      <c r="F19" s="123"/>
      <c r="G19" s="124"/>
      <c r="L19" s="122"/>
      <c r="M19" s="42"/>
      <c r="N19" s="111"/>
      <c r="O19" s="115"/>
      <c r="P19" s="115">
        <v>0.99990000000000001</v>
      </c>
      <c r="Q19" s="123"/>
      <c r="R19" s="124"/>
      <c r="T19" s="122"/>
      <c r="U19" s="42"/>
      <c r="V19" s="111"/>
      <c r="W19" s="115"/>
      <c r="X19" s="115">
        <v>0.99990000000000001</v>
      </c>
      <c r="Y19" s="123"/>
      <c r="Z19" s="124"/>
      <c r="AB19" s="122"/>
      <c r="AC19" s="42"/>
      <c r="AD19" s="111"/>
      <c r="AE19" s="115"/>
      <c r="AF19" s="115">
        <v>0.99990000000000001</v>
      </c>
      <c r="AG19" s="123"/>
      <c r="AH19" s="124"/>
      <c r="AJ19" s="122"/>
      <c r="AK19" s="42"/>
      <c r="AL19" s="111"/>
      <c r="AM19" s="115"/>
      <c r="AN19" s="115">
        <v>0.99990000000000001</v>
      </c>
      <c r="AO19" s="123"/>
      <c r="AP19" s="124"/>
      <c r="AR19" s="122"/>
      <c r="AS19" s="42"/>
      <c r="AT19" s="111"/>
      <c r="AU19" s="115"/>
      <c r="AV19" s="115">
        <v>0.99990000000000001</v>
      </c>
      <c r="AW19" s="123"/>
      <c r="AX19" s="124"/>
    </row>
    <row r="20" spans="1:50" s="72" customFormat="1" ht="15.75" thickBot="1" x14ac:dyDescent="0.3">
      <c r="A20" s="122"/>
      <c r="B20" s="42"/>
      <c r="C20" s="73"/>
      <c r="D20" s="119"/>
      <c r="E20" s="119"/>
      <c r="F20" s="123"/>
      <c r="G20" s="124"/>
      <c r="I20" s="149"/>
      <c r="L20" s="122"/>
      <c r="M20" s="42"/>
      <c r="N20" s="73"/>
      <c r="O20" s="119"/>
      <c r="P20" s="119"/>
      <c r="Q20" s="123"/>
      <c r="R20" s="124"/>
      <c r="T20" s="122"/>
      <c r="U20" s="42"/>
      <c r="V20" s="73"/>
      <c r="W20" s="119"/>
      <c r="X20" s="119"/>
      <c r="Y20" s="123"/>
      <c r="Z20" s="124"/>
      <c r="AB20" s="122"/>
      <c r="AC20" s="42"/>
      <c r="AD20" s="73"/>
      <c r="AE20" s="119"/>
      <c r="AF20" s="119"/>
      <c r="AG20" s="123"/>
      <c r="AH20" s="124"/>
      <c r="AJ20" s="122"/>
      <c r="AK20" s="42"/>
      <c r="AL20" s="73"/>
      <c r="AM20" s="119"/>
      <c r="AN20" s="119"/>
      <c r="AO20" s="123"/>
      <c r="AP20" s="124"/>
      <c r="AR20" s="122"/>
      <c r="AS20" s="42"/>
      <c r="AT20" s="73"/>
      <c r="AU20" s="119"/>
      <c r="AV20" s="119"/>
      <c r="AW20" s="123"/>
      <c r="AX20" s="124"/>
    </row>
    <row r="21" spans="1:50" ht="15.75" thickBot="1" x14ac:dyDescent="0.3">
      <c r="A21" s="122"/>
      <c r="B21" s="42"/>
      <c r="C21" s="938" t="s">
        <v>68</v>
      </c>
      <c r="D21" s="942"/>
      <c r="E21" s="939"/>
      <c r="F21" s="123"/>
      <c r="G21" s="124"/>
      <c r="I21" s="149"/>
      <c r="L21" s="122"/>
      <c r="M21" s="42"/>
      <c r="N21" s="938" t="s">
        <v>68</v>
      </c>
      <c r="O21" s="942"/>
      <c r="P21" s="939"/>
      <c r="Q21" s="123"/>
      <c r="R21" s="124"/>
      <c r="T21" s="122"/>
      <c r="U21" s="42"/>
      <c r="V21" s="938" t="s">
        <v>68</v>
      </c>
      <c r="W21" s="942"/>
      <c r="X21" s="939"/>
      <c r="Y21" s="123"/>
      <c r="Z21" s="124"/>
      <c r="AB21" s="122"/>
      <c r="AC21" s="42"/>
      <c r="AD21" s="938" t="s">
        <v>68</v>
      </c>
      <c r="AE21" s="942"/>
      <c r="AF21" s="939"/>
      <c r="AG21" s="123"/>
      <c r="AH21" s="124"/>
      <c r="AJ21" s="122"/>
      <c r="AK21" s="42"/>
      <c r="AL21" s="938" t="s">
        <v>68</v>
      </c>
      <c r="AM21" s="942"/>
      <c r="AN21" s="939"/>
      <c r="AO21" s="123"/>
      <c r="AP21" s="124"/>
      <c r="AR21" s="122"/>
      <c r="AS21" s="42"/>
      <c r="AT21" s="938" t="s">
        <v>68</v>
      </c>
      <c r="AU21" s="942"/>
      <c r="AV21" s="939"/>
      <c r="AW21" s="123"/>
      <c r="AX21" s="124"/>
    </row>
    <row r="22" spans="1:50" ht="15.75" thickBot="1" x14ac:dyDescent="0.3">
      <c r="A22" s="122"/>
      <c r="B22" s="42"/>
      <c r="C22" s="121"/>
      <c r="D22" s="118" t="s">
        <v>26</v>
      </c>
      <c r="E22" s="118" t="s">
        <v>38</v>
      </c>
      <c r="F22" s="123"/>
      <c r="G22" s="124"/>
      <c r="I22" s="149"/>
      <c r="L22" s="122"/>
      <c r="M22" s="42"/>
      <c r="N22" s="121"/>
      <c r="O22" s="118" t="s">
        <v>26</v>
      </c>
      <c r="P22" s="118" t="s">
        <v>38</v>
      </c>
      <c r="Q22" s="123"/>
      <c r="R22" s="124"/>
      <c r="T22" s="122"/>
      <c r="U22" s="42"/>
      <c r="V22" s="121"/>
      <c r="W22" s="118" t="s">
        <v>26</v>
      </c>
      <c r="X22" s="118" t="s">
        <v>38</v>
      </c>
      <c r="Y22" s="123"/>
      <c r="Z22" s="124"/>
      <c r="AB22" s="122"/>
      <c r="AC22" s="42"/>
      <c r="AD22" s="121"/>
      <c r="AE22" s="118" t="s">
        <v>26</v>
      </c>
      <c r="AF22" s="118" t="s">
        <v>38</v>
      </c>
      <c r="AG22" s="123"/>
      <c r="AH22" s="124"/>
      <c r="AJ22" s="122"/>
      <c r="AK22" s="42"/>
      <c r="AL22" s="121"/>
      <c r="AM22" s="118" t="s">
        <v>26</v>
      </c>
      <c r="AN22" s="118" t="s">
        <v>38</v>
      </c>
      <c r="AO22" s="123"/>
      <c r="AP22" s="124"/>
      <c r="AR22" s="122"/>
      <c r="AS22" s="42"/>
      <c r="AT22" s="121"/>
      <c r="AU22" s="118" t="s">
        <v>26</v>
      </c>
      <c r="AV22" s="118" t="s">
        <v>38</v>
      </c>
      <c r="AW22" s="123"/>
      <c r="AX22" s="124"/>
    </row>
    <row r="23" spans="1:50" x14ac:dyDescent="0.25">
      <c r="A23" s="122"/>
      <c r="B23" s="42"/>
      <c r="C23" s="108" t="s">
        <v>31</v>
      </c>
      <c r="D23" s="99" t="e">
        <f ca="1">SUM(E11/E12)</f>
        <v>#DIV/0!</v>
      </c>
      <c r="E23" s="99">
        <v>0.33329999999999999</v>
      </c>
      <c r="F23" s="123"/>
      <c r="G23" s="124"/>
      <c r="I23" s="149"/>
      <c r="L23" s="122"/>
      <c r="M23" s="42"/>
      <c r="N23" s="108" t="s">
        <v>31</v>
      </c>
      <c r="O23" s="112" t="e">
        <f ca="1">SUM(P11/P12)</f>
        <v>#DIV/0!</v>
      </c>
      <c r="P23" s="99">
        <v>0.33329999999999999</v>
      </c>
      <c r="Q23" s="123"/>
      <c r="R23" s="124"/>
      <c r="T23" s="122"/>
      <c r="U23" s="42"/>
      <c r="V23" s="108" t="s">
        <v>31</v>
      </c>
      <c r="W23" s="112" t="e">
        <f ca="1">SUM(X11/X12)</f>
        <v>#DIV/0!</v>
      </c>
      <c r="X23" s="99">
        <v>0.33329999999999999</v>
      </c>
      <c r="Y23" s="123"/>
      <c r="Z23" s="124"/>
      <c r="AB23" s="122"/>
      <c r="AC23" s="42"/>
      <c r="AD23" s="108" t="s">
        <v>31</v>
      </c>
      <c r="AE23" s="112" t="e">
        <f ca="1">SUM(AF11/AF12)</f>
        <v>#DIV/0!</v>
      </c>
      <c r="AF23" s="99">
        <v>0.33329999999999999</v>
      </c>
      <c r="AG23" s="123"/>
      <c r="AH23" s="124"/>
      <c r="AJ23" s="122"/>
      <c r="AK23" s="42"/>
      <c r="AL23" s="108" t="s">
        <v>31</v>
      </c>
      <c r="AM23" s="112" t="e">
        <f ca="1">SUM(AN11/AN12)</f>
        <v>#DIV/0!</v>
      </c>
      <c r="AN23" s="99">
        <v>0.33329999999999999</v>
      </c>
      <c r="AO23" s="123"/>
      <c r="AP23" s="124"/>
      <c r="AR23" s="122"/>
      <c r="AS23" s="42"/>
      <c r="AT23" s="108" t="s">
        <v>31</v>
      </c>
      <c r="AU23" s="112" t="e">
        <f ca="1">SUM(AV11/AV12)</f>
        <v>#DIV/0!</v>
      </c>
      <c r="AV23" s="99">
        <v>0.33329999999999999</v>
      </c>
      <c r="AW23" s="123"/>
      <c r="AX23" s="124"/>
    </row>
    <row r="24" spans="1:50" x14ac:dyDescent="0.25">
      <c r="A24" s="122"/>
      <c r="B24" s="42"/>
      <c r="C24" s="109" t="s">
        <v>30</v>
      </c>
      <c r="D24" s="100" t="e">
        <f ca="1">SUM(D25-D23)</f>
        <v>#DIV/0!</v>
      </c>
      <c r="E24" s="100">
        <v>0.33329999999999999</v>
      </c>
      <c r="F24" s="123"/>
      <c r="G24" s="124"/>
      <c r="L24" s="122"/>
      <c r="M24" s="42"/>
      <c r="N24" s="109" t="s">
        <v>30</v>
      </c>
      <c r="O24" s="113" t="e">
        <f ca="1">SUM(O25-O23)</f>
        <v>#DIV/0!</v>
      </c>
      <c r="P24" s="100">
        <v>0.33329999999999999</v>
      </c>
      <c r="Q24" s="123"/>
      <c r="R24" s="124"/>
      <c r="T24" s="122"/>
      <c r="U24" s="42"/>
      <c r="V24" s="109" t="s">
        <v>30</v>
      </c>
      <c r="W24" s="113" t="e">
        <f ca="1">SUM(W25-W23)</f>
        <v>#DIV/0!</v>
      </c>
      <c r="X24" s="100">
        <v>0.33329999999999999</v>
      </c>
      <c r="Y24" s="123"/>
      <c r="Z24" s="124"/>
      <c r="AB24" s="122"/>
      <c r="AC24" s="42"/>
      <c r="AD24" s="109" t="s">
        <v>30</v>
      </c>
      <c r="AE24" s="113" t="e">
        <f ca="1">SUM(AE25-AE23)</f>
        <v>#DIV/0!</v>
      </c>
      <c r="AF24" s="100">
        <v>0.33329999999999999</v>
      </c>
      <c r="AG24" s="123"/>
      <c r="AH24" s="124"/>
      <c r="AJ24" s="122"/>
      <c r="AK24" s="42"/>
      <c r="AL24" s="109" t="s">
        <v>30</v>
      </c>
      <c r="AM24" s="113" t="e">
        <f ca="1">SUM(AM25-AM23)</f>
        <v>#DIV/0!</v>
      </c>
      <c r="AN24" s="100">
        <v>0.33329999999999999</v>
      </c>
      <c r="AO24" s="123"/>
      <c r="AP24" s="124"/>
      <c r="AR24" s="122"/>
      <c r="AS24" s="42"/>
      <c r="AT24" s="109" t="s">
        <v>30</v>
      </c>
      <c r="AU24" s="113" t="e">
        <f ca="1">SUM(AU25-AU23)</f>
        <v>#DIV/0!</v>
      </c>
      <c r="AV24" s="100">
        <v>0.33329999999999999</v>
      </c>
      <c r="AW24" s="123"/>
      <c r="AX24" s="124"/>
    </row>
    <row r="25" spans="1:50" x14ac:dyDescent="0.25">
      <c r="A25" s="122"/>
      <c r="B25" s="42"/>
      <c r="C25" s="110" t="s">
        <v>29</v>
      </c>
      <c r="D25" s="100">
        <v>1</v>
      </c>
      <c r="E25" s="100">
        <v>0.33329999999999999</v>
      </c>
      <c r="F25" s="123"/>
      <c r="G25" s="124"/>
      <c r="I25" s="149"/>
      <c r="L25" s="122"/>
      <c r="M25" s="42"/>
      <c r="N25" s="110" t="s">
        <v>29</v>
      </c>
      <c r="O25" s="113">
        <v>1</v>
      </c>
      <c r="P25" s="100">
        <v>0.33329999999999999</v>
      </c>
      <c r="Q25" s="123"/>
      <c r="R25" s="124"/>
      <c r="T25" s="122"/>
      <c r="U25" s="42"/>
      <c r="V25" s="110" t="s">
        <v>29</v>
      </c>
      <c r="W25" s="113">
        <v>1</v>
      </c>
      <c r="X25" s="100">
        <v>0.33329999999999999</v>
      </c>
      <c r="Y25" s="123"/>
      <c r="Z25" s="124"/>
      <c r="AB25" s="122"/>
      <c r="AC25" s="42"/>
      <c r="AD25" s="110" t="s">
        <v>29</v>
      </c>
      <c r="AE25" s="113">
        <v>1</v>
      </c>
      <c r="AF25" s="100">
        <v>0.33329999999999999</v>
      </c>
      <c r="AG25" s="123"/>
      <c r="AH25" s="124"/>
      <c r="AJ25" s="122"/>
      <c r="AK25" s="42"/>
      <c r="AL25" s="110" t="s">
        <v>29</v>
      </c>
      <c r="AM25" s="113">
        <v>1</v>
      </c>
      <c r="AN25" s="100">
        <v>0.33329999999999999</v>
      </c>
      <c r="AO25" s="123"/>
      <c r="AP25" s="124"/>
      <c r="AR25" s="122"/>
      <c r="AS25" s="42"/>
      <c r="AT25" s="110" t="s">
        <v>29</v>
      </c>
      <c r="AU25" s="113">
        <v>1</v>
      </c>
      <c r="AV25" s="100">
        <v>0.33329999999999999</v>
      </c>
      <c r="AW25" s="123"/>
      <c r="AX25" s="124"/>
    </row>
    <row r="26" spans="1:50" ht="15.75" thickBot="1" x14ac:dyDescent="0.3">
      <c r="A26" s="122"/>
      <c r="B26" s="3"/>
      <c r="C26" s="111"/>
      <c r="D26" s="101"/>
      <c r="E26" s="101">
        <v>0.99990000000000001</v>
      </c>
      <c r="F26" s="123"/>
      <c r="G26" s="124"/>
      <c r="L26" s="122"/>
      <c r="M26" s="3"/>
      <c r="N26" s="111"/>
      <c r="O26" s="114"/>
      <c r="P26" s="101">
        <v>0.99990000000000001</v>
      </c>
      <c r="Q26" s="123"/>
      <c r="R26" s="124"/>
      <c r="T26" s="122"/>
      <c r="U26" s="3"/>
      <c r="V26" s="111"/>
      <c r="W26" s="114"/>
      <c r="X26" s="101">
        <v>0.99990000000000001</v>
      </c>
      <c r="Y26" s="123"/>
      <c r="Z26" s="124"/>
      <c r="AB26" s="122"/>
      <c r="AC26" s="3"/>
      <c r="AD26" s="111"/>
      <c r="AE26" s="114"/>
      <c r="AF26" s="101">
        <v>0.99990000000000001</v>
      </c>
      <c r="AG26" s="123"/>
      <c r="AH26" s="124"/>
      <c r="AJ26" s="122"/>
      <c r="AK26" s="3"/>
      <c r="AL26" s="111"/>
      <c r="AM26" s="114"/>
      <c r="AN26" s="101">
        <v>0.99990000000000001</v>
      </c>
      <c r="AO26" s="123"/>
      <c r="AP26" s="124"/>
      <c r="AR26" s="122"/>
      <c r="AS26" s="3"/>
      <c r="AT26" s="111"/>
      <c r="AU26" s="114"/>
      <c r="AV26" s="101">
        <v>0.99990000000000001</v>
      </c>
      <c r="AW26" s="123"/>
      <c r="AX26" s="124"/>
    </row>
    <row r="27" spans="1:50" ht="15.75" thickBot="1" x14ac:dyDescent="0.3">
      <c r="A27" s="125"/>
      <c r="B27" s="126"/>
      <c r="C27" s="127"/>
      <c r="D27" s="127"/>
      <c r="E27" s="127"/>
      <c r="F27" s="127"/>
      <c r="G27" s="128"/>
      <c r="L27" s="125"/>
      <c r="M27" s="126"/>
      <c r="N27" s="127"/>
      <c r="O27" s="127"/>
      <c r="P27" s="127"/>
      <c r="Q27" s="127"/>
      <c r="R27" s="128"/>
      <c r="T27" s="125"/>
      <c r="U27" s="126"/>
      <c r="V27" s="127"/>
      <c r="W27" s="127"/>
      <c r="X27" s="127"/>
      <c r="Y27" s="127"/>
      <c r="Z27" s="128"/>
      <c r="AB27" s="125"/>
      <c r="AC27" s="126"/>
      <c r="AD27" s="127"/>
      <c r="AE27" s="127"/>
      <c r="AF27" s="127"/>
      <c r="AG27" s="127"/>
      <c r="AH27" s="128"/>
      <c r="AJ27" s="125"/>
      <c r="AK27" s="126"/>
      <c r="AL27" s="127"/>
      <c r="AM27" s="127"/>
      <c r="AN27" s="127"/>
      <c r="AO27" s="127"/>
      <c r="AP27" s="128"/>
      <c r="AR27" s="125"/>
      <c r="AS27" s="126"/>
      <c r="AT27" s="127"/>
      <c r="AU27" s="127"/>
      <c r="AV27" s="127"/>
      <c r="AW27" s="127"/>
      <c r="AX27" s="128"/>
    </row>
    <row r="28" spans="1:50" ht="15.75" thickBot="1" x14ac:dyDescent="0.3"/>
    <row r="29" spans="1:50" ht="21.75" thickBot="1" x14ac:dyDescent="0.4">
      <c r="A29" s="954" t="s">
        <v>39</v>
      </c>
      <c r="B29" s="955"/>
      <c r="C29" s="955"/>
      <c r="D29" s="955"/>
      <c r="E29" s="955"/>
      <c r="F29" s="955"/>
      <c r="G29" s="956"/>
      <c r="L29" s="954" t="s">
        <v>41</v>
      </c>
      <c r="M29" s="955"/>
      <c r="N29" s="955"/>
      <c r="O29" s="955"/>
      <c r="P29" s="955"/>
      <c r="Q29" s="955"/>
      <c r="R29" s="956"/>
      <c r="T29" s="946" t="s">
        <v>60</v>
      </c>
      <c r="U29" s="936"/>
      <c r="V29" s="936"/>
      <c r="W29" s="936"/>
      <c r="X29" s="936"/>
      <c r="Y29" s="936"/>
      <c r="Z29" s="937"/>
      <c r="AB29" s="943" t="s">
        <v>81</v>
      </c>
      <c r="AC29" s="944"/>
      <c r="AD29" s="944"/>
      <c r="AE29" s="944"/>
      <c r="AF29" s="944"/>
      <c r="AG29" s="944"/>
      <c r="AH29" s="945"/>
    </row>
    <row r="30" spans="1:50" ht="16.5" thickBot="1" x14ac:dyDescent="0.3">
      <c r="A30" s="122"/>
      <c r="B30" s="42"/>
      <c r="C30" s="53" t="s">
        <v>15</v>
      </c>
      <c r="D30" s="952" t="s">
        <v>16</v>
      </c>
      <c r="E30" s="953"/>
      <c r="F30" s="53" t="s">
        <v>24</v>
      </c>
      <c r="G30" s="133"/>
      <c r="H30" s="76"/>
      <c r="I30" s="76"/>
      <c r="L30" s="122"/>
      <c r="M30" s="42"/>
      <c r="N30" s="53" t="s">
        <v>15</v>
      </c>
      <c r="O30" s="952" t="s">
        <v>16</v>
      </c>
      <c r="P30" s="953"/>
      <c r="Q30" s="53" t="s">
        <v>24</v>
      </c>
      <c r="R30" s="133"/>
      <c r="T30" s="122"/>
      <c r="U30" s="3"/>
      <c r="V30" s="123"/>
      <c r="W30" s="123"/>
      <c r="X30" s="123"/>
      <c r="Y30" s="123"/>
      <c r="Z30" s="124"/>
      <c r="AB30" s="161"/>
      <c r="AC30" s="164" t="s">
        <v>78</v>
      </c>
      <c r="AD30" s="165" t="s">
        <v>79</v>
      </c>
      <c r="AE30" s="165" t="s">
        <v>80</v>
      </c>
      <c r="AF30" s="165" t="s">
        <v>47</v>
      </c>
      <c r="AG30" s="165" t="s">
        <v>48</v>
      </c>
      <c r="AH30" s="166" t="s">
        <v>49</v>
      </c>
    </row>
    <row r="31" spans="1:50" ht="16.5" thickBot="1" x14ac:dyDescent="0.3">
      <c r="A31" s="122"/>
      <c r="B31" s="42"/>
      <c r="C31" s="129">
        <f>IFERROR(VLOOKUP('TABLEAU DE BORD ATELIER'!$C$10,PRODUCTION!B17:I31,3,FALSE),"")</f>
        <v>0</v>
      </c>
      <c r="D31" s="129">
        <f>IFERROR(VLOOKUP('TABLEAU DE BORD ATELIER'!$C$10,PRODUCTION!B17:I31,4,FALSE),"")</f>
        <v>0</v>
      </c>
      <c r="E31" s="129">
        <f>D31</f>
        <v>0</v>
      </c>
      <c r="F31" s="130" t="e">
        <f>SUM(D31-C31)/C31</f>
        <v>#DIV/0!</v>
      </c>
      <c r="G31" s="133" t="e">
        <f>IF(F31&lt;=0%,3,IF(F31&lt;=5%,2,1))</f>
        <v>#DIV/0!</v>
      </c>
      <c r="H31" s="76"/>
      <c r="I31" s="76"/>
      <c r="L31" s="122"/>
      <c r="M31" s="42"/>
      <c r="N31" s="129">
        <f>IFERROR(VLOOKUP('TABLEAU DE BORD MAGASINS'!$C$10,'Boutique 2'!B17:I32,3,FALSE),"")</f>
        <v>0</v>
      </c>
      <c r="O31" s="129">
        <f>IFERROR(VLOOKUP('TABLEAU DE BORD MAGASINS'!$C$10,'Boutique 2'!B17:I32,4,FALSE),"")</f>
        <v>0</v>
      </c>
      <c r="P31" s="129">
        <f>O31</f>
        <v>0</v>
      </c>
      <c r="Q31" s="130" t="e">
        <f>SUM(O31-N31)/N31</f>
        <v>#DIV/0!</v>
      </c>
      <c r="R31" s="634" t="e">
        <f>IF(Q31&lt;=0%,3,IF(Q31&lt;=5%,2,1))</f>
        <v>#DIV/0!</v>
      </c>
      <c r="T31" s="122"/>
      <c r="U31" s="42"/>
      <c r="V31" s="102" t="s">
        <v>15</v>
      </c>
      <c r="W31" s="938" t="s">
        <v>16</v>
      </c>
      <c r="X31" s="939"/>
      <c r="Y31" s="102" t="s">
        <v>24</v>
      </c>
      <c r="Z31" s="124"/>
      <c r="AB31" s="158" t="str">
        <f>'Saisie Commerciaux'!B9</f>
        <v>Commercial 1</v>
      </c>
      <c r="AC31" s="162">
        <f>RANK(AF31,AF31:AF33)</f>
        <v>1</v>
      </c>
      <c r="AD31" s="163">
        <f>RANK(AG31,AG31:AG33)</f>
        <v>1</v>
      </c>
      <c r="AE31" s="163">
        <f>RANK(AH31,AH31:AH33)</f>
        <v>1</v>
      </c>
      <c r="AF31" s="545">
        <f>'Saisie Commerciaux'!T11</f>
        <v>0</v>
      </c>
      <c r="AG31" s="545">
        <f>'Saisie Commerciaux'!U11</f>
        <v>0</v>
      </c>
      <c r="AH31" s="542">
        <f>'Saisie Commerciaux'!V11</f>
        <v>0</v>
      </c>
    </row>
    <row r="32" spans="1:50" ht="18.75" thickBot="1" x14ac:dyDescent="0.3">
      <c r="A32" s="122"/>
      <c r="B32" s="88" t="s">
        <v>22</v>
      </c>
      <c r="C32" s="131" t="str">
        <f>IF(D31&gt;C31,"p","q")</f>
        <v>q</v>
      </c>
      <c r="D32" s="132" t="s">
        <v>23</v>
      </c>
      <c r="E32" s="46"/>
      <c r="F32" s="90"/>
      <c r="G32" s="630" t="e">
        <f>CHOOSE(G31,$I$69,$I$70,$I$71)</f>
        <v>#DIV/0!</v>
      </c>
      <c r="H32" s="76"/>
      <c r="I32" s="76"/>
      <c r="L32" s="122"/>
      <c r="M32" s="88" t="s">
        <v>22</v>
      </c>
      <c r="N32" s="131" t="str">
        <f>IF(O31&gt;N31,"p","q")</f>
        <v>q</v>
      </c>
      <c r="O32" s="132" t="s">
        <v>23</v>
      </c>
      <c r="P32" s="46"/>
      <c r="Q32" s="90"/>
      <c r="R32" s="630" t="e">
        <f>CHOOSE(R31,$I$69,$I$70,$I$71)</f>
        <v>#DIV/0!</v>
      </c>
      <c r="T32" s="122"/>
      <c r="U32" s="42"/>
      <c r="V32" s="103" t="str">
        <f>IFERROR(VLOOKUP('Tableau de Bord commerciaux'!C10,#REF!,3,FALSE),"")</f>
        <v/>
      </c>
      <c r="W32" s="103" t="str">
        <f>IFERROR(VLOOKUP('Tableau de Bord commerciaux'!C10,#REF!,4,FALSE),"")</f>
        <v/>
      </c>
      <c r="X32" s="103" t="str">
        <f>W32</f>
        <v/>
      </c>
      <c r="Y32" s="104" t="e">
        <f>SUM(W32-V32)/V32</f>
        <v>#VALUE!</v>
      </c>
      <c r="Z32" s="124"/>
      <c r="AB32" s="159" t="str">
        <f>'Saisie Commerciaux'!B26</f>
        <v>Commercial 2</v>
      </c>
      <c r="AC32" s="156">
        <f>RANK(AF32,AF31:AF33)</f>
        <v>1</v>
      </c>
      <c r="AD32" s="152">
        <f>RANK(AG32,AG31:AG33)</f>
        <v>1</v>
      </c>
      <c r="AE32" s="152">
        <f>RANK(AH32,AH31:AH33)</f>
        <v>1</v>
      </c>
      <c r="AF32" s="540">
        <f>'Saisie Commerciaux'!T28</f>
        <v>0</v>
      </c>
      <c r="AG32" s="153">
        <f>'Saisie Commerciaux'!U28</f>
        <v>0</v>
      </c>
      <c r="AH32" s="543">
        <f>'Saisie Commerciaux'!V28</f>
        <v>0</v>
      </c>
    </row>
    <row r="33" spans="1:40" ht="16.5" thickBot="1" x14ac:dyDescent="0.3">
      <c r="A33" s="122"/>
      <c r="B33" s="42"/>
      <c r="C33" s="123"/>
      <c r="D33" s="123"/>
      <c r="E33" s="123"/>
      <c r="F33" s="123"/>
      <c r="G33" s="133"/>
      <c r="H33" s="76"/>
      <c r="I33" s="76"/>
      <c r="L33" s="122"/>
      <c r="M33" s="42"/>
      <c r="N33" s="123"/>
      <c r="O33" s="123"/>
      <c r="P33" s="123"/>
      <c r="Q33" s="123"/>
      <c r="R33" s="133"/>
      <c r="T33" s="122"/>
      <c r="U33" s="88" t="s">
        <v>22</v>
      </c>
      <c r="V33" s="105" t="str">
        <f>IF(W32&gt;V32,"p","q")</f>
        <v>q</v>
      </c>
      <c r="W33" s="106" t="s">
        <v>23</v>
      </c>
      <c r="X33" s="98"/>
      <c r="Y33" s="91"/>
      <c r="Z33" s="124"/>
      <c r="AB33" s="160" t="str">
        <f>'Saisie Commerciaux'!B43</f>
        <v>COMMERCIAL 3</v>
      </c>
      <c r="AC33" s="157">
        <f>RANK(AF33,AF31:AF33)</f>
        <v>1</v>
      </c>
      <c r="AD33" s="154">
        <f>RANK(AG33,AG31:AG33)</f>
        <v>1</v>
      </c>
      <c r="AE33" s="154">
        <f>RANK(AH33,AH31:AH33)</f>
        <v>1</v>
      </c>
      <c r="AF33" s="541">
        <f>'Saisie Commerciaux'!T45</f>
        <v>0</v>
      </c>
      <c r="AG33" s="155">
        <f>'Saisie Commerciaux'!U45</f>
        <v>0</v>
      </c>
      <c r="AH33" s="544">
        <f>'Saisie Commerciaux'!V45</f>
        <v>0</v>
      </c>
    </row>
    <row r="34" spans="1:40" ht="15.75" thickBot="1" x14ac:dyDescent="0.3">
      <c r="A34" s="122"/>
      <c r="B34" s="42"/>
      <c r="C34" s="54" t="s">
        <v>37</v>
      </c>
      <c r="D34" s="919" t="s">
        <v>36</v>
      </c>
      <c r="E34" s="921"/>
      <c r="F34" s="55"/>
      <c r="G34" s="133"/>
      <c r="H34" s="76"/>
      <c r="I34" s="76"/>
      <c r="L34" s="122"/>
      <c r="M34" s="42"/>
      <c r="N34" s="54" t="s">
        <v>37</v>
      </c>
      <c r="O34" s="919" t="s">
        <v>36</v>
      </c>
      <c r="P34" s="921"/>
      <c r="Q34" s="55"/>
      <c r="R34" s="133"/>
      <c r="T34" s="122"/>
      <c r="U34" s="42"/>
      <c r="V34" s="123"/>
      <c r="W34" s="123"/>
      <c r="X34" s="123"/>
      <c r="Y34" s="123"/>
      <c r="Z34" s="124"/>
    </row>
    <row r="35" spans="1:40" ht="15.75" thickBot="1" x14ac:dyDescent="0.3">
      <c r="A35" s="122"/>
      <c r="B35" s="42"/>
      <c r="C35" s="56">
        <f>IFERROR(VLOOKUP('TABLEAU DE BORD ATELIER'!$C$10,PRODUCTION!B17:I31,4,FALSE),"")</f>
        <v>0</v>
      </c>
      <c r="D35" s="56">
        <f>IFERROR(VLOOKUP('TABLEAU DE BORD ATELIER'!$C$10,PRODUCTION!B17:I31,7,FALSE),"")</f>
        <v>0</v>
      </c>
      <c r="E35" s="56">
        <f>D35</f>
        <v>0</v>
      </c>
      <c r="F35" s="57" t="e">
        <f>SUM(C35/D35)</f>
        <v>#DIV/0!</v>
      </c>
      <c r="G35" s="133"/>
      <c r="H35" s="76"/>
      <c r="I35" s="76"/>
      <c r="L35" s="122"/>
      <c r="M35" s="42"/>
      <c r="N35" s="56">
        <f>IFERROR(VLOOKUP('TABLEAU DE BORD MAGASINS'!$C$10,'Boutique 2'!B17:I32,4,FALSE),"")</f>
        <v>0</v>
      </c>
      <c r="O35" s="56">
        <f>IFERROR(VLOOKUP('TABLEAU DE BORD MAGASINS'!$C$10,'Boutique 2'!B17:I32,7,FALSE),"")</f>
        <v>0</v>
      </c>
      <c r="P35" s="56">
        <f>O35</f>
        <v>0</v>
      </c>
      <c r="Q35" s="57" t="e">
        <f>SUM(N35/O35)</f>
        <v>#DIV/0!</v>
      </c>
      <c r="R35" s="133"/>
      <c r="T35" s="122"/>
      <c r="U35" s="42"/>
      <c r="V35" s="102" t="s">
        <v>34</v>
      </c>
      <c r="W35" s="940" t="s">
        <v>66</v>
      </c>
      <c r="X35" s="941"/>
      <c r="Y35" s="91"/>
      <c r="Z35" s="124"/>
      <c r="AB35" s="310"/>
      <c r="AF35" s="310"/>
      <c r="AG35" s="310"/>
      <c r="AH35" s="310"/>
    </row>
    <row r="36" spans="1:40" ht="15.75" thickBot="1" x14ac:dyDescent="0.3">
      <c r="A36" s="122"/>
      <c r="B36" s="42"/>
      <c r="C36" s="42"/>
      <c r="D36" s="42"/>
      <c r="E36" s="42"/>
      <c r="F36" s="42"/>
      <c r="G36" s="133"/>
      <c r="H36" s="76"/>
      <c r="I36" s="76"/>
      <c r="L36" s="122"/>
      <c r="M36" s="42"/>
      <c r="N36" s="42"/>
      <c r="O36" s="42"/>
      <c r="P36" s="42"/>
      <c r="Q36" s="42"/>
      <c r="R36" s="133"/>
      <c r="T36" s="122"/>
      <c r="U36" s="42"/>
      <c r="V36" s="92" t="str">
        <f>IFERROR(VLOOKUP('Tableau de Bord commerciaux'!C10,#REF!,4,FALSE),"")</f>
        <v/>
      </c>
      <c r="W36" s="92" t="str">
        <f>IFERROR(VLOOKUP('Tableau de Bord commerciaux'!C10,#REF!,7,FALSE),"")</f>
        <v/>
      </c>
      <c r="X36" s="92" t="str">
        <f>W36</f>
        <v/>
      </c>
      <c r="Y36" s="93" t="e">
        <f>SUM(V36/W36)</f>
        <v>#VALUE!</v>
      </c>
      <c r="Z36" s="124"/>
      <c r="AB36" s="311"/>
      <c r="AC36" s="934" t="s">
        <v>39</v>
      </c>
      <c r="AD36" s="932"/>
      <c r="AE36" s="932"/>
      <c r="AF36" s="932" t="str">
        <f>AB31</f>
        <v>Commercial 1</v>
      </c>
      <c r="AG36" s="932"/>
      <c r="AH36" s="933"/>
      <c r="AI36" s="932" t="str">
        <f>AB32</f>
        <v>Commercial 2</v>
      </c>
      <c r="AJ36" s="932"/>
      <c r="AK36" s="933"/>
      <c r="AL36" s="932" t="str">
        <f>AB33</f>
        <v>COMMERCIAL 3</v>
      </c>
      <c r="AM36" s="932"/>
      <c r="AN36" s="933"/>
    </row>
    <row r="37" spans="1:40" ht="16.5" thickBot="1" x14ac:dyDescent="0.3">
      <c r="A37" s="122"/>
      <c r="B37" s="42"/>
      <c r="C37" s="42"/>
      <c r="D37" s="86" t="s">
        <v>32</v>
      </c>
      <c r="E37" s="86" t="s">
        <v>96</v>
      </c>
      <c r="F37" s="406" t="s">
        <v>97</v>
      </c>
      <c r="G37" s="133"/>
      <c r="H37" s="76"/>
      <c r="I37" s="76"/>
      <c r="L37" s="122"/>
      <c r="M37" s="42"/>
      <c r="N37" s="42"/>
      <c r="O37" s="86" t="s">
        <v>32</v>
      </c>
      <c r="P37" s="86" t="s">
        <v>33</v>
      </c>
      <c r="Q37" s="42"/>
      <c r="R37" s="133"/>
      <c r="T37" s="122"/>
      <c r="U37" s="42"/>
      <c r="V37" s="123"/>
      <c r="W37" s="123"/>
      <c r="X37" s="123"/>
      <c r="Y37" s="123"/>
      <c r="Z37" s="124"/>
      <c r="AB37" s="554"/>
      <c r="AC37" s="607" t="s">
        <v>47</v>
      </c>
      <c r="AD37" s="608" t="s">
        <v>48</v>
      </c>
      <c r="AE37" s="608" t="s">
        <v>16</v>
      </c>
      <c r="AF37" s="569" t="s">
        <v>14</v>
      </c>
      <c r="AG37" s="570" t="s">
        <v>15</v>
      </c>
      <c r="AH37" s="571" t="s">
        <v>16</v>
      </c>
      <c r="AI37" s="569" t="s">
        <v>14</v>
      </c>
      <c r="AJ37" s="570" t="s">
        <v>15</v>
      </c>
      <c r="AK37" s="571" t="s">
        <v>16</v>
      </c>
      <c r="AL37" s="569" t="s">
        <v>14</v>
      </c>
      <c r="AM37" s="570" t="s">
        <v>15</v>
      </c>
      <c r="AN37" s="571" t="s">
        <v>16</v>
      </c>
    </row>
    <row r="38" spans="1:40" ht="16.5" thickBot="1" x14ac:dyDescent="0.3">
      <c r="A38" s="122"/>
      <c r="B38" s="42"/>
      <c r="C38" s="58" t="s">
        <v>28</v>
      </c>
      <c r="D38" s="69">
        <f>IFERROR(VLOOKUP('TABLEAU DE BORD ATELIER'!$C$10,PRODUCTION!B17:I31,4,FALSE),"")</f>
        <v>0</v>
      </c>
      <c r="E38" s="407">
        <f ca="1">SUM(OFFSET(PRODUCTION!E20,0,0,MATCH('TABLEAU DE BORD ATELIER'!C10,PRODUCTION!B20:B31,0)))</f>
        <v>0</v>
      </c>
      <c r="F38" s="70">
        <f ca="1">SUM(OFFSET(PRODUCTION!D20,0,0,MATCH('TABLEAU DE BORD ATELIER'!C10,PRODUCTION!B20:B31,0)))</f>
        <v>0</v>
      </c>
      <c r="G38" s="133"/>
      <c r="H38" s="76"/>
      <c r="I38" s="76"/>
      <c r="L38" s="122"/>
      <c r="M38" s="42"/>
      <c r="N38" s="58" t="s">
        <v>28</v>
      </c>
      <c r="O38" s="69">
        <f>IFERROR(VLOOKUP('TABLEAU DE BORD MAGASINS'!$C$10,'Boutique 2'!B17:I32,4,FALSE),"")</f>
        <v>0</v>
      </c>
      <c r="P38" s="70">
        <f ca="1">SUM(OFFSET('Boutique 2'!E20,0,0,MATCH('TABLEAU DE BORD MAGASINS'!$C$10,'Boutique 2'!B20:B32,0)))</f>
        <v>0</v>
      </c>
      <c r="Q38" s="42"/>
      <c r="R38" s="133"/>
      <c r="T38" s="122"/>
      <c r="U38" s="42"/>
      <c r="V38" s="123"/>
      <c r="W38" s="107" t="s">
        <v>32</v>
      </c>
      <c r="X38" s="102" t="s">
        <v>33</v>
      </c>
      <c r="Y38" s="123"/>
      <c r="Z38" s="124"/>
      <c r="AB38" s="564" t="s">
        <v>6</v>
      </c>
      <c r="AC38" s="565">
        <f>PRODUCTION!C20</f>
        <v>0</v>
      </c>
      <c r="AD38" s="566">
        <f>PRODUCTION!D20</f>
        <v>0</v>
      </c>
      <c r="AE38" s="566">
        <f>PRODUCTION!E20</f>
        <v>0</v>
      </c>
      <c r="AF38" s="566">
        <f>'Saisie Commerciaux'!B13</f>
        <v>0</v>
      </c>
      <c r="AG38" s="566">
        <f>'Saisie Commerciaux'!C13</f>
        <v>0</v>
      </c>
      <c r="AH38" s="568">
        <f>'Saisie Commerciaux'!D13</f>
        <v>0</v>
      </c>
      <c r="AI38" s="565">
        <f>'Saisie Commerciaux'!B30</f>
        <v>0</v>
      </c>
      <c r="AJ38" s="566">
        <f>'Saisie Commerciaux'!C30</f>
        <v>0</v>
      </c>
      <c r="AK38" s="568">
        <f>'Saisie Commerciaux'!D30</f>
        <v>0</v>
      </c>
      <c r="AL38" s="565">
        <f>'Saisie Commerciaux'!B47</f>
        <v>0</v>
      </c>
      <c r="AM38" s="566">
        <f>'Saisie Commerciaux'!C47</f>
        <v>0</v>
      </c>
      <c r="AN38" s="567">
        <f>'Saisie Commerciaux'!D47</f>
        <v>0</v>
      </c>
    </row>
    <row r="39" spans="1:40" ht="16.5" thickBot="1" x14ac:dyDescent="0.3">
      <c r="A39" s="122"/>
      <c r="B39" s="42"/>
      <c r="C39" s="59" t="s">
        <v>27</v>
      </c>
      <c r="D39" s="60">
        <f>D35</f>
        <v>0</v>
      </c>
      <c r="E39" s="408">
        <f>SUM(PRODUCTION!H20:H31)</f>
        <v>0</v>
      </c>
      <c r="F39" s="409"/>
      <c r="G39" s="133"/>
      <c r="H39" s="76"/>
      <c r="I39" s="76"/>
      <c r="L39" s="122"/>
      <c r="M39" s="42"/>
      <c r="N39" s="59" t="s">
        <v>27</v>
      </c>
      <c r="O39" s="60">
        <f>O35</f>
        <v>0</v>
      </c>
      <c r="P39" s="61">
        <f>SUM('Boutique 2'!H20:H32)</f>
        <v>0</v>
      </c>
      <c r="Q39" s="42"/>
      <c r="R39" s="133"/>
      <c r="T39" s="122"/>
      <c r="U39" s="42"/>
      <c r="V39" s="117" t="s">
        <v>28</v>
      </c>
      <c r="W39" s="94" t="str">
        <f>IFERROR(VLOOKUP('Tableau de Bord commerciaux'!C10,#REF!,4,FALSE),"")</f>
        <v/>
      </c>
      <c r="X39" s="95" t="e">
        <f ca="1">SUM(OFFSET(#REF!,0,0,MATCH('Tableau de Bord commerciaux'!C10,#REF!,0)))</f>
        <v>#REF!</v>
      </c>
      <c r="Y39" s="123"/>
      <c r="Z39" s="124"/>
      <c r="AB39" s="557" t="s">
        <v>7</v>
      </c>
      <c r="AC39" s="560">
        <f>PRODUCTION!C21</f>
        <v>0</v>
      </c>
      <c r="AD39" s="555">
        <f>PRODUCTION!D21</f>
        <v>0</v>
      </c>
      <c r="AE39" s="555">
        <f>PRODUCTION!E21</f>
        <v>0</v>
      </c>
      <c r="AF39" s="555">
        <f>'Saisie Commerciaux'!B14</f>
        <v>0</v>
      </c>
      <c r="AG39" s="555">
        <f>'Saisie Commerciaux'!C14</f>
        <v>0</v>
      </c>
      <c r="AH39" s="572">
        <f>'Saisie Commerciaux'!D14</f>
        <v>0</v>
      </c>
      <c r="AI39" s="560">
        <f>'Saisie Commerciaux'!B31</f>
        <v>0</v>
      </c>
      <c r="AJ39" s="555">
        <f>'Saisie Commerciaux'!C31</f>
        <v>0</v>
      </c>
      <c r="AK39" s="572">
        <f>'Saisie Commerciaux'!D31</f>
        <v>0</v>
      </c>
      <c r="AL39" s="560">
        <f>'Saisie Commerciaux'!B48</f>
        <v>0</v>
      </c>
      <c r="AM39" s="555">
        <f>'Saisie Commerciaux'!C48</f>
        <v>0</v>
      </c>
      <c r="AN39" s="561">
        <f>'Saisie Commerciaux'!D48</f>
        <v>0</v>
      </c>
    </row>
    <row r="40" spans="1:40" ht="16.5" thickBot="1" x14ac:dyDescent="0.3">
      <c r="A40" s="122"/>
      <c r="B40" s="42"/>
      <c r="C40" s="87"/>
      <c r="D40" s="42"/>
      <c r="E40" s="42"/>
      <c r="F40" s="42"/>
      <c r="G40" s="133"/>
      <c r="H40" s="50"/>
      <c r="I40" s="50"/>
      <c r="L40" s="122"/>
      <c r="M40" s="42"/>
      <c r="N40" s="87"/>
      <c r="O40" s="42"/>
      <c r="P40" s="42"/>
      <c r="Q40" s="42"/>
      <c r="R40" s="133"/>
      <c r="T40" s="122"/>
      <c r="U40" s="42"/>
      <c r="V40" s="102" t="s">
        <v>27</v>
      </c>
      <c r="W40" s="96" t="str">
        <f>W36</f>
        <v/>
      </c>
      <c r="X40" s="97" t="e">
        <f>SUM(#REF!)</f>
        <v>#REF!</v>
      </c>
      <c r="Y40" s="123"/>
      <c r="Z40" s="124"/>
      <c r="AB40" s="558" t="s">
        <v>8</v>
      </c>
      <c r="AC40" s="560">
        <f>PRODUCTION!C22</f>
        <v>0</v>
      </c>
      <c r="AD40" s="555">
        <f>PRODUCTION!D22</f>
        <v>0</v>
      </c>
      <c r="AE40" s="555">
        <f>PRODUCTION!E22</f>
        <v>0</v>
      </c>
      <c r="AF40" s="555">
        <f>'Saisie Commerciaux'!B15</f>
        <v>0</v>
      </c>
      <c r="AG40" s="555">
        <f>'Saisie Commerciaux'!C15</f>
        <v>0</v>
      </c>
      <c r="AH40" s="572">
        <f>'Saisie Commerciaux'!D15</f>
        <v>0</v>
      </c>
      <c r="AI40" s="560">
        <f>'Saisie Commerciaux'!B32</f>
        <v>0</v>
      </c>
      <c r="AJ40" s="555">
        <f>'Saisie Commerciaux'!C32</f>
        <v>0</v>
      </c>
      <c r="AK40" s="572">
        <f>'Saisie Commerciaux'!D32</f>
        <v>0</v>
      </c>
      <c r="AL40" s="560">
        <f>'Saisie Commerciaux'!B49</f>
        <v>0</v>
      </c>
      <c r="AM40" s="555">
        <f>'Saisie Commerciaux'!C49</f>
        <v>0</v>
      </c>
      <c r="AN40" s="561">
        <f>'Saisie Commerciaux'!D49</f>
        <v>0</v>
      </c>
    </row>
    <row r="41" spans="1:40" ht="16.5" thickBot="1" x14ac:dyDescent="0.3">
      <c r="A41" s="122"/>
      <c r="B41" s="42"/>
      <c r="C41" s="938" t="s">
        <v>67</v>
      </c>
      <c r="D41" s="942"/>
      <c r="E41" s="939"/>
      <c r="F41" s="42"/>
      <c r="G41" s="134"/>
      <c r="H41" s="78"/>
      <c r="I41" s="78"/>
      <c r="L41" s="122"/>
      <c r="M41" s="42"/>
      <c r="N41" s="938" t="s">
        <v>67</v>
      </c>
      <c r="O41" s="942"/>
      <c r="P41" s="939"/>
      <c r="Q41" s="42"/>
      <c r="R41" s="134"/>
      <c r="T41" s="122"/>
      <c r="U41" s="42"/>
      <c r="V41" s="32"/>
      <c r="W41" s="116"/>
      <c r="X41" s="116"/>
      <c r="Y41" s="123"/>
      <c r="Z41" s="124"/>
      <c r="AB41" s="558" t="s">
        <v>9</v>
      </c>
      <c r="AC41" s="560">
        <f>PRODUCTION!C23</f>
        <v>0</v>
      </c>
      <c r="AD41" s="555">
        <f>PRODUCTION!D23</f>
        <v>0</v>
      </c>
      <c r="AE41" s="555">
        <f>PRODUCTION!E23</f>
        <v>0</v>
      </c>
      <c r="AF41" s="555">
        <f>'Saisie Commerciaux'!B16</f>
        <v>0</v>
      </c>
      <c r="AG41" s="555">
        <f>'Saisie Commerciaux'!C16</f>
        <v>0</v>
      </c>
      <c r="AH41" s="572">
        <f>'Saisie Commerciaux'!D16</f>
        <v>0</v>
      </c>
      <c r="AI41" s="560">
        <f>'Saisie Commerciaux'!B33</f>
        <v>0</v>
      </c>
      <c r="AJ41" s="555">
        <f>'Saisie Commerciaux'!C33</f>
        <v>0</v>
      </c>
      <c r="AK41" s="572">
        <f>'Saisie Commerciaux'!D33</f>
        <v>0</v>
      </c>
      <c r="AL41" s="560">
        <f>'Saisie Commerciaux'!B50</f>
        <v>0</v>
      </c>
      <c r="AM41" s="555">
        <f>'Saisie Commerciaux'!C50</f>
        <v>0</v>
      </c>
      <c r="AN41" s="561">
        <f>'Saisie Commerciaux'!D50</f>
        <v>0</v>
      </c>
    </row>
    <row r="42" spans="1:40" ht="16.5" thickBot="1" x14ac:dyDescent="0.3">
      <c r="A42" s="122"/>
      <c r="B42" s="42"/>
      <c r="C42" s="137"/>
      <c r="D42" s="43" t="s">
        <v>26</v>
      </c>
      <c r="E42" s="62" t="s">
        <v>38</v>
      </c>
      <c r="F42" s="50" t="s">
        <v>105</v>
      </c>
      <c r="G42" s="134" t="s">
        <v>106</v>
      </c>
      <c r="H42" s="79"/>
      <c r="I42" s="79"/>
      <c r="L42" s="122"/>
      <c r="M42" s="42"/>
      <c r="N42" s="42"/>
      <c r="O42" s="43" t="s">
        <v>26</v>
      </c>
      <c r="P42" s="62" t="s">
        <v>38</v>
      </c>
      <c r="Q42" s="42"/>
      <c r="R42" s="134"/>
      <c r="T42" s="122"/>
      <c r="U42" s="42"/>
      <c r="V42" s="938" t="s">
        <v>67</v>
      </c>
      <c r="W42" s="942"/>
      <c r="X42" s="939"/>
      <c r="Y42" s="123"/>
      <c r="Z42" s="124"/>
      <c r="AB42" s="558" t="s">
        <v>10</v>
      </c>
      <c r="AC42" s="560">
        <f>PRODUCTION!C24</f>
        <v>0</v>
      </c>
      <c r="AD42" s="555">
        <f>PRODUCTION!D24</f>
        <v>0</v>
      </c>
      <c r="AE42" s="555">
        <f>PRODUCTION!E24</f>
        <v>0</v>
      </c>
      <c r="AF42" s="555">
        <f>'Saisie Commerciaux'!B17</f>
        <v>0</v>
      </c>
      <c r="AG42" s="555">
        <f>'Saisie Commerciaux'!C17</f>
        <v>0</v>
      </c>
      <c r="AH42" s="572">
        <f>'Saisie Commerciaux'!D17</f>
        <v>0</v>
      </c>
      <c r="AI42" s="560">
        <f>'Saisie Commerciaux'!B34</f>
        <v>0</v>
      </c>
      <c r="AJ42" s="555">
        <f>'Saisie Commerciaux'!C34</f>
        <v>0</v>
      </c>
      <c r="AK42" s="572">
        <f>'Saisie Commerciaux'!D34</f>
        <v>0</v>
      </c>
      <c r="AL42" s="560">
        <f>'Saisie Commerciaux'!B51</f>
        <v>0</v>
      </c>
      <c r="AM42" s="555">
        <f>'Saisie Commerciaux'!C51</f>
        <v>0</v>
      </c>
      <c r="AN42" s="561">
        <f>'Saisie Commerciaux'!D51</f>
        <v>0</v>
      </c>
    </row>
    <row r="43" spans="1:40" ht="18.75" thickBot="1" x14ac:dyDescent="0.3">
      <c r="A43" s="122"/>
      <c r="B43" s="42"/>
      <c r="C43" s="63" t="s">
        <v>31</v>
      </c>
      <c r="D43" s="64" t="e">
        <f>SUM(D38/D39)</f>
        <v>#DIV/0!</v>
      </c>
      <c r="E43" s="64">
        <v>0.33329999999999999</v>
      </c>
      <c r="F43" s="42" t="e">
        <f>IF(D43&lt;=25%,3,IF(D43&lt;=70%,2,1))</f>
        <v>#DIV/0!</v>
      </c>
      <c r="G43" s="456" t="e">
        <f>CHOOSE(F43,$I$69,$I$70,$I$71)</f>
        <v>#DIV/0!</v>
      </c>
      <c r="H43" s="79"/>
      <c r="I43" s="79"/>
      <c r="L43" s="122"/>
      <c r="M43" s="42"/>
      <c r="N43" s="63" t="s">
        <v>31</v>
      </c>
      <c r="O43" s="64" t="e">
        <f>SUM(O38/O39)</f>
        <v>#DIV/0!</v>
      </c>
      <c r="P43" s="64">
        <v>0.33329999999999999</v>
      </c>
      <c r="Q43" s="42" t="e">
        <f>IF(O43&lt;=25%,3,IF(O43&lt;=70%,2,1))</f>
        <v>#DIV/0!</v>
      </c>
      <c r="R43" s="631" t="e">
        <f>CHOOSE(Q43,$I$69,$I$70,$I$71)</f>
        <v>#DIV/0!</v>
      </c>
      <c r="T43" s="122"/>
      <c r="U43" s="42"/>
      <c r="V43" s="120"/>
      <c r="W43" s="118" t="s">
        <v>26</v>
      </c>
      <c r="X43" s="118" t="s">
        <v>38</v>
      </c>
      <c r="Y43" s="123"/>
      <c r="Z43" s="124"/>
      <c r="AB43" s="558" t="s">
        <v>11</v>
      </c>
      <c r="AC43" s="560">
        <f>PRODUCTION!C25</f>
        <v>0</v>
      </c>
      <c r="AD43" s="555">
        <f>PRODUCTION!D25</f>
        <v>0</v>
      </c>
      <c r="AE43" s="555">
        <f>PRODUCTION!E25</f>
        <v>0</v>
      </c>
      <c r="AF43" s="555">
        <f>'Saisie Commerciaux'!B18</f>
        <v>0</v>
      </c>
      <c r="AG43" s="555">
        <f>'Saisie Commerciaux'!C18</f>
        <v>0</v>
      </c>
      <c r="AH43" s="572">
        <f>'Saisie Commerciaux'!D18</f>
        <v>0</v>
      </c>
      <c r="AI43" s="560">
        <f>'Saisie Commerciaux'!B35</f>
        <v>0</v>
      </c>
      <c r="AJ43" s="555">
        <f>'Saisie Commerciaux'!C35</f>
        <v>0</v>
      </c>
      <c r="AK43" s="572">
        <f>'Saisie Commerciaux'!D35</f>
        <v>0</v>
      </c>
      <c r="AL43" s="560">
        <f>'Saisie Commerciaux'!B52</f>
        <v>0</v>
      </c>
      <c r="AM43" s="555">
        <f>'Saisie Commerciaux'!C52</f>
        <v>0</v>
      </c>
      <c r="AN43" s="561">
        <f>'Saisie Commerciaux'!D52</f>
        <v>0</v>
      </c>
    </row>
    <row r="44" spans="1:40" ht="15.75" x14ac:dyDescent="0.25">
      <c r="A44" s="122"/>
      <c r="B44" s="42"/>
      <c r="C44" s="65" t="s">
        <v>30</v>
      </c>
      <c r="D44" s="71" t="e">
        <f>SUM(D45-D43)</f>
        <v>#DIV/0!</v>
      </c>
      <c r="E44" s="71">
        <v>0.33329999999999999</v>
      </c>
      <c r="F44" s="42"/>
      <c r="G44" s="136"/>
      <c r="H44" s="80"/>
      <c r="I44" s="80"/>
      <c r="L44" s="122"/>
      <c r="M44" s="42"/>
      <c r="N44" s="65" t="s">
        <v>30</v>
      </c>
      <c r="O44" s="71" t="e">
        <f>SUM(O45-O43)</f>
        <v>#DIV/0!</v>
      </c>
      <c r="P44" s="71">
        <v>0.33329999999999999</v>
      </c>
      <c r="Q44" s="42"/>
      <c r="R44" s="136"/>
      <c r="T44" s="122"/>
      <c r="U44" s="42"/>
      <c r="V44" s="108" t="s">
        <v>31</v>
      </c>
      <c r="W44" s="112" t="e">
        <f>SUM(W39/W40)</f>
        <v>#VALUE!</v>
      </c>
      <c r="X44" s="112">
        <v>0.33329999999999999</v>
      </c>
      <c r="Y44" s="123"/>
      <c r="Z44" s="124"/>
      <c r="AB44" s="558" t="s">
        <v>12</v>
      </c>
      <c r="AC44" s="560">
        <f>PRODUCTION!C26</f>
        <v>0</v>
      </c>
      <c r="AD44" s="555">
        <f>PRODUCTION!D26</f>
        <v>0</v>
      </c>
      <c r="AE44" s="555">
        <f>PRODUCTION!E26</f>
        <v>0</v>
      </c>
      <c r="AF44" s="555">
        <f>'Saisie Commerciaux'!B19</f>
        <v>0</v>
      </c>
      <c r="AG44" s="555">
        <f>'Saisie Commerciaux'!C19</f>
        <v>0</v>
      </c>
      <c r="AH44" s="572">
        <f>'Saisie Commerciaux'!D19</f>
        <v>0</v>
      </c>
      <c r="AI44" s="560">
        <f>'Saisie Commerciaux'!B36</f>
        <v>0</v>
      </c>
      <c r="AJ44" s="555">
        <f>'Saisie Commerciaux'!C36</f>
        <v>0</v>
      </c>
      <c r="AK44" s="572">
        <f>'Saisie Commerciaux'!D36</f>
        <v>0</v>
      </c>
      <c r="AL44" s="560">
        <f>'Saisie Commerciaux'!B53</f>
        <v>0</v>
      </c>
      <c r="AM44" s="555">
        <f>'Saisie Commerciaux'!C53</f>
        <v>0</v>
      </c>
      <c r="AN44" s="561">
        <f>'Saisie Commerciaux'!D53</f>
        <v>0</v>
      </c>
    </row>
    <row r="45" spans="1:40" ht="15.75" x14ac:dyDescent="0.25">
      <c r="A45" s="122"/>
      <c r="B45" s="42"/>
      <c r="C45" s="66" t="s">
        <v>29</v>
      </c>
      <c r="D45" s="71">
        <v>1</v>
      </c>
      <c r="E45" s="71">
        <v>0.33329999999999999</v>
      </c>
      <c r="F45" s="42"/>
      <c r="G45" s="133"/>
      <c r="H45" s="42"/>
      <c r="I45" s="42"/>
      <c r="L45" s="122"/>
      <c r="M45" s="42"/>
      <c r="N45" s="66" t="s">
        <v>29</v>
      </c>
      <c r="O45" s="71">
        <v>1</v>
      </c>
      <c r="P45" s="71">
        <v>0.33329999999999999</v>
      </c>
      <c r="Q45" s="42"/>
      <c r="R45" s="133"/>
      <c r="T45" s="122"/>
      <c r="U45" s="42"/>
      <c r="V45" s="109" t="s">
        <v>30</v>
      </c>
      <c r="W45" s="113" t="e">
        <f>SUM(W46-W44)</f>
        <v>#VALUE!</v>
      </c>
      <c r="X45" s="113">
        <v>0.33329999999999999</v>
      </c>
      <c r="Y45" s="123"/>
      <c r="Z45" s="124"/>
      <c r="AB45" s="558" t="s">
        <v>13</v>
      </c>
      <c r="AC45" s="560">
        <f>PRODUCTION!C27</f>
        <v>0</v>
      </c>
      <c r="AD45" s="555">
        <f>PRODUCTION!D27</f>
        <v>0</v>
      </c>
      <c r="AE45" s="555">
        <f>PRODUCTION!E27</f>
        <v>0</v>
      </c>
      <c r="AF45" s="555">
        <f>'Saisie Commerciaux'!B20</f>
        <v>0</v>
      </c>
      <c r="AG45" s="555">
        <f>'Saisie Commerciaux'!C20</f>
        <v>0</v>
      </c>
      <c r="AH45" s="572">
        <f>'Saisie Commerciaux'!D20</f>
        <v>0</v>
      </c>
      <c r="AI45" s="560">
        <f>'Saisie Commerciaux'!B37</f>
        <v>0</v>
      </c>
      <c r="AJ45" s="555">
        <f>'Saisie Commerciaux'!C37</f>
        <v>0</v>
      </c>
      <c r="AK45" s="572">
        <f>'Saisie Commerciaux'!D37</f>
        <v>0</v>
      </c>
      <c r="AL45" s="560">
        <f>'Saisie Commerciaux'!B54</f>
        <v>0</v>
      </c>
      <c r="AM45" s="555">
        <f>'Saisie Commerciaux'!C54</f>
        <v>0</v>
      </c>
      <c r="AN45" s="561">
        <f>'Saisie Commerciaux'!D54</f>
        <v>0</v>
      </c>
    </row>
    <row r="46" spans="1:40" ht="16.5" thickBot="1" x14ac:dyDescent="0.3">
      <c r="A46" s="122"/>
      <c r="B46" s="42"/>
      <c r="C46" s="67"/>
      <c r="D46" s="68"/>
      <c r="E46" s="68">
        <v>0.99990000000000001</v>
      </c>
      <c r="F46" s="42"/>
      <c r="G46" s="133"/>
      <c r="H46" s="50"/>
      <c r="I46" s="50"/>
      <c r="L46" s="122"/>
      <c r="M46" s="42"/>
      <c r="N46" s="67"/>
      <c r="O46" s="68"/>
      <c r="P46" s="68">
        <v>0.99990000000000001</v>
      </c>
      <c r="Q46" s="42"/>
      <c r="R46" s="133"/>
      <c r="T46" s="122"/>
      <c r="U46" s="42"/>
      <c r="V46" s="110" t="s">
        <v>29</v>
      </c>
      <c r="W46" s="113">
        <v>1</v>
      </c>
      <c r="X46" s="113">
        <v>0.33329999999999999</v>
      </c>
      <c r="Y46" s="123"/>
      <c r="Z46" s="124"/>
      <c r="AB46" s="558" t="s">
        <v>2</v>
      </c>
      <c r="AC46" s="560">
        <f>PRODUCTION!C28</f>
        <v>0</v>
      </c>
      <c r="AD46" s="555">
        <f>PRODUCTION!D28</f>
        <v>0</v>
      </c>
      <c r="AE46" s="555">
        <f>PRODUCTION!E28</f>
        <v>0</v>
      </c>
      <c r="AF46" s="555">
        <f>'Saisie Commerciaux'!B21</f>
        <v>0</v>
      </c>
      <c r="AG46" s="555">
        <f>'Saisie Commerciaux'!C21</f>
        <v>0</v>
      </c>
      <c r="AH46" s="572">
        <f>'Saisie Commerciaux'!D21</f>
        <v>0</v>
      </c>
      <c r="AI46" s="560">
        <f>'Saisie Commerciaux'!B38</f>
        <v>0</v>
      </c>
      <c r="AJ46" s="555">
        <f>'Saisie Commerciaux'!C38</f>
        <v>0</v>
      </c>
      <c r="AK46" s="572">
        <f>'Saisie Commerciaux'!D38</f>
        <v>0</v>
      </c>
      <c r="AL46" s="560">
        <f>'Saisie Commerciaux'!B55</f>
        <v>0</v>
      </c>
      <c r="AM46" s="555">
        <f>'Saisie Commerciaux'!C55</f>
        <v>0</v>
      </c>
      <c r="AN46" s="561">
        <f>'Saisie Commerciaux'!D55</f>
        <v>0</v>
      </c>
    </row>
    <row r="47" spans="1:40" ht="16.5" thickBot="1" x14ac:dyDescent="0.3">
      <c r="A47" s="122"/>
      <c r="B47" s="42"/>
      <c r="C47" s="50"/>
      <c r="D47" s="80"/>
      <c r="E47" s="80"/>
      <c r="F47" s="42"/>
      <c r="G47" s="134"/>
      <c r="H47" s="78"/>
      <c r="I47" s="78"/>
      <c r="L47" s="122"/>
      <c r="M47" s="42"/>
      <c r="N47" s="50"/>
      <c r="O47" s="80"/>
      <c r="P47" s="80"/>
      <c r="Q47" s="42"/>
      <c r="R47" s="134"/>
      <c r="T47" s="122"/>
      <c r="U47" s="42"/>
      <c r="V47" s="111"/>
      <c r="W47" s="115"/>
      <c r="X47" s="115">
        <v>0.99990000000000001</v>
      </c>
      <c r="Y47" s="123"/>
      <c r="Z47" s="124"/>
      <c r="AB47" s="558" t="s">
        <v>3</v>
      </c>
      <c r="AC47" s="560">
        <f>PRODUCTION!C29</f>
        <v>0</v>
      </c>
      <c r="AD47" s="555">
        <f>PRODUCTION!D29</f>
        <v>0</v>
      </c>
      <c r="AE47" s="555">
        <f>PRODUCTION!E29</f>
        <v>0</v>
      </c>
      <c r="AF47" s="555">
        <f>'Saisie Commerciaux'!B22</f>
        <v>0</v>
      </c>
      <c r="AG47" s="555">
        <f>'Saisie Commerciaux'!C22</f>
        <v>0</v>
      </c>
      <c r="AH47" s="572">
        <f>'Saisie Commerciaux'!D22</f>
        <v>0</v>
      </c>
      <c r="AI47" s="560">
        <f>'Saisie Commerciaux'!B39</f>
        <v>0</v>
      </c>
      <c r="AJ47" s="555">
        <f>'Saisie Commerciaux'!C39</f>
        <v>0</v>
      </c>
      <c r="AK47" s="572">
        <f>'Saisie Commerciaux'!D39</f>
        <v>0</v>
      </c>
      <c r="AL47" s="560">
        <f>'Saisie Commerciaux'!B56</f>
        <v>0</v>
      </c>
      <c r="AM47" s="555">
        <f>'Saisie Commerciaux'!C56</f>
        <v>0</v>
      </c>
      <c r="AN47" s="561">
        <f>'Saisie Commerciaux'!D56</f>
        <v>0</v>
      </c>
    </row>
    <row r="48" spans="1:40" ht="16.5" thickBot="1" x14ac:dyDescent="0.3">
      <c r="A48" s="122"/>
      <c r="B48" s="42"/>
      <c r="C48" s="938" t="s">
        <v>68</v>
      </c>
      <c r="D48" s="942"/>
      <c r="E48" s="939"/>
      <c r="F48" s="42"/>
      <c r="G48" s="134"/>
      <c r="H48" s="79"/>
      <c r="I48" s="79"/>
      <c r="L48" s="122"/>
      <c r="M48" s="42"/>
      <c r="N48" s="938" t="s">
        <v>68</v>
      </c>
      <c r="O48" s="942"/>
      <c r="P48" s="939"/>
      <c r="Q48" s="42"/>
      <c r="R48" s="134"/>
      <c r="T48" s="122"/>
      <c r="U48" s="42"/>
      <c r="V48" s="73"/>
      <c r="W48" s="119"/>
      <c r="X48" s="119"/>
      <c r="Y48" s="123"/>
      <c r="Z48" s="124"/>
      <c r="AB48" s="558" t="s">
        <v>4</v>
      </c>
      <c r="AC48" s="560">
        <f>PRODUCTION!C30</f>
        <v>0</v>
      </c>
      <c r="AD48" s="555">
        <f>PRODUCTION!D30</f>
        <v>0</v>
      </c>
      <c r="AE48" s="555">
        <f>PRODUCTION!E30</f>
        <v>0</v>
      </c>
      <c r="AF48" s="555">
        <f>'Saisie Commerciaux'!B23</f>
        <v>0</v>
      </c>
      <c r="AG48" s="555">
        <f>'Saisie Commerciaux'!C23</f>
        <v>0</v>
      </c>
      <c r="AH48" s="572">
        <f>'Saisie Commerciaux'!D23</f>
        <v>0</v>
      </c>
      <c r="AI48" s="560">
        <f>'Saisie Commerciaux'!B40</f>
        <v>0</v>
      </c>
      <c r="AJ48" s="555">
        <f>'Saisie Commerciaux'!C40</f>
        <v>0</v>
      </c>
      <c r="AK48" s="572">
        <f>'Saisie Commerciaux'!D40</f>
        <v>0</v>
      </c>
      <c r="AL48" s="560">
        <f>'Saisie Commerciaux'!B57</f>
        <v>0</v>
      </c>
      <c r="AM48" s="555">
        <f>'Saisie Commerciaux'!C57</f>
        <v>0</v>
      </c>
      <c r="AN48" s="561">
        <f>'Saisie Commerciaux'!D57</f>
        <v>0</v>
      </c>
    </row>
    <row r="49" spans="1:53" ht="16.5" thickBot="1" x14ac:dyDescent="0.3">
      <c r="A49" s="122"/>
      <c r="B49" s="42"/>
      <c r="C49" s="137"/>
      <c r="D49" s="43" t="s">
        <v>26</v>
      </c>
      <c r="E49" s="62" t="s">
        <v>38</v>
      </c>
      <c r="F49" s="42"/>
      <c r="G49" s="135"/>
      <c r="H49" s="79"/>
      <c r="I49" s="79"/>
      <c r="L49" s="122"/>
      <c r="M49" s="42"/>
      <c r="N49" s="46"/>
      <c r="O49" s="43" t="s">
        <v>26</v>
      </c>
      <c r="P49" s="62" t="s">
        <v>38</v>
      </c>
      <c r="Q49" s="42"/>
      <c r="R49" s="135"/>
      <c r="T49" s="122"/>
      <c r="U49" s="42"/>
      <c r="V49" s="938" t="s">
        <v>68</v>
      </c>
      <c r="W49" s="942"/>
      <c r="X49" s="939"/>
      <c r="Y49" s="123"/>
      <c r="Z49" s="124"/>
      <c r="AB49" s="559" t="s">
        <v>5</v>
      </c>
      <c r="AC49" s="562">
        <f>PRODUCTION!C31</f>
        <v>0</v>
      </c>
      <c r="AD49" s="556">
        <f>PRODUCTION!D31</f>
        <v>0</v>
      </c>
      <c r="AE49" s="556">
        <f>PRODUCTION!E31</f>
        <v>0</v>
      </c>
      <c r="AF49" s="556">
        <f>'Saisie Commerciaux'!B24</f>
        <v>0</v>
      </c>
      <c r="AG49" s="556">
        <f>'Saisie Commerciaux'!C24</f>
        <v>0</v>
      </c>
      <c r="AH49" s="573">
        <f>'Saisie Commerciaux'!D24</f>
        <v>0</v>
      </c>
      <c r="AI49" s="562">
        <f>'Saisie Commerciaux'!B41</f>
        <v>0</v>
      </c>
      <c r="AJ49" s="556">
        <f>'Saisie Commerciaux'!C41</f>
        <v>0</v>
      </c>
      <c r="AK49" s="573">
        <f>'Saisie Commerciaux'!D41</f>
        <v>0</v>
      </c>
      <c r="AL49" s="562">
        <f>'Saisie Commerciaux'!B58</f>
        <v>0</v>
      </c>
      <c r="AM49" s="556">
        <f>'Saisie Commerciaux'!C58</f>
        <v>0</v>
      </c>
      <c r="AN49" s="563">
        <f>'Saisie Commerciaux'!D58</f>
        <v>0</v>
      </c>
    </row>
    <row r="50" spans="1:53" ht="16.5" thickBot="1" x14ac:dyDescent="0.3">
      <c r="A50" s="122"/>
      <c r="B50" s="42"/>
      <c r="C50" s="63" t="s">
        <v>31</v>
      </c>
      <c r="D50" s="64" t="e">
        <f ca="1">SUM(E38/E39)</f>
        <v>#DIV/0!</v>
      </c>
      <c r="E50" s="64">
        <v>0.33329999999999999</v>
      </c>
      <c r="F50" s="42"/>
      <c r="G50" s="136"/>
      <c r="H50" s="80"/>
      <c r="I50" s="80"/>
      <c r="L50" s="122"/>
      <c r="M50" s="42"/>
      <c r="N50" s="63" t="s">
        <v>31</v>
      </c>
      <c r="O50" s="64" t="e">
        <f ca="1">SUM(P38/P39)</f>
        <v>#DIV/0!</v>
      </c>
      <c r="P50" s="64">
        <v>0.33329999999999999</v>
      </c>
      <c r="Q50" s="42"/>
      <c r="R50" s="136"/>
      <c r="T50" s="122"/>
      <c r="U50" s="42"/>
      <c r="V50" s="121"/>
      <c r="W50" s="118" t="s">
        <v>26</v>
      </c>
      <c r="X50" s="118" t="s">
        <v>38</v>
      </c>
      <c r="Y50" s="123"/>
      <c r="Z50" s="124"/>
      <c r="AB50" s="294"/>
      <c r="AC50" s="593">
        <f ca="1">SUM(OFFSET(AC38,0,0,MATCH('Tableau de Bord commerciaux'!C10,calculs!AB38:AB49,0)))</f>
        <v>0</v>
      </c>
      <c r="AD50" s="593">
        <f ca="1">SUM(OFFSET(AD38,0,0,MATCH('Tableau de Bord commerciaux'!C10,calculs!AB38:AB49,0)))</f>
        <v>0</v>
      </c>
      <c r="AE50" s="593">
        <f ca="1">SUM(OFFSET(AE38,0,0,MATCH('Tableau de Bord commerciaux'!C10,calculs!AB38:AB49,0)))</f>
        <v>0</v>
      </c>
      <c r="AF50" s="593">
        <f ca="1">SUM(OFFSET(AF38,0,0,MATCH('Tableau de Bord commerciaux'!C10,calculs!AB38:AB49,0)))</f>
        <v>0</v>
      </c>
      <c r="AG50" s="593">
        <f ca="1">SUM(OFFSET(AG38,0,0,MATCH('Tableau de Bord commerciaux'!C10,calculs!AB38:AB49,0)))</f>
        <v>0</v>
      </c>
      <c r="AH50" s="593">
        <f ca="1">SUM(OFFSET(AH38,0,0,MATCH('Tableau de Bord commerciaux'!C10,calculs!AB38:AB49,0)))</f>
        <v>0</v>
      </c>
      <c r="AI50" s="593">
        <f ca="1">SUM(OFFSET(AI38,0,0,MATCH('Tableau de Bord commerciaux'!C10,calculs!AB38:AB49,0)))</f>
        <v>0</v>
      </c>
      <c r="AJ50" s="593">
        <f ca="1">SUM(OFFSET(AJ38,0,0,MATCH('Tableau de Bord commerciaux'!C10,calculs!AB38:AB49,0)))</f>
        <v>0</v>
      </c>
      <c r="AK50" s="593">
        <f ca="1">SUM(OFFSET(AK38,0,0,MATCH('Tableau de Bord commerciaux'!C10,calculs!AB38:AB49,0)))</f>
        <v>0</v>
      </c>
      <c r="AL50" s="593">
        <f ca="1">SUM(OFFSET(AL38,0,0,MATCH('Tableau de Bord commerciaux'!C10,calculs!AB38:AB49,0)))</f>
        <v>0</v>
      </c>
      <c r="AM50" s="593">
        <f ca="1">SUM(OFFSET(AM38,0,0,MATCH('Tableau de Bord commerciaux'!C10,calculs!AB38:AB49,0)))</f>
        <v>0</v>
      </c>
      <c r="AN50" s="593">
        <f ca="1">SUM(OFFSET(AN38,0,0,MATCH('Tableau de Bord commerciaux'!C10,calculs!AB38:AB49,0)))</f>
        <v>0</v>
      </c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</row>
    <row r="51" spans="1:53" ht="16.5" thickBot="1" x14ac:dyDescent="0.3">
      <c r="A51" s="122"/>
      <c r="B51" s="3"/>
      <c r="C51" s="65" t="s">
        <v>30</v>
      </c>
      <c r="D51" s="71" t="e">
        <f ca="1">SUM(D52-D50)</f>
        <v>#DIV/0!</v>
      </c>
      <c r="E51" s="71">
        <v>0.33329999999999999</v>
      </c>
      <c r="F51" s="123"/>
      <c r="G51" s="124"/>
      <c r="L51" s="122"/>
      <c r="M51" s="3"/>
      <c r="N51" s="65" t="s">
        <v>30</v>
      </c>
      <c r="O51" s="71" t="e">
        <f ca="1">SUM(O52-O50)</f>
        <v>#DIV/0!</v>
      </c>
      <c r="P51" s="71">
        <v>0.33329999999999999</v>
      </c>
      <c r="Q51" s="123"/>
      <c r="R51" s="124"/>
      <c r="T51" s="122"/>
      <c r="U51" s="42"/>
      <c r="V51" s="108" t="s">
        <v>31</v>
      </c>
      <c r="W51" s="112" t="e">
        <f ca="1">SUM(X39/X40)</f>
        <v>#REF!</v>
      </c>
      <c r="X51" s="99">
        <v>0.33329999999999999</v>
      </c>
      <c r="Y51" s="123"/>
      <c r="Z51" s="124"/>
      <c r="AB51" s="294"/>
      <c r="AP51" s="295"/>
      <c r="AQ51" s="295"/>
      <c r="AR51" s="295"/>
      <c r="AS51" s="574"/>
      <c r="AT51" s="574"/>
      <c r="AU51" s="574"/>
      <c r="AV51" s="574"/>
      <c r="AW51" s="574"/>
      <c r="AX51" s="574"/>
      <c r="AY51" s="574"/>
      <c r="AZ51" s="574"/>
      <c r="BA51" s="574"/>
    </row>
    <row r="52" spans="1:53" x14ac:dyDescent="0.25">
      <c r="A52" s="122"/>
      <c r="B52" s="3"/>
      <c r="C52" s="66" t="s">
        <v>29</v>
      </c>
      <c r="D52" s="71">
        <v>1</v>
      </c>
      <c r="E52" s="71">
        <v>0.33329999999999999</v>
      </c>
      <c r="F52" s="123"/>
      <c r="G52" s="124"/>
      <c r="L52" s="122"/>
      <c r="M52" s="3"/>
      <c r="N52" s="66" t="s">
        <v>29</v>
      </c>
      <c r="O52" s="71">
        <v>1</v>
      </c>
      <c r="P52" s="71">
        <v>0.33329999999999999</v>
      </c>
      <c r="Q52" s="123"/>
      <c r="R52" s="124"/>
      <c r="T52" s="122"/>
      <c r="U52" s="42"/>
      <c r="V52" s="109" t="s">
        <v>30</v>
      </c>
      <c r="W52" s="113" t="e">
        <f ca="1">SUM(W53-W51)</f>
        <v>#REF!</v>
      </c>
      <c r="X52" s="100">
        <v>0.33329999999999999</v>
      </c>
      <c r="Y52" s="123"/>
      <c r="Z52" s="124"/>
      <c r="AB52" s="294"/>
      <c r="AC52" s="934" t="s">
        <v>39</v>
      </c>
      <c r="AD52" s="932"/>
      <c r="AE52" s="967"/>
      <c r="AF52" s="934" t="str">
        <f>AB31</f>
        <v>Commercial 1</v>
      </c>
      <c r="AG52" s="932"/>
      <c r="AH52" s="933"/>
      <c r="AI52" s="932" t="str">
        <f>AB32</f>
        <v>Commercial 2</v>
      </c>
      <c r="AJ52" s="932"/>
      <c r="AK52" s="933"/>
      <c r="AL52" s="932" t="str">
        <f>AB33</f>
        <v>COMMERCIAL 3</v>
      </c>
      <c r="AM52" s="932"/>
      <c r="AN52" s="933"/>
    </row>
    <row r="53" spans="1:53" ht="16.5" thickBot="1" x14ac:dyDescent="0.3">
      <c r="A53" s="122"/>
      <c r="B53" s="3"/>
      <c r="C53" s="67"/>
      <c r="D53" s="68"/>
      <c r="E53" s="68">
        <v>0.99990000000000001</v>
      </c>
      <c r="F53" s="123"/>
      <c r="G53" s="124"/>
      <c r="L53" s="122"/>
      <c r="M53" s="3"/>
      <c r="N53" s="67"/>
      <c r="O53" s="68"/>
      <c r="P53" s="68">
        <v>0.99990000000000001</v>
      </c>
      <c r="Q53" s="123"/>
      <c r="R53" s="124"/>
      <c r="T53" s="122"/>
      <c r="U53" s="42"/>
      <c r="V53" s="110" t="s">
        <v>29</v>
      </c>
      <c r="W53" s="113">
        <v>1</v>
      </c>
      <c r="X53" s="100">
        <v>0.33329999999999999</v>
      </c>
      <c r="Y53" s="123"/>
      <c r="Z53" s="124"/>
      <c r="AC53" s="583" t="s">
        <v>47</v>
      </c>
      <c r="AD53" s="584" t="s">
        <v>48</v>
      </c>
      <c r="AE53" s="611" t="s">
        <v>16</v>
      </c>
      <c r="AF53" s="612" t="s">
        <v>14</v>
      </c>
      <c r="AG53" s="585" t="s">
        <v>15</v>
      </c>
      <c r="AH53" s="586" t="s">
        <v>16</v>
      </c>
      <c r="AI53" s="576" t="s">
        <v>14</v>
      </c>
      <c r="AJ53" s="570" t="s">
        <v>15</v>
      </c>
      <c r="AK53" s="571" t="s">
        <v>16</v>
      </c>
      <c r="AL53" s="569" t="s">
        <v>14</v>
      </c>
      <c r="AM53" s="570" t="s">
        <v>15</v>
      </c>
      <c r="AN53" s="571" t="s">
        <v>16</v>
      </c>
    </row>
    <row r="54" spans="1:53" ht="16.5" thickBot="1" x14ac:dyDescent="0.3">
      <c r="A54" s="125"/>
      <c r="B54" s="126"/>
      <c r="C54" s="127"/>
      <c r="D54" s="127"/>
      <c r="E54" s="127"/>
      <c r="F54" s="127"/>
      <c r="G54" s="128"/>
      <c r="L54" s="125"/>
      <c r="M54" s="126"/>
      <c r="N54" s="127"/>
      <c r="O54" s="127"/>
      <c r="P54" s="127"/>
      <c r="Q54" s="127"/>
      <c r="R54" s="128"/>
      <c r="T54" s="122"/>
      <c r="U54" s="3"/>
      <c r="V54" s="111"/>
      <c r="W54" s="114"/>
      <c r="X54" s="101">
        <v>0.99990000000000001</v>
      </c>
      <c r="Y54" s="123"/>
      <c r="Z54" s="124"/>
      <c r="AB54" s="564" t="s">
        <v>6</v>
      </c>
      <c r="AC54" s="565">
        <f>AC38</f>
        <v>0</v>
      </c>
      <c r="AD54" s="566">
        <f t="shared" ref="AD54:AE54" si="0">AD38</f>
        <v>0</v>
      </c>
      <c r="AE54" s="568">
        <f t="shared" si="0"/>
        <v>0</v>
      </c>
      <c r="AF54" s="588" t="e">
        <f>AF38/AC54</f>
        <v>#DIV/0!</v>
      </c>
      <c r="AG54" s="575" t="e">
        <f t="shared" ref="AG54:AH54" si="1">AG38/AD54</f>
        <v>#DIV/0!</v>
      </c>
      <c r="AH54" s="582" t="e">
        <f t="shared" si="1"/>
        <v>#DIV/0!</v>
      </c>
      <c r="AI54" s="588" t="e">
        <f>SUM(AI38/AC54)</f>
        <v>#DIV/0!</v>
      </c>
      <c r="AJ54" s="575" t="e">
        <f>SUM(AJ38/AD54)</f>
        <v>#DIV/0!</v>
      </c>
      <c r="AK54" s="582" t="e">
        <f>SUM(AK38/AE54)</f>
        <v>#DIV/0!</v>
      </c>
      <c r="AL54" s="588" t="e">
        <f>AL38/AC54</f>
        <v>#DIV/0!</v>
      </c>
      <c r="AM54" s="575" t="e">
        <f>AM38/AD54</f>
        <v>#DIV/0!</v>
      </c>
      <c r="AN54" s="582" t="e">
        <f>AN38/AE54</f>
        <v>#DIV/0!</v>
      </c>
    </row>
    <row r="55" spans="1:53" ht="16.5" thickBot="1" x14ac:dyDescent="0.3">
      <c r="T55" s="125"/>
      <c r="U55" s="126"/>
      <c r="V55" s="127"/>
      <c r="W55" s="127"/>
      <c r="X55" s="127"/>
      <c r="Y55" s="127"/>
      <c r="Z55" s="128"/>
      <c r="AB55" s="557" t="s">
        <v>7</v>
      </c>
      <c r="AC55" s="560">
        <f t="shared" ref="AC55:AE55" si="2">AC39</f>
        <v>0</v>
      </c>
      <c r="AD55" s="555">
        <f t="shared" si="2"/>
        <v>0</v>
      </c>
      <c r="AE55" s="572">
        <f t="shared" si="2"/>
        <v>0</v>
      </c>
      <c r="AF55" s="589" t="e">
        <f t="shared" ref="AF55:AF65" si="3">AF39/AC55</f>
        <v>#DIV/0!</v>
      </c>
      <c r="AG55" s="578" t="e">
        <f t="shared" ref="AG55:AG65" si="4">AG39/AD55</f>
        <v>#DIV/0!</v>
      </c>
      <c r="AH55" s="579" t="e">
        <f t="shared" ref="AH55:AH65" si="5">AH39/AE55</f>
        <v>#DIV/0!</v>
      </c>
      <c r="AI55" s="589" t="e">
        <f t="shared" ref="AI55:AI65" si="6">SUM(AI39/AC55)</f>
        <v>#DIV/0!</v>
      </c>
      <c r="AJ55" s="578" t="e">
        <f t="shared" ref="AJ55:AJ65" si="7">SUM(AJ39/AD55)</f>
        <v>#DIV/0!</v>
      </c>
      <c r="AK55" s="579" t="e">
        <f t="shared" ref="AK55:AK65" si="8">SUM(AK39/AE55)</f>
        <v>#DIV/0!</v>
      </c>
      <c r="AL55" s="589" t="e">
        <f t="shared" ref="AL55:AL65" si="9">AL39/AC55</f>
        <v>#DIV/0!</v>
      </c>
      <c r="AM55" s="578" t="e">
        <f t="shared" ref="AM55:AM65" si="10">AM39/AD55</f>
        <v>#DIV/0!</v>
      </c>
      <c r="AN55" s="579" t="e">
        <f t="shared" ref="AN55:AN65" si="11">AN39/AE55</f>
        <v>#DIV/0!</v>
      </c>
    </row>
    <row r="56" spans="1:53" ht="21.75" thickBot="1" x14ac:dyDescent="0.4">
      <c r="A56" s="954" t="s">
        <v>0</v>
      </c>
      <c r="B56" s="955"/>
      <c r="C56" s="955"/>
      <c r="D56" s="955"/>
      <c r="E56" s="955"/>
      <c r="F56" s="955"/>
      <c r="G56" s="956"/>
      <c r="L56" s="954" t="s">
        <v>1</v>
      </c>
      <c r="M56" s="955"/>
      <c r="N56" s="955"/>
      <c r="O56" s="955"/>
      <c r="P56" s="955"/>
      <c r="Q56" s="955"/>
      <c r="R56" s="956"/>
      <c r="AB56" s="558" t="s">
        <v>8</v>
      </c>
      <c r="AC56" s="560">
        <f t="shared" ref="AC56:AE56" si="12">AC40</f>
        <v>0</v>
      </c>
      <c r="AD56" s="555">
        <f t="shared" si="12"/>
        <v>0</v>
      </c>
      <c r="AE56" s="572">
        <f t="shared" si="12"/>
        <v>0</v>
      </c>
      <c r="AF56" s="589" t="e">
        <f t="shared" si="3"/>
        <v>#DIV/0!</v>
      </c>
      <c r="AG56" s="578" t="e">
        <f t="shared" si="4"/>
        <v>#DIV/0!</v>
      </c>
      <c r="AH56" s="579" t="e">
        <f t="shared" si="5"/>
        <v>#DIV/0!</v>
      </c>
      <c r="AI56" s="589" t="e">
        <f t="shared" si="6"/>
        <v>#DIV/0!</v>
      </c>
      <c r="AJ56" s="578" t="e">
        <f t="shared" si="7"/>
        <v>#DIV/0!</v>
      </c>
      <c r="AK56" s="579" t="e">
        <f t="shared" si="8"/>
        <v>#DIV/0!</v>
      </c>
      <c r="AL56" s="589" t="e">
        <f t="shared" si="9"/>
        <v>#DIV/0!</v>
      </c>
      <c r="AM56" s="578" t="e">
        <f t="shared" si="10"/>
        <v>#DIV/0!</v>
      </c>
      <c r="AN56" s="579" t="e">
        <f t="shared" si="11"/>
        <v>#DIV/0!</v>
      </c>
    </row>
    <row r="57" spans="1:53" ht="16.5" thickBot="1" x14ac:dyDescent="0.3">
      <c r="A57" s="122"/>
      <c r="B57" s="42"/>
      <c r="C57" s="53" t="s">
        <v>15</v>
      </c>
      <c r="D57" s="952" t="s">
        <v>16</v>
      </c>
      <c r="E57" s="953"/>
      <c r="F57" s="53" t="s">
        <v>24</v>
      </c>
      <c r="G57" s="133"/>
      <c r="L57" s="122"/>
      <c r="M57" s="42"/>
      <c r="N57" s="53" t="s">
        <v>15</v>
      </c>
      <c r="O57" s="952" t="s">
        <v>16</v>
      </c>
      <c r="P57" s="953"/>
      <c r="Q57" s="53" t="s">
        <v>24</v>
      </c>
      <c r="R57" s="133"/>
      <c r="T57" s="947" t="s">
        <v>71</v>
      </c>
      <c r="U57" s="948"/>
      <c r="W57" s="151" t="s">
        <v>73</v>
      </c>
      <c r="AB57" s="558" t="s">
        <v>9</v>
      </c>
      <c r="AC57" s="560">
        <f t="shared" ref="AC57:AE57" si="13">AC41</f>
        <v>0</v>
      </c>
      <c r="AD57" s="555">
        <f t="shared" si="13"/>
        <v>0</v>
      </c>
      <c r="AE57" s="572">
        <f t="shared" si="13"/>
        <v>0</v>
      </c>
      <c r="AF57" s="589" t="e">
        <f t="shared" si="3"/>
        <v>#DIV/0!</v>
      </c>
      <c r="AG57" s="578" t="e">
        <f t="shared" si="4"/>
        <v>#DIV/0!</v>
      </c>
      <c r="AH57" s="579" t="e">
        <f t="shared" si="5"/>
        <v>#DIV/0!</v>
      </c>
      <c r="AI57" s="589" t="e">
        <f t="shared" si="6"/>
        <v>#DIV/0!</v>
      </c>
      <c r="AJ57" s="578" t="e">
        <f t="shared" si="7"/>
        <v>#DIV/0!</v>
      </c>
      <c r="AK57" s="579" t="e">
        <f t="shared" si="8"/>
        <v>#DIV/0!</v>
      </c>
      <c r="AL57" s="589" t="e">
        <f t="shared" si="9"/>
        <v>#DIV/0!</v>
      </c>
      <c r="AM57" s="578" t="e">
        <f t="shared" si="10"/>
        <v>#DIV/0!</v>
      </c>
      <c r="AN57" s="579" t="e">
        <f t="shared" si="11"/>
        <v>#DIV/0!</v>
      </c>
    </row>
    <row r="58" spans="1:53" ht="16.5" thickBot="1" x14ac:dyDescent="0.3">
      <c r="A58" s="122"/>
      <c r="B58" s="42"/>
      <c r="C58" s="129">
        <f>IFERROR(VLOOKUP('TABLEAU DE BORD ATELIER'!$C$10,ATELIER!B17:I31,3,FALSE),"")</f>
        <v>0</v>
      </c>
      <c r="D58" s="129">
        <f>IFERROR(VLOOKUP('TABLEAU DE BORD ATELIER'!$C$10,ATELIER!B17:I31,4,FALSE),"")</f>
        <v>0</v>
      </c>
      <c r="E58" s="129">
        <f>D58</f>
        <v>0</v>
      </c>
      <c r="F58" s="130" t="e">
        <f>SUM(D58-C58)/C58</f>
        <v>#DIV/0!</v>
      </c>
      <c r="G58" s="133" t="e">
        <f>IF(F58&lt;=0%,3,IF(F58&lt;=5%,2,1))</f>
        <v>#DIV/0!</v>
      </c>
      <c r="L58" s="122"/>
      <c r="M58" s="42"/>
      <c r="N58" s="129">
        <f>IFERROR(VLOOKUP('TABLEAU DE BORD MAGASINS'!$C$10,MAGASINS!B17:I31,3,FALSE),"")</f>
        <v>0</v>
      </c>
      <c r="O58" s="129">
        <f>IFERROR(VLOOKUP('TABLEAU DE BORD MAGASINS'!$C$10,MAGASINS!B17:I31,4,FALSE),"")</f>
        <v>0</v>
      </c>
      <c r="P58" s="129">
        <f>O58</f>
        <v>0</v>
      </c>
      <c r="Q58" s="130" t="e">
        <f>SUM(O58-N58)/N58</f>
        <v>#DIV/0!</v>
      </c>
      <c r="R58" s="634" t="e">
        <f>IF(Q58&lt;=0%,3,IF(Q58&lt;=5%,2,1))</f>
        <v>#DIV/0!</v>
      </c>
      <c r="T58" s="43" t="s">
        <v>56</v>
      </c>
      <c r="U58" s="141">
        <v>3</v>
      </c>
      <c r="W58" s="146" t="s">
        <v>63</v>
      </c>
      <c r="AB58" s="558" t="s">
        <v>10</v>
      </c>
      <c r="AC58" s="560">
        <f t="shared" ref="AC58:AE58" si="14">AC42</f>
        <v>0</v>
      </c>
      <c r="AD58" s="555">
        <f t="shared" si="14"/>
        <v>0</v>
      </c>
      <c r="AE58" s="572">
        <f t="shared" si="14"/>
        <v>0</v>
      </c>
      <c r="AF58" s="589" t="e">
        <f t="shared" si="3"/>
        <v>#DIV/0!</v>
      </c>
      <c r="AG58" s="578" t="e">
        <f t="shared" si="4"/>
        <v>#DIV/0!</v>
      </c>
      <c r="AH58" s="579" t="e">
        <f t="shared" si="5"/>
        <v>#DIV/0!</v>
      </c>
      <c r="AI58" s="589" t="e">
        <f t="shared" si="6"/>
        <v>#DIV/0!</v>
      </c>
      <c r="AJ58" s="578" t="e">
        <f t="shared" si="7"/>
        <v>#DIV/0!</v>
      </c>
      <c r="AK58" s="579" t="e">
        <f t="shared" si="8"/>
        <v>#DIV/0!</v>
      </c>
      <c r="AL58" s="589" t="e">
        <f t="shared" si="9"/>
        <v>#DIV/0!</v>
      </c>
      <c r="AM58" s="578" t="e">
        <f t="shared" si="10"/>
        <v>#DIV/0!</v>
      </c>
      <c r="AN58" s="579" t="e">
        <f t="shared" si="11"/>
        <v>#DIV/0!</v>
      </c>
    </row>
    <row r="59" spans="1:53" ht="18.75" thickBot="1" x14ac:dyDescent="0.3">
      <c r="A59" s="122"/>
      <c r="B59" s="88" t="s">
        <v>22</v>
      </c>
      <c r="C59" s="131" t="str">
        <f>IF(D58&gt;C58,"p","q")</f>
        <v>q</v>
      </c>
      <c r="D59" s="132" t="s">
        <v>23</v>
      </c>
      <c r="E59" s="46"/>
      <c r="F59" s="90"/>
      <c r="G59" s="629" t="e">
        <f>CHOOSE(G58,$I$69,$I$70,$I$71)</f>
        <v>#DIV/0!</v>
      </c>
      <c r="L59" s="122"/>
      <c r="M59" s="88" t="s">
        <v>22</v>
      </c>
      <c r="N59" s="131" t="str">
        <f>IF(O58&gt;N58,"p","q")</f>
        <v>q</v>
      </c>
      <c r="O59" s="132" t="s">
        <v>23</v>
      </c>
      <c r="P59" s="46"/>
      <c r="Q59" s="90"/>
      <c r="R59" s="630" t="e">
        <f>CHOOSE(R58,$I$69,$I$70,$I$71)</f>
        <v>#DIV/0!</v>
      </c>
      <c r="T59" s="949" t="s">
        <v>52</v>
      </c>
      <c r="U59" s="140" t="s">
        <v>53</v>
      </c>
      <c r="W59" s="147" t="s">
        <v>64</v>
      </c>
      <c r="AB59" s="558" t="s">
        <v>11</v>
      </c>
      <c r="AC59" s="560">
        <f t="shared" ref="AC59:AE59" si="15">AC43</f>
        <v>0</v>
      </c>
      <c r="AD59" s="555">
        <f t="shared" si="15"/>
        <v>0</v>
      </c>
      <c r="AE59" s="572">
        <f t="shared" si="15"/>
        <v>0</v>
      </c>
      <c r="AF59" s="589" t="e">
        <f t="shared" si="3"/>
        <v>#DIV/0!</v>
      </c>
      <c r="AG59" s="578" t="e">
        <f t="shared" si="4"/>
        <v>#DIV/0!</v>
      </c>
      <c r="AH59" s="579" t="e">
        <f t="shared" si="5"/>
        <v>#DIV/0!</v>
      </c>
      <c r="AI59" s="589" t="e">
        <f t="shared" si="6"/>
        <v>#DIV/0!</v>
      </c>
      <c r="AJ59" s="578" t="e">
        <f t="shared" si="7"/>
        <v>#DIV/0!</v>
      </c>
      <c r="AK59" s="579" t="e">
        <f t="shared" si="8"/>
        <v>#DIV/0!</v>
      </c>
      <c r="AL59" s="589" t="e">
        <f t="shared" si="9"/>
        <v>#DIV/0!</v>
      </c>
      <c r="AM59" s="578" t="e">
        <f t="shared" si="10"/>
        <v>#DIV/0!</v>
      </c>
      <c r="AN59" s="579" t="e">
        <f t="shared" si="11"/>
        <v>#DIV/0!</v>
      </c>
    </row>
    <row r="60" spans="1:53" ht="16.5" thickBot="1" x14ac:dyDescent="0.3">
      <c r="A60" s="122"/>
      <c r="B60" s="42"/>
      <c r="C60" s="123"/>
      <c r="D60" s="123"/>
      <c r="E60" s="123"/>
      <c r="F60" s="123"/>
      <c r="G60" s="133"/>
      <c r="L60" s="122"/>
      <c r="M60" s="42"/>
      <c r="N60" s="123"/>
      <c r="O60" s="123"/>
      <c r="P60" s="123"/>
      <c r="Q60" s="123"/>
      <c r="R60" s="133"/>
      <c r="T60" s="950"/>
      <c r="U60" s="40" t="s">
        <v>55</v>
      </c>
      <c r="W60" s="148" t="s">
        <v>72</v>
      </c>
      <c r="AB60" s="558" t="s">
        <v>12</v>
      </c>
      <c r="AC60" s="560">
        <f t="shared" ref="AC60:AE60" si="16">AC44</f>
        <v>0</v>
      </c>
      <c r="AD60" s="555">
        <f t="shared" si="16"/>
        <v>0</v>
      </c>
      <c r="AE60" s="572">
        <f t="shared" si="16"/>
        <v>0</v>
      </c>
      <c r="AF60" s="589" t="e">
        <f t="shared" si="3"/>
        <v>#DIV/0!</v>
      </c>
      <c r="AG60" s="578" t="e">
        <f t="shared" si="4"/>
        <v>#DIV/0!</v>
      </c>
      <c r="AH60" s="579" t="e">
        <f t="shared" si="5"/>
        <v>#DIV/0!</v>
      </c>
      <c r="AI60" s="589" t="e">
        <f t="shared" si="6"/>
        <v>#DIV/0!</v>
      </c>
      <c r="AJ60" s="578" t="e">
        <f t="shared" si="7"/>
        <v>#DIV/0!</v>
      </c>
      <c r="AK60" s="579" t="e">
        <f t="shared" si="8"/>
        <v>#DIV/0!</v>
      </c>
      <c r="AL60" s="589" t="e">
        <f t="shared" si="9"/>
        <v>#DIV/0!</v>
      </c>
      <c r="AM60" s="578" t="e">
        <f t="shared" si="10"/>
        <v>#DIV/0!</v>
      </c>
      <c r="AN60" s="579" t="e">
        <f t="shared" si="11"/>
        <v>#DIV/0!</v>
      </c>
    </row>
    <row r="61" spans="1:53" ht="16.5" thickBot="1" x14ac:dyDescent="0.3">
      <c r="A61" s="122"/>
      <c r="B61" s="42"/>
      <c r="C61" s="54" t="s">
        <v>37</v>
      </c>
      <c r="D61" s="919" t="s">
        <v>36</v>
      </c>
      <c r="E61" s="921"/>
      <c r="F61" s="55"/>
      <c r="G61" s="133"/>
      <c r="L61" s="122"/>
      <c r="M61" s="42"/>
      <c r="N61" s="54" t="s">
        <v>37</v>
      </c>
      <c r="O61" s="919" t="s">
        <v>36</v>
      </c>
      <c r="P61" s="921"/>
      <c r="Q61" s="55"/>
      <c r="R61" s="133"/>
      <c r="T61" s="951"/>
      <c r="U61" s="41" t="s">
        <v>54</v>
      </c>
      <c r="AB61" s="558" t="s">
        <v>13</v>
      </c>
      <c r="AC61" s="560">
        <f t="shared" ref="AC61:AE61" si="17">AC45</f>
        <v>0</v>
      </c>
      <c r="AD61" s="555">
        <f t="shared" si="17"/>
        <v>0</v>
      </c>
      <c r="AE61" s="572">
        <f t="shared" si="17"/>
        <v>0</v>
      </c>
      <c r="AF61" s="589" t="e">
        <f t="shared" si="3"/>
        <v>#DIV/0!</v>
      </c>
      <c r="AG61" s="578" t="e">
        <f t="shared" si="4"/>
        <v>#DIV/0!</v>
      </c>
      <c r="AH61" s="579" t="e">
        <f t="shared" si="5"/>
        <v>#DIV/0!</v>
      </c>
      <c r="AI61" s="589" t="e">
        <f t="shared" si="6"/>
        <v>#DIV/0!</v>
      </c>
      <c r="AJ61" s="578" t="e">
        <f t="shared" si="7"/>
        <v>#DIV/0!</v>
      </c>
      <c r="AK61" s="579" t="e">
        <f t="shared" si="8"/>
        <v>#DIV/0!</v>
      </c>
      <c r="AL61" s="589" t="e">
        <f t="shared" si="9"/>
        <v>#DIV/0!</v>
      </c>
      <c r="AM61" s="578" t="e">
        <f t="shared" si="10"/>
        <v>#DIV/0!</v>
      </c>
      <c r="AN61" s="579" t="e">
        <f t="shared" si="11"/>
        <v>#DIV/0!</v>
      </c>
    </row>
    <row r="62" spans="1:53" ht="16.5" thickBot="1" x14ac:dyDescent="0.3">
      <c r="A62" s="122"/>
      <c r="B62" s="42"/>
      <c r="C62" s="56">
        <f>IFERROR(VLOOKUP('TABLEAU DE BORD ATELIER'!$C$10,ATELIER!B17:I31,4,FALSE),"")</f>
        <v>0</v>
      </c>
      <c r="D62" s="56">
        <f>IFERROR(VLOOKUP('TABLEAU DE BORD ATELIER'!$C$10,ATELIER!B17:I31,7,FALSE),"")</f>
        <v>0</v>
      </c>
      <c r="E62" s="56">
        <f>D62</f>
        <v>0</v>
      </c>
      <c r="F62" s="57" t="e">
        <f>SUM(C62/D62)</f>
        <v>#DIV/0!</v>
      </c>
      <c r="G62" s="133"/>
      <c r="L62" s="122"/>
      <c r="M62" s="42"/>
      <c r="N62" s="56">
        <f>IFERROR(VLOOKUP('TABLEAU DE BORD MAGASINS'!$C$10,MAGASINS!B17:I31,4,FALSE),"")</f>
        <v>0</v>
      </c>
      <c r="O62" s="56">
        <f>IFERROR(VLOOKUP('TABLEAU DE BORD MAGASINS'!$C$10,MAGASINS!B17:I31,7,FALSE),"")</f>
        <v>0</v>
      </c>
      <c r="P62" s="56">
        <f>O62</f>
        <v>0</v>
      </c>
      <c r="Q62" s="57" t="e">
        <f>SUM(N62/O62)</f>
        <v>#DIV/0!</v>
      </c>
      <c r="R62" s="133"/>
      <c r="T62" s="138"/>
      <c r="U62" s="139"/>
      <c r="AB62" s="558" t="s">
        <v>2</v>
      </c>
      <c r="AC62" s="560">
        <f t="shared" ref="AC62:AE62" si="18">AC46</f>
        <v>0</v>
      </c>
      <c r="AD62" s="555">
        <f t="shared" si="18"/>
        <v>0</v>
      </c>
      <c r="AE62" s="572">
        <f t="shared" si="18"/>
        <v>0</v>
      </c>
      <c r="AF62" s="589" t="e">
        <f t="shared" si="3"/>
        <v>#DIV/0!</v>
      </c>
      <c r="AG62" s="578" t="e">
        <f t="shared" si="4"/>
        <v>#DIV/0!</v>
      </c>
      <c r="AH62" s="579" t="e">
        <f t="shared" si="5"/>
        <v>#DIV/0!</v>
      </c>
      <c r="AI62" s="589" t="e">
        <f t="shared" si="6"/>
        <v>#DIV/0!</v>
      </c>
      <c r="AJ62" s="578" t="e">
        <f t="shared" si="7"/>
        <v>#DIV/0!</v>
      </c>
      <c r="AK62" s="579" t="e">
        <f t="shared" si="8"/>
        <v>#DIV/0!</v>
      </c>
      <c r="AL62" s="589" t="e">
        <f t="shared" si="9"/>
        <v>#DIV/0!</v>
      </c>
      <c r="AM62" s="578" t="e">
        <f t="shared" si="10"/>
        <v>#DIV/0!</v>
      </c>
      <c r="AN62" s="579" t="e">
        <f t="shared" si="11"/>
        <v>#DIV/0!</v>
      </c>
    </row>
    <row r="63" spans="1:53" ht="16.5" thickBot="1" x14ac:dyDescent="0.3">
      <c r="A63" s="122"/>
      <c r="B63" s="42"/>
      <c r="C63" s="42"/>
      <c r="D63" s="42"/>
      <c r="E63" s="42"/>
      <c r="F63" s="42"/>
      <c r="G63" s="133"/>
      <c r="L63" s="122"/>
      <c r="M63" s="42"/>
      <c r="N63" s="42"/>
      <c r="O63" s="42"/>
      <c r="P63" s="42"/>
      <c r="Q63" s="42"/>
      <c r="R63" s="133"/>
      <c r="T63" s="44">
        <v>0</v>
      </c>
      <c r="U63" s="45" t="s">
        <v>57</v>
      </c>
      <c r="AB63" s="558" t="s">
        <v>3</v>
      </c>
      <c r="AC63" s="560">
        <f t="shared" ref="AC63:AE63" si="19">AC47</f>
        <v>0</v>
      </c>
      <c r="AD63" s="555">
        <f t="shared" si="19"/>
        <v>0</v>
      </c>
      <c r="AE63" s="572">
        <f t="shared" si="19"/>
        <v>0</v>
      </c>
      <c r="AF63" s="589" t="e">
        <f t="shared" si="3"/>
        <v>#DIV/0!</v>
      </c>
      <c r="AG63" s="578" t="e">
        <f t="shared" si="4"/>
        <v>#DIV/0!</v>
      </c>
      <c r="AH63" s="579" t="e">
        <f t="shared" si="5"/>
        <v>#DIV/0!</v>
      </c>
      <c r="AI63" s="589" t="e">
        <f t="shared" si="6"/>
        <v>#DIV/0!</v>
      </c>
      <c r="AJ63" s="578" t="e">
        <f t="shared" si="7"/>
        <v>#DIV/0!</v>
      </c>
      <c r="AK63" s="579" t="e">
        <f t="shared" si="8"/>
        <v>#DIV/0!</v>
      </c>
      <c r="AL63" s="589" t="e">
        <f t="shared" si="9"/>
        <v>#DIV/0!</v>
      </c>
      <c r="AM63" s="578" t="e">
        <f t="shared" si="10"/>
        <v>#DIV/0!</v>
      </c>
      <c r="AN63" s="579" t="e">
        <f t="shared" si="11"/>
        <v>#DIV/0!</v>
      </c>
    </row>
    <row r="64" spans="1:53" ht="16.5" thickBot="1" x14ac:dyDescent="0.3">
      <c r="A64" s="122"/>
      <c r="B64" s="42"/>
      <c r="C64" s="42"/>
      <c r="D64" s="86" t="s">
        <v>32</v>
      </c>
      <c r="E64" s="86" t="s">
        <v>96</v>
      </c>
      <c r="F64" s="406" t="s">
        <v>97</v>
      </c>
      <c r="G64" s="133"/>
      <c r="L64" s="122"/>
      <c r="M64" s="42"/>
      <c r="N64" s="42"/>
      <c r="O64" s="86" t="s">
        <v>32</v>
      </c>
      <c r="P64" s="86" t="s">
        <v>33</v>
      </c>
      <c r="Q64" s="42"/>
      <c r="R64" s="133"/>
      <c r="T64" s="46">
        <v>0</v>
      </c>
      <c r="U64" s="47" t="s">
        <v>58</v>
      </c>
      <c r="AB64" s="558" t="s">
        <v>4</v>
      </c>
      <c r="AC64" s="560">
        <f t="shared" ref="AC64:AE64" si="20">AC48</f>
        <v>0</v>
      </c>
      <c r="AD64" s="555">
        <f t="shared" si="20"/>
        <v>0</v>
      </c>
      <c r="AE64" s="572">
        <f t="shared" si="20"/>
        <v>0</v>
      </c>
      <c r="AF64" s="589" t="e">
        <f t="shared" si="3"/>
        <v>#DIV/0!</v>
      </c>
      <c r="AG64" s="578" t="e">
        <f t="shared" si="4"/>
        <v>#DIV/0!</v>
      </c>
      <c r="AH64" s="579" t="e">
        <f t="shared" si="5"/>
        <v>#DIV/0!</v>
      </c>
      <c r="AI64" s="589" t="e">
        <f t="shared" si="6"/>
        <v>#DIV/0!</v>
      </c>
      <c r="AJ64" s="578" t="e">
        <f t="shared" si="7"/>
        <v>#DIV/0!</v>
      </c>
      <c r="AK64" s="579" t="e">
        <f t="shared" si="8"/>
        <v>#DIV/0!</v>
      </c>
      <c r="AL64" s="589" t="e">
        <f t="shared" si="9"/>
        <v>#DIV/0!</v>
      </c>
      <c r="AM64" s="578" t="e">
        <f t="shared" si="10"/>
        <v>#DIV/0!</v>
      </c>
      <c r="AN64" s="579" t="e">
        <f t="shared" si="11"/>
        <v>#DIV/0!</v>
      </c>
    </row>
    <row r="65" spans="1:40" ht="16.5" thickBot="1" x14ac:dyDescent="0.3">
      <c r="A65" s="122"/>
      <c r="B65" s="42"/>
      <c r="C65" s="58" t="s">
        <v>28</v>
      </c>
      <c r="D65" s="69">
        <f>IFERROR(VLOOKUP('TABLEAU DE BORD ATELIER'!$C$10,ATELIER!B17:I31,4,FALSE),"")</f>
        <v>0</v>
      </c>
      <c r="E65" s="70">
        <f ca="1">SUM(OFFSET(ATELIER!E20,0,0,MATCH('TABLEAU DE BORD ATELIER'!C10,ATELIER!B20:B31,0)))</f>
        <v>0</v>
      </c>
      <c r="F65" s="70">
        <f ca="1">SUM(OFFSET(ATELIER!D20,0,0,MATCH('TABLEAU DE BORD ATELIER'!C10,ATELIER!B20:B31,0)))</f>
        <v>0</v>
      </c>
      <c r="G65" s="133"/>
      <c r="L65" s="122"/>
      <c r="M65" s="42"/>
      <c r="N65" s="58" t="s">
        <v>28</v>
      </c>
      <c r="O65" s="69">
        <f>IFERROR(VLOOKUP('TABLEAU DE BORD MAGASINS'!$C$10,MAGASINS!B17:I31,4,FALSE),"")</f>
        <v>0</v>
      </c>
      <c r="P65" s="70">
        <f ca="1">SUM(OFFSET(MAGASINS!E20,0,0,MATCH('TABLEAU DE BORD MAGASINS'!$C$10,MAGASINS!B20:B31,0)))</f>
        <v>0</v>
      </c>
      <c r="Q65" s="42"/>
      <c r="R65" s="133"/>
      <c r="AB65" s="559" t="s">
        <v>5</v>
      </c>
      <c r="AC65" s="562">
        <f t="shared" ref="AC65:AE65" si="21">AC49</f>
        <v>0</v>
      </c>
      <c r="AD65" s="556">
        <f t="shared" si="21"/>
        <v>0</v>
      </c>
      <c r="AE65" s="573">
        <f t="shared" si="21"/>
        <v>0</v>
      </c>
      <c r="AF65" s="590" t="e">
        <f t="shared" si="3"/>
        <v>#DIV/0!</v>
      </c>
      <c r="AG65" s="580" t="e">
        <f t="shared" si="4"/>
        <v>#DIV/0!</v>
      </c>
      <c r="AH65" s="581" t="e">
        <f t="shared" si="5"/>
        <v>#DIV/0!</v>
      </c>
      <c r="AI65" s="590" t="e">
        <f t="shared" si="6"/>
        <v>#DIV/0!</v>
      </c>
      <c r="AJ65" s="580" t="e">
        <f t="shared" si="7"/>
        <v>#DIV/0!</v>
      </c>
      <c r="AK65" s="581" t="e">
        <f t="shared" si="8"/>
        <v>#DIV/0!</v>
      </c>
      <c r="AL65" s="590" t="e">
        <f t="shared" si="9"/>
        <v>#DIV/0!</v>
      </c>
      <c r="AM65" s="580" t="e">
        <f t="shared" si="10"/>
        <v>#DIV/0!</v>
      </c>
      <c r="AN65" s="581" t="e">
        <f t="shared" si="11"/>
        <v>#DIV/0!</v>
      </c>
    </row>
    <row r="66" spans="1:40" ht="16.5" thickBot="1" x14ac:dyDescent="0.3">
      <c r="A66" s="122"/>
      <c r="B66" s="42"/>
      <c r="C66" s="59" t="s">
        <v>27</v>
      </c>
      <c r="D66" s="60">
        <f>D62</f>
        <v>0</v>
      </c>
      <c r="E66" s="61">
        <f>SUM(ATELIER!H20:H31)</f>
        <v>0</v>
      </c>
      <c r="F66" s="413"/>
      <c r="G66" s="133"/>
      <c r="L66" s="122"/>
      <c r="M66" s="42"/>
      <c r="N66" s="59" t="s">
        <v>27</v>
      </c>
      <c r="O66" s="60">
        <f>O62</f>
        <v>0</v>
      </c>
      <c r="P66" s="61">
        <f>SUM(MAGASINS!H20:H31)</f>
        <v>0</v>
      </c>
      <c r="Q66" s="42"/>
      <c r="R66" s="133"/>
      <c r="T66" s="5"/>
      <c r="U66" s="963"/>
      <c r="V66" s="963"/>
      <c r="W66" s="963"/>
      <c r="X66" s="963"/>
      <c r="AF66" s="72"/>
    </row>
    <row r="67" spans="1:40" ht="16.5" thickBot="1" x14ac:dyDescent="0.3">
      <c r="A67" s="122"/>
      <c r="B67" s="42"/>
      <c r="C67" s="87"/>
      <c r="D67" s="42"/>
      <c r="E67" s="42"/>
      <c r="F67" s="42"/>
      <c r="G67" s="133"/>
      <c r="L67" s="122"/>
      <c r="M67" s="42"/>
      <c r="N67" s="87"/>
      <c r="O67" s="42"/>
      <c r="P67" s="42"/>
      <c r="Q67" s="42"/>
      <c r="R67" s="133"/>
      <c r="T67" s="199"/>
      <c r="U67" s="200"/>
      <c r="V67" s="200"/>
      <c r="W67" s="200"/>
      <c r="X67" s="200"/>
      <c r="AB67" s="311"/>
      <c r="AC67" s="934" t="s">
        <v>25</v>
      </c>
      <c r="AD67" s="932"/>
      <c r="AE67" s="967"/>
      <c r="AF67" s="934" t="str">
        <f>AB31</f>
        <v>Commercial 1</v>
      </c>
      <c r="AG67" s="932"/>
      <c r="AH67" s="933"/>
      <c r="AI67" s="932" t="str">
        <f>AB32</f>
        <v>Commercial 2</v>
      </c>
      <c r="AJ67" s="932"/>
      <c r="AK67" s="933"/>
      <c r="AL67" s="932" t="str">
        <f>AB33</f>
        <v>COMMERCIAL 3</v>
      </c>
      <c r="AM67" s="932"/>
      <c r="AN67" s="933"/>
    </row>
    <row r="68" spans="1:40" ht="16.5" thickBot="1" x14ac:dyDescent="0.3">
      <c r="A68" s="122"/>
      <c r="B68" s="42"/>
      <c r="C68" s="938" t="s">
        <v>67</v>
      </c>
      <c r="D68" s="942"/>
      <c r="E68" s="939"/>
      <c r="F68" s="42"/>
      <c r="G68" s="134"/>
      <c r="L68" s="122"/>
      <c r="M68" s="42"/>
      <c r="N68" s="938" t="s">
        <v>67</v>
      </c>
      <c r="O68" s="942"/>
      <c r="P68" s="939"/>
      <c r="Q68" s="42"/>
      <c r="R68" s="134"/>
      <c r="T68" s="201"/>
      <c r="U68" s="202"/>
      <c r="V68" s="202"/>
      <c r="W68" s="202"/>
      <c r="X68" s="202"/>
      <c r="AB68" s="554"/>
      <c r="AC68" s="607" t="s">
        <v>47</v>
      </c>
      <c r="AD68" s="608" t="s">
        <v>48</v>
      </c>
      <c r="AE68" s="609" t="s">
        <v>16</v>
      </c>
      <c r="AF68" s="610" t="s">
        <v>14</v>
      </c>
      <c r="AG68" s="570" t="s">
        <v>15</v>
      </c>
      <c r="AH68" s="571" t="s">
        <v>16</v>
      </c>
      <c r="AI68" s="569" t="s">
        <v>14</v>
      </c>
      <c r="AJ68" s="570" t="s">
        <v>15</v>
      </c>
      <c r="AK68" s="571" t="s">
        <v>16</v>
      </c>
      <c r="AL68" s="569" t="s">
        <v>14</v>
      </c>
      <c r="AM68" s="570" t="s">
        <v>15</v>
      </c>
      <c r="AN68" s="571" t="s">
        <v>16</v>
      </c>
    </row>
    <row r="69" spans="1:40" ht="16.5" thickBot="1" x14ac:dyDescent="0.3">
      <c r="A69" s="122"/>
      <c r="B69" s="42"/>
      <c r="C69" s="137"/>
      <c r="D69" s="43" t="s">
        <v>26</v>
      </c>
      <c r="E69" s="62" t="s">
        <v>38</v>
      </c>
      <c r="F69" s="50" t="s">
        <v>105</v>
      </c>
      <c r="G69" s="134" t="s">
        <v>106</v>
      </c>
      <c r="I69" s="459" t="s">
        <v>102</v>
      </c>
      <c r="L69" s="122"/>
      <c r="M69" s="42"/>
      <c r="N69" s="42"/>
      <c r="O69" s="43" t="s">
        <v>26</v>
      </c>
      <c r="P69" s="62" t="s">
        <v>38</v>
      </c>
      <c r="Q69" s="42"/>
      <c r="R69" s="134"/>
      <c r="T69" s="201"/>
      <c r="U69" s="202"/>
      <c r="V69" s="202"/>
      <c r="W69" s="202"/>
      <c r="X69" s="202"/>
      <c r="AB69" s="564" t="s">
        <v>6</v>
      </c>
      <c r="AC69" s="565">
        <f>NEGOCE!C20</f>
        <v>0</v>
      </c>
      <c r="AD69" s="566">
        <f>NEGOCE!D20</f>
        <v>0</v>
      </c>
      <c r="AE69" s="567">
        <f>NEGOCE!E20</f>
        <v>0</v>
      </c>
      <c r="AF69" s="560">
        <f>'Saisie Commerciaux'!K13</f>
        <v>0</v>
      </c>
      <c r="AG69" s="555">
        <f>'Saisie Commerciaux'!L13</f>
        <v>0</v>
      </c>
      <c r="AH69" s="561">
        <f>'Saisie Commerciaux'!M13</f>
        <v>0</v>
      </c>
      <c r="AI69" s="565">
        <f>'Saisie Commerciaux'!K30</f>
        <v>0</v>
      </c>
      <c r="AJ69" s="566">
        <f>'Saisie Commerciaux'!L30</f>
        <v>0</v>
      </c>
      <c r="AK69" s="567">
        <f>'Saisie Commerciaux'!M30</f>
        <v>0</v>
      </c>
      <c r="AL69" s="565">
        <f>'Saisie Commerciaux'!K47</f>
        <v>0</v>
      </c>
      <c r="AM69" s="566">
        <f>'Saisie Commerciaux'!L47</f>
        <v>0</v>
      </c>
      <c r="AN69" s="567">
        <f>'Saisie Commerciaux'!M47</f>
        <v>0</v>
      </c>
    </row>
    <row r="70" spans="1:40" ht="19.5" x14ac:dyDescent="0.25">
      <c r="A70" s="122"/>
      <c r="B70" s="42"/>
      <c r="C70" s="63" t="s">
        <v>31</v>
      </c>
      <c r="D70" s="64" t="e">
        <f>SUM(D65/D66)</f>
        <v>#DIV/0!</v>
      </c>
      <c r="E70" s="64">
        <v>0.33329999999999999</v>
      </c>
      <c r="F70" s="42" t="e">
        <f>IF(D70&lt;=25%,3,IF(D70&lt;=70%,2,1))</f>
        <v>#DIV/0!</v>
      </c>
      <c r="G70" s="457" t="e">
        <f>CHOOSE(F70,$I$69,$I$70,$I$71)</f>
        <v>#DIV/0!</v>
      </c>
      <c r="I70" s="460" t="s">
        <v>103</v>
      </c>
      <c r="L70" s="122"/>
      <c r="M70" s="42"/>
      <c r="N70" s="63" t="s">
        <v>31</v>
      </c>
      <c r="O70" s="64" t="e">
        <f>SUM(O65/O66)</f>
        <v>#DIV/0!</v>
      </c>
      <c r="P70" s="64">
        <v>0.33329999999999999</v>
      </c>
      <c r="Q70" s="42" t="e">
        <f>IF(O70&lt;=25%,3,IF(O70&lt;=70%,2,1))</f>
        <v>#DIV/0!</v>
      </c>
      <c r="R70" s="632" t="e">
        <f>CHOOSE(Q70,$I$69,$I$70,$I$71)</f>
        <v>#DIV/0!</v>
      </c>
      <c r="T70" s="201"/>
      <c r="U70" s="202"/>
      <c r="V70" s="202"/>
      <c r="W70" s="202"/>
      <c r="X70" s="202"/>
      <c r="AB70" s="557" t="s">
        <v>7</v>
      </c>
      <c r="AC70" s="560">
        <f>NEGOCE!C21</f>
        <v>0</v>
      </c>
      <c r="AD70" s="555">
        <f>NEGOCE!D21</f>
        <v>0</v>
      </c>
      <c r="AE70" s="561">
        <f>NEGOCE!E21</f>
        <v>0</v>
      </c>
      <c r="AF70" s="560">
        <f>'Saisie Commerciaux'!K14</f>
        <v>0</v>
      </c>
      <c r="AG70" s="555">
        <f>'Saisie Commerciaux'!L14</f>
        <v>0</v>
      </c>
      <c r="AH70" s="561">
        <f>'Saisie Commerciaux'!M14</f>
        <v>0</v>
      </c>
      <c r="AI70" s="560">
        <f>'Saisie Commerciaux'!K31</f>
        <v>0</v>
      </c>
      <c r="AJ70" s="555">
        <f>'Saisie Commerciaux'!L31</f>
        <v>0</v>
      </c>
      <c r="AK70" s="561">
        <f>'Saisie Commerciaux'!M31</f>
        <v>0</v>
      </c>
      <c r="AL70" s="560">
        <f>'Saisie Commerciaux'!K48</f>
        <v>0</v>
      </c>
      <c r="AM70" s="555">
        <f>'Saisie Commerciaux'!L48</f>
        <v>0</v>
      </c>
      <c r="AN70" s="561">
        <f>'Saisie Commerciaux'!M48</f>
        <v>0</v>
      </c>
    </row>
    <row r="71" spans="1:40" ht="15.75" x14ac:dyDescent="0.25">
      <c r="A71" s="122"/>
      <c r="B71" s="42"/>
      <c r="C71" s="65" t="s">
        <v>30</v>
      </c>
      <c r="D71" s="71" t="e">
        <f>SUM(D72-D70)</f>
        <v>#DIV/0!</v>
      </c>
      <c r="E71" s="71">
        <v>0.33329999999999999</v>
      </c>
      <c r="F71" s="42"/>
      <c r="G71" s="136"/>
      <c r="I71" s="458" t="s">
        <v>104</v>
      </c>
      <c r="L71" s="122"/>
      <c r="M71" s="42"/>
      <c r="N71" s="65" t="s">
        <v>30</v>
      </c>
      <c r="O71" s="71" t="e">
        <f>SUM(O72-O70)</f>
        <v>#DIV/0!</v>
      </c>
      <c r="P71" s="71">
        <v>0.33329999999999999</v>
      </c>
      <c r="Q71" s="42"/>
      <c r="R71" s="136"/>
      <c r="T71" s="201"/>
      <c r="U71" s="202"/>
      <c r="V71" s="202"/>
      <c r="W71" s="202"/>
      <c r="X71" s="202"/>
      <c r="AB71" s="558" t="s">
        <v>8</v>
      </c>
      <c r="AC71" s="560">
        <f>NEGOCE!C22</f>
        <v>0</v>
      </c>
      <c r="AD71" s="555">
        <f>NEGOCE!D22</f>
        <v>0</v>
      </c>
      <c r="AE71" s="561">
        <f>NEGOCE!E22</f>
        <v>0</v>
      </c>
      <c r="AF71" s="560">
        <f>'Saisie Commerciaux'!K15</f>
        <v>0</v>
      </c>
      <c r="AG71" s="555">
        <f>'Saisie Commerciaux'!L15</f>
        <v>0</v>
      </c>
      <c r="AH71" s="561">
        <f>'Saisie Commerciaux'!M15</f>
        <v>0</v>
      </c>
      <c r="AI71" s="560">
        <f>'Saisie Commerciaux'!K32</f>
        <v>0</v>
      </c>
      <c r="AJ71" s="555">
        <f>'Saisie Commerciaux'!L32</f>
        <v>0</v>
      </c>
      <c r="AK71" s="561">
        <f>'Saisie Commerciaux'!M32</f>
        <v>0</v>
      </c>
      <c r="AL71" s="560">
        <f>'Saisie Commerciaux'!K49</f>
        <v>0</v>
      </c>
      <c r="AM71" s="555">
        <f>'Saisie Commerciaux'!L49</f>
        <v>0</v>
      </c>
      <c r="AN71" s="561">
        <f>'Saisie Commerciaux'!M49</f>
        <v>0</v>
      </c>
    </row>
    <row r="72" spans="1:40" ht="15.75" x14ac:dyDescent="0.25">
      <c r="A72" s="122"/>
      <c r="B72" s="42"/>
      <c r="C72" s="66" t="s">
        <v>29</v>
      </c>
      <c r="D72" s="71">
        <v>1</v>
      </c>
      <c r="E72" s="71">
        <v>0.33329999999999999</v>
      </c>
      <c r="F72" s="42"/>
      <c r="G72" s="133"/>
      <c r="L72" s="122"/>
      <c r="M72" s="42"/>
      <c r="N72" s="66" t="s">
        <v>29</v>
      </c>
      <c r="O72" s="71">
        <v>1</v>
      </c>
      <c r="P72" s="71">
        <v>0.33329999999999999</v>
      </c>
      <c r="Q72" s="42"/>
      <c r="R72" s="133"/>
      <c r="T72" s="201"/>
      <c r="U72" s="202"/>
      <c r="V72" s="202"/>
      <c r="W72" s="202"/>
      <c r="X72" s="202"/>
      <c r="AB72" s="558" t="s">
        <v>9</v>
      </c>
      <c r="AC72" s="560">
        <f>NEGOCE!C23</f>
        <v>0</v>
      </c>
      <c r="AD72" s="555">
        <f>NEGOCE!D23</f>
        <v>0</v>
      </c>
      <c r="AE72" s="561">
        <f>NEGOCE!E23</f>
        <v>0</v>
      </c>
      <c r="AF72" s="560">
        <f>'Saisie Commerciaux'!K16</f>
        <v>0</v>
      </c>
      <c r="AG72" s="555">
        <f>'Saisie Commerciaux'!L16</f>
        <v>0</v>
      </c>
      <c r="AH72" s="561">
        <f>'Saisie Commerciaux'!M16</f>
        <v>0</v>
      </c>
      <c r="AI72" s="560">
        <f>'Saisie Commerciaux'!K33</f>
        <v>0</v>
      </c>
      <c r="AJ72" s="555">
        <f>'Saisie Commerciaux'!L33</f>
        <v>0</v>
      </c>
      <c r="AK72" s="561">
        <f>'Saisie Commerciaux'!M33</f>
        <v>0</v>
      </c>
      <c r="AL72" s="560">
        <f>'Saisie Commerciaux'!K50</f>
        <v>0</v>
      </c>
      <c r="AM72" s="555">
        <f>'Saisie Commerciaux'!L50</f>
        <v>0</v>
      </c>
      <c r="AN72" s="561">
        <f>'Saisie Commerciaux'!M50</f>
        <v>0</v>
      </c>
    </row>
    <row r="73" spans="1:40" ht="16.5" thickBot="1" x14ac:dyDescent="0.3">
      <c r="A73" s="122"/>
      <c r="B73" s="42"/>
      <c r="C73" s="67"/>
      <c r="D73" s="68"/>
      <c r="E73" s="68">
        <v>0.99990000000000001</v>
      </c>
      <c r="F73" s="42"/>
      <c r="G73" s="133"/>
      <c r="L73" s="122"/>
      <c r="M73" s="42"/>
      <c r="N73" s="67"/>
      <c r="O73" s="68"/>
      <c r="P73" s="68">
        <v>0.99990000000000001</v>
      </c>
      <c r="Q73" s="42"/>
      <c r="R73" s="133"/>
      <c r="T73" s="201"/>
      <c r="U73" s="202"/>
      <c r="V73" s="202"/>
      <c r="W73" s="202"/>
      <c r="X73" s="202"/>
      <c r="AB73" s="558" t="s">
        <v>10</v>
      </c>
      <c r="AC73" s="560">
        <f>NEGOCE!C24</f>
        <v>0</v>
      </c>
      <c r="AD73" s="555">
        <f>NEGOCE!D24</f>
        <v>0</v>
      </c>
      <c r="AE73" s="561">
        <f>NEGOCE!E24</f>
        <v>0</v>
      </c>
      <c r="AF73" s="560">
        <f>'Saisie Commerciaux'!K17</f>
        <v>0</v>
      </c>
      <c r="AG73" s="555">
        <f>'Saisie Commerciaux'!L17</f>
        <v>0</v>
      </c>
      <c r="AH73" s="561">
        <f>'Saisie Commerciaux'!M17</f>
        <v>0</v>
      </c>
      <c r="AI73" s="560">
        <f>'Saisie Commerciaux'!K34</f>
        <v>0</v>
      </c>
      <c r="AJ73" s="555">
        <f>'Saisie Commerciaux'!L34</f>
        <v>0</v>
      </c>
      <c r="AK73" s="561">
        <f>'Saisie Commerciaux'!M34</f>
        <v>0</v>
      </c>
      <c r="AL73" s="560">
        <f>'Saisie Commerciaux'!K51</f>
        <v>0</v>
      </c>
      <c r="AM73" s="555">
        <f>'Saisie Commerciaux'!L51</f>
        <v>0</v>
      </c>
      <c r="AN73" s="561">
        <f>'Saisie Commerciaux'!M51</f>
        <v>0</v>
      </c>
    </row>
    <row r="74" spans="1:40" ht="16.5" thickBot="1" x14ac:dyDescent="0.3">
      <c r="A74" s="122"/>
      <c r="B74" s="42"/>
      <c r="C74" s="50"/>
      <c r="D74" s="80"/>
      <c r="E74" s="80"/>
      <c r="F74" s="42"/>
      <c r="G74" s="134"/>
      <c r="L74" s="122"/>
      <c r="M74" s="42"/>
      <c r="N74" s="50"/>
      <c r="O74" s="80"/>
      <c r="P74" s="80"/>
      <c r="Q74" s="42"/>
      <c r="R74" s="134"/>
      <c r="T74" s="201"/>
      <c r="U74" s="202"/>
      <c r="V74" s="202"/>
      <c r="W74" s="202"/>
      <c r="X74" s="202"/>
      <c r="AB74" s="558" t="s">
        <v>11</v>
      </c>
      <c r="AC74" s="560">
        <f>NEGOCE!C25</f>
        <v>0</v>
      </c>
      <c r="AD74" s="555">
        <f>NEGOCE!D25</f>
        <v>0</v>
      </c>
      <c r="AE74" s="561">
        <f>NEGOCE!E25</f>
        <v>0</v>
      </c>
      <c r="AF74" s="560">
        <f>'Saisie Commerciaux'!K18</f>
        <v>0</v>
      </c>
      <c r="AG74" s="555">
        <f>'Saisie Commerciaux'!L18</f>
        <v>0</v>
      </c>
      <c r="AH74" s="561">
        <f>'Saisie Commerciaux'!M18</f>
        <v>0</v>
      </c>
      <c r="AI74" s="560">
        <f>'Saisie Commerciaux'!K35</f>
        <v>0</v>
      </c>
      <c r="AJ74" s="555">
        <f>'Saisie Commerciaux'!L35</f>
        <v>0</v>
      </c>
      <c r="AK74" s="561">
        <f>'Saisie Commerciaux'!M35</f>
        <v>0</v>
      </c>
      <c r="AL74" s="560">
        <f>'Saisie Commerciaux'!K52</f>
        <v>0</v>
      </c>
      <c r="AM74" s="555">
        <f>'Saisie Commerciaux'!L52</f>
        <v>0</v>
      </c>
      <c r="AN74" s="561">
        <f>'Saisie Commerciaux'!M52</f>
        <v>0</v>
      </c>
    </row>
    <row r="75" spans="1:40" ht="16.5" thickBot="1" x14ac:dyDescent="0.3">
      <c r="A75" s="122"/>
      <c r="B75" s="42"/>
      <c r="C75" s="938" t="s">
        <v>68</v>
      </c>
      <c r="D75" s="942"/>
      <c r="E75" s="939"/>
      <c r="F75" s="42"/>
      <c r="G75" s="134"/>
      <c r="L75" s="122"/>
      <c r="M75" s="42"/>
      <c r="N75" s="938" t="s">
        <v>68</v>
      </c>
      <c r="O75" s="942"/>
      <c r="P75" s="939"/>
      <c r="Q75" s="42"/>
      <c r="R75" s="134"/>
      <c r="T75" s="201"/>
      <c r="U75" s="202"/>
      <c r="V75" s="202"/>
      <c r="W75" s="202"/>
      <c r="X75" s="202"/>
      <c r="AB75" s="558" t="s">
        <v>12</v>
      </c>
      <c r="AC75" s="560">
        <f>NEGOCE!C26</f>
        <v>0</v>
      </c>
      <c r="AD75" s="555">
        <f>NEGOCE!D26</f>
        <v>0</v>
      </c>
      <c r="AE75" s="561">
        <f>NEGOCE!E26</f>
        <v>0</v>
      </c>
      <c r="AF75" s="560">
        <f>'Saisie Commerciaux'!K19</f>
        <v>0</v>
      </c>
      <c r="AG75" s="555">
        <f>'Saisie Commerciaux'!L19</f>
        <v>0</v>
      </c>
      <c r="AH75" s="561">
        <f>'Saisie Commerciaux'!M19</f>
        <v>0</v>
      </c>
      <c r="AI75" s="560">
        <f>'Saisie Commerciaux'!K36</f>
        <v>0</v>
      </c>
      <c r="AJ75" s="555">
        <f>'Saisie Commerciaux'!L36</f>
        <v>0</v>
      </c>
      <c r="AK75" s="561">
        <f>'Saisie Commerciaux'!M36</f>
        <v>0</v>
      </c>
      <c r="AL75" s="560">
        <f>'Saisie Commerciaux'!K53</f>
        <v>0</v>
      </c>
      <c r="AM75" s="555">
        <f>'Saisie Commerciaux'!L53</f>
        <v>0</v>
      </c>
      <c r="AN75" s="561">
        <f>'Saisie Commerciaux'!M53</f>
        <v>0</v>
      </c>
    </row>
    <row r="76" spans="1:40" ht="16.5" thickBot="1" x14ac:dyDescent="0.3">
      <c r="A76" s="122"/>
      <c r="B76" s="42"/>
      <c r="C76" s="137"/>
      <c r="D76" s="43" t="s">
        <v>26</v>
      </c>
      <c r="E76" s="62" t="s">
        <v>38</v>
      </c>
      <c r="F76" s="42"/>
      <c r="G76" s="135"/>
      <c r="L76" s="122"/>
      <c r="M76" s="42"/>
      <c r="N76" s="46"/>
      <c r="O76" s="43" t="s">
        <v>26</v>
      </c>
      <c r="P76" s="62" t="s">
        <v>38</v>
      </c>
      <c r="Q76" s="42"/>
      <c r="R76" s="135"/>
      <c r="T76" s="201"/>
      <c r="U76" s="202"/>
      <c r="V76" s="202"/>
      <c r="W76" s="202"/>
      <c r="X76" s="202"/>
      <c r="AB76" s="558" t="s">
        <v>13</v>
      </c>
      <c r="AC76" s="560">
        <f>NEGOCE!C27</f>
        <v>0</v>
      </c>
      <c r="AD76" s="555">
        <f>NEGOCE!D27</f>
        <v>0</v>
      </c>
      <c r="AE76" s="561">
        <f>NEGOCE!E27</f>
        <v>0</v>
      </c>
      <c r="AF76" s="560">
        <f>'Saisie Commerciaux'!K20</f>
        <v>0</v>
      </c>
      <c r="AG76" s="555">
        <f>'Saisie Commerciaux'!L20</f>
        <v>0</v>
      </c>
      <c r="AH76" s="561">
        <f>'Saisie Commerciaux'!M20</f>
        <v>0</v>
      </c>
      <c r="AI76" s="560">
        <f>'Saisie Commerciaux'!K37</f>
        <v>0</v>
      </c>
      <c r="AJ76" s="555">
        <f>'Saisie Commerciaux'!L37</f>
        <v>0</v>
      </c>
      <c r="AK76" s="561">
        <f>'Saisie Commerciaux'!M37</f>
        <v>0</v>
      </c>
      <c r="AL76" s="560">
        <f>'Saisie Commerciaux'!K54</f>
        <v>0</v>
      </c>
      <c r="AM76" s="555">
        <f>'Saisie Commerciaux'!L54</f>
        <v>0</v>
      </c>
      <c r="AN76" s="561">
        <f>'Saisie Commerciaux'!M54</f>
        <v>0</v>
      </c>
    </row>
    <row r="77" spans="1:40" ht="15.75" x14ac:dyDescent="0.25">
      <c r="A77" s="122"/>
      <c r="B77" s="42"/>
      <c r="C77" s="63" t="s">
        <v>31</v>
      </c>
      <c r="D77" s="64" t="e">
        <f ca="1">SUM(E65/E66)</f>
        <v>#DIV/0!</v>
      </c>
      <c r="E77" s="64">
        <v>0.33329999999999999</v>
      </c>
      <c r="F77" s="42"/>
      <c r="G77" s="136"/>
      <c r="L77" s="122"/>
      <c r="M77" s="42"/>
      <c r="N77" s="63" t="s">
        <v>31</v>
      </c>
      <c r="O77" s="64" t="e">
        <f ca="1">SUM(P65/P66)</f>
        <v>#DIV/0!</v>
      </c>
      <c r="P77" s="64">
        <v>0.33329999999999999</v>
      </c>
      <c r="Q77" s="42"/>
      <c r="R77" s="136"/>
      <c r="T77" s="201"/>
      <c r="U77" s="202"/>
      <c r="V77" s="202"/>
      <c r="W77" s="202"/>
      <c r="X77" s="202"/>
      <c r="AB77" s="558" t="s">
        <v>2</v>
      </c>
      <c r="AC77" s="560">
        <f>NEGOCE!C28</f>
        <v>0</v>
      </c>
      <c r="AD77" s="555">
        <f>NEGOCE!D28</f>
        <v>0</v>
      </c>
      <c r="AE77" s="561">
        <f>NEGOCE!E28</f>
        <v>0</v>
      </c>
      <c r="AF77" s="560">
        <f>'Saisie Commerciaux'!K21</f>
        <v>0</v>
      </c>
      <c r="AG77" s="555">
        <f>'Saisie Commerciaux'!L21</f>
        <v>0</v>
      </c>
      <c r="AH77" s="561">
        <f>'Saisie Commerciaux'!M21</f>
        <v>0</v>
      </c>
      <c r="AI77" s="560">
        <f>'Saisie Commerciaux'!K38</f>
        <v>0</v>
      </c>
      <c r="AJ77" s="555">
        <f>'Saisie Commerciaux'!L38</f>
        <v>0</v>
      </c>
      <c r="AK77" s="561">
        <f>'Saisie Commerciaux'!M38</f>
        <v>0</v>
      </c>
      <c r="AL77" s="560">
        <f>'Saisie Commerciaux'!K55</f>
        <v>0</v>
      </c>
      <c r="AM77" s="555">
        <f>'Saisie Commerciaux'!L55</f>
        <v>0</v>
      </c>
      <c r="AN77" s="561">
        <f>'Saisie Commerciaux'!M55</f>
        <v>0</v>
      </c>
    </row>
    <row r="78" spans="1:40" ht="15.75" x14ac:dyDescent="0.25">
      <c r="A78" s="122"/>
      <c r="B78" s="3"/>
      <c r="C78" s="65" t="s">
        <v>30</v>
      </c>
      <c r="D78" s="71" t="e">
        <f ca="1">SUM(D79-D77)</f>
        <v>#DIV/0!</v>
      </c>
      <c r="E78" s="71">
        <v>0.33329999999999999</v>
      </c>
      <c r="F78" s="123"/>
      <c r="G78" s="124"/>
      <c r="L78" s="122"/>
      <c r="M78" s="3"/>
      <c r="N78" s="65" t="s">
        <v>30</v>
      </c>
      <c r="O78" s="71" t="e">
        <f ca="1">SUM(O79-O77)</f>
        <v>#DIV/0!</v>
      </c>
      <c r="P78" s="71">
        <v>0.33329999999999999</v>
      </c>
      <c r="Q78" s="123"/>
      <c r="R78" s="124"/>
      <c r="T78" s="201"/>
      <c r="U78" s="202"/>
      <c r="V78" s="202"/>
      <c r="W78" s="202"/>
      <c r="X78" s="202"/>
      <c r="AB78" s="558" t="s">
        <v>3</v>
      </c>
      <c r="AC78" s="560">
        <f>NEGOCE!C29</f>
        <v>0</v>
      </c>
      <c r="AD78" s="555">
        <f>NEGOCE!D29</f>
        <v>0</v>
      </c>
      <c r="AE78" s="561">
        <f>NEGOCE!E29</f>
        <v>0</v>
      </c>
      <c r="AF78" s="560">
        <f>'Saisie Commerciaux'!K22</f>
        <v>0</v>
      </c>
      <c r="AG78" s="555">
        <f>'Saisie Commerciaux'!L22</f>
        <v>0</v>
      </c>
      <c r="AH78" s="561">
        <f>'Saisie Commerciaux'!M22</f>
        <v>0</v>
      </c>
      <c r="AI78" s="560">
        <f>'Saisie Commerciaux'!K39</f>
        <v>0</v>
      </c>
      <c r="AJ78" s="555">
        <f>'Saisie Commerciaux'!L39</f>
        <v>0</v>
      </c>
      <c r="AK78" s="561">
        <f>'Saisie Commerciaux'!M39</f>
        <v>0</v>
      </c>
      <c r="AL78" s="560">
        <f>'Saisie Commerciaux'!K56</f>
        <v>0</v>
      </c>
      <c r="AM78" s="555">
        <f>'Saisie Commerciaux'!L56</f>
        <v>0</v>
      </c>
      <c r="AN78" s="561">
        <f>'Saisie Commerciaux'!M56</f>
        <v>0</v>
      </c>
    </row>
    <row r="79" spans="1:40" ht="15.75" x14ac:dyDescent="0.25">
      <c r="A79" s="122"/>
      <c r="B79" s="3"/>
      <c r="C79" s="66" t="s">
        <v>29</v>
      </c>
      <c r="D79" s="71">
        <v>1</v>
      </c>
      <c r="E79" s="71">
        <v>0.33329999999999999</v>
      </c>
      <c r="F79" s="123"/>
      <c r="G79" s="124"/>
      <c r="L79" s="122"/>
      <c r="M79" s="3"/>
      <c r="N79" s="66" t="s">
        <v>29</v>
      </c>
      <c r="O79" s="71">
        <v>1</v>
      </c>
      <c r="P79" s="71">
        <v>0.33329999999999999</v>
      </c>
      <c r="Q79" s="123"/>
      <c r="R79" s="124"/>
      <c r="T79" s="201"/>
      <c r="U79" s="202"/>
      <c r="V79" s="202"/>
      <c r="W79" s="202"/>
      <c r="X79" s="202"/>
      <c r="AB79" s="558" t="s">
        <v>4</v>
      </c>
      <c r="AC79" s="560">
        <f>NEGOCE!C30</f>
        <v>0</v>
      </c>
      <c r="AD79" s="555">
        <f>NEGOCE!D30</f>
        <v>0</v>
      </c>
      <c r="AE79" s="561">
        <f>NEGOCE!E30</f>
        <v>0</v>
      </c>
      <c r="AF79" s="560">
        <f>'Saisie Commerciaux'!K23</f>
        <v>0</v>
      </c>
      <c r="AG79" s="555">
        <f>'Saisie Commerciaux'!L23</f>
        <v>0</v>
      </c>
      <c r="AH79" s="561">
        <f>'Saisie Commerciaux'!M23</f>
        <v>0</v>
      </c>
      <c r="AI79" s="560">
        <f>'Saisie Commerciaux'!K40</f>
        <v>0</v>
      </c>
      <c r="AJ79" s="555">
        <f>'Saisie Commerciaux'!L40</f>
        <v>0</v>
      </c>
      <c r="AK79" s="561">
        <f>'Saisie Commerciaux'!M40</f>
        <v>0</v>
      </c>
      <c r="AL79" s="560">
        <f>'Saisie Commerciaux'!K57</f>
        <v>0</v>
      </c>
      <c r="AM79" s="555">
        <f>'Saisie Commerciaux'!L57</f>
        <v>0</v>
      </c>
      <c r="AN79" s="561">
        <f>'Saisie Commerciaux'!M57</f>
        <v>0</v>
      </c>
    </row>
    <row r="80" spans="1:40" ht="16.5" thickBot="1" x14ac:dyDescent="0.3">
      <c r="A80" s="122"/>
      <c r="B80" s="3"/>
      <c r="C80" s="67"/>
      <c r="D80" s="68"/>
      <c r="E80" s="68">
        <v>0.99990000000000001</v>
      </c>
      <c r="F80" s="123"/>
      <c r="G80" s="124"/>
      <c r="L80" s="122"/>
      <c r="M80" s="3"/>
      <c r="N80" s="67"/>
      <c r="O80" s="68"/>
      <c r="P80" s="68">
        <v>0.99990000000000001</v>
      </c>
      <c r="Q80" s="123"/>
      <c r="R80" s="124"/>
      <c r="AB80" s="559" t="s">
        <v>5</v>
      </c>
      <c r="AC80" s="562">
        <f>NEGOCE!C31</f>
        <v>0</v>
      </c>
      <c r="AD80" s="556">
        <f>NEGOCE!D31</f>
        <v>0</v>
      </c>
      <c r="AE80" s="563">
        <f>NEGOCE!E31</f>
        <v>0</v>
      </c>
      <c r="AF80" s="562">
        <f>'Saisie Commerciaux'!K24</f>
        <v>0</v>
      </c>
      <c r="AG80" s="556">
        <f>'Saisie Commerciaux'!L24</f>
        <v>0</v>
      </c>
      <c r="AH80" s="563">
        <f>'Saisie Commerciaux'!M24</f>
        <v>0</v>
      </c>
      <c r="AI80" s="562">
        <f>'Saisie Commerciaux'!K41</f>
        <v>0</v>
      </c>
      <c r="AJ80" s="556">
        <f>'Saisie Commerciaux'!L41</f>
        <v>0</v>
      </c>
      <c r="AK80" s="563">
        <f>'Saisie Commerciaux'!M41</f>
        <v>0</v>
      </c>
      <c r="AL80" s="562">
        <f>'Saisie Commerciaux'!K58</f>
        <v>0</v>
      </c>
      <c r="AM80" s="556">
        <f>'Saisie Commerciaux'!L58</f>
        <v>0</v>
      </c>
      <c r="AN80" s="563">
        <f>'Saisie Commerciaux'!M58</f>
        <v>0</v>
      </c>
    </row>
    <row r="81" spans="1:40" ht="15.75" thickBot="1" x14ac:dyDescent="0.3">
      <c r="A81" s="125"/>
      <c r="B81" s="126"/>
      <c r="C81" s="127"/>
      <c r="D81" s="127"/>
      <c r="E81" s="127"/>
      <c r="F81" s="127"/>
      <c r="G81" s="128"/>
      <c r="L81" s="125"/>
      <c r="M81" s="126"/>
      <c r="N81" s="127"/>
      <c r="O81" s="127"/>
      <c r="P81" s="127"/>
      <c r="Q81" s="127"/>
      <c r="R81" s="128"/>
      <c r="AB81" s="294"/>
      <c r="AC81" s="593">
        <f ca="1">SUM(OFFSET(AC69,0,0,MATCH('Tableau de Bord commerciaux'!C10,calculs!AB69:AB80,0)))</f>
        <v>0</v>
      </c>
      <c r="AD81" s="593">
        <f ca="1">SUM(OFFSET(AD69,0,0,MATCH('Tableau de Bord commerciaux'!C10,calculs!AB69:AB80,0)))</f>
        <v>0</v>
      </c>
      <c r="AE81" s="593">
        <f ca="1">SUM(OFFSET(AE69,0,0,MATCH('Tableau de Bord commerciaux'!C10,calculs!AB69:AB80,0)))</f>
        <v>0</v>
      </c>
      <c r="AF81" s="593">
        <f ca="1">SUM(OFFSET(AF69,0,0,MATCH('Tableau de Bord commerciaux'!C10,calculs!AB69:AB80,0)))</f>
        <v>0</v>
      </c>
      <c r="AG81" s="593">
        <f ca="1">SUM(OFFSET(AG69,0,0,MATCH('Tableau de Bord commerciaux'!C10,calculs!AB69:AB80,0)))</f>
        <v>0</v>
      </c>
      <c r="AH81" s="593">
        <f ca="1">SUM(OFFSET(AH69,0,0,MATCH('Tableau de Bord commerciaux'!C10,calculs!AB69:AB80,0)))</f>
        <v>0</v>
      </c>
      <c r="AI81" s="593">
        <f ca="1">SUM(OFFSET(AI69,0,0,MATCH('Tableau de Bord commerciaux'!C10,calculs!AB69:AB80,0)))</f>
        <v>0</v>
      </c>
      <c r="AJ81" s="593">
        <f ca="1">SUM(OFFSET(AJ69,0,0,MATCH('Tableau de Bord commerciaux'!C10,calculs!AB69:AB80,0)))</f>
        <v>0</v>
      </c>
      <c r="AK81" s="593">
        <f ca="1">SUM(OFFSET(AK69,0,0,MATCH('Tableau de Bord commerciaux'!C10,calculs!AB69:AB80,0)))</f>
        <v>0</v>
      </c>
      <c r="AL81" s="593">
        <f ca="1">SUM(OFFSET(AL69,0,0,MATCH('Tableau de Bord commerciaux'!C10,calculs!AB69:AB80,0)))</f>
        <v>0</v>
      </c>
      <c r="AM81" s="593">
        <f ca="1">SUM(OFFSET(AM69,0,0,MATCH('Tableau de Bord commerciaux'!C10,calculs!AB69:AB80,0)))</f>
        <v>0</v>
      </c>
      <c r="AN81" s="593">
        <f ca="1">SUM(OFFSET(AN69,0,0,MATCH('Tableau de Bord commerciaux'!C10,calculs!AB69:AB80,0)))</f>
        <v>0</v>
      </c>
    </row>
    <row r="82" spans="1:40" ht="15.75" thickBot="1" x14ac:dyDescent="0.3">
      <c r="AB82" s="294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</row>
    <row r="83" spans="1:40" ht="15.75" thickBot="1" x14ac:dyDescent="0.3">
      <c r="A83" s="964" t="s">
        <v>86</v>
      </c>
      <c r="B83" s="965"/>
      <c r="C83" s="966"/>
      <c r="D83" s="964" t="s">
        <v>87</v>
      </c>
      <c r="E83" s="965"/>
      <c r="F83" s="966"/>
      <c r="G83" s="964" t="s">
        <v>88</v>
      </c>
      <c r="H83" s="965"/>
      <c r="I83" s="966"/>
      <c r="AB83" s="294"/>
      <c r="AC83" s="934" t="s">
        <v>25</v>
      </c>
      <c r="AD83" s="932"/>
      <c r="AE83" s="933"/>
      <c r="AF83" s="968" t="str">
        <f>AB31</f>
        <v>Commercial 1</v>
      </c>
      <c r="AG83" s="932"/>
      <c r="AH83" s="933"/>
      <c r="AI83" s="932" t="str">
        <f>AB32</f>
        <v>Commercial 2</v>
      </c>
      <c r="AJ83" s="932"/>
      <c r="AK83" s="933"/>
      <c r="AL83" s="932" t="str">
        <f>AB33</f>
        <v>COMMERCIAL 3</v>
      </c>
      <c r="AM83" s="932"/>
      <c r="AN83" s="933"/>
    </row>
    <row r="84" spans="1:40" ht="16.5" thickBot="1" x14ac:dyDescent="0.3">
      <c r="A84" s="188" t="s">
        <v>14</v>
      </c>
      <c r="B84" s="102" t="s">
        <v>15</v>
      </c>
      <c r="C84" s="189" t="s">
        <v>16</v>
      </c>
      <c r="D84" s="188" t="s">
        <v>14</v>
      </c>
      <c r="E84" s="102" t="s">
        <v>15</v>
      </c>
      <c r="F84" s="189" t="s">
        <v>16</v>
      </c>
      <c r="G84" s="188" t="s">
        <v>14</v>
      </c>
      <c r="H84" s="102" t="s">
        <v>15</v>
      </c>
      <c r="I84" s="189" t="s">
        <v>16</v>
      </c>
      <c r="AB84" s="72"/>
      <c r="AC84" s="615" t="s">
        <v>47</v>
      </c>
      <c r="AD84" s="616" t="s">
        <v>48</v>
      </c>
      <c r="AE84" s="617" t="s">
        <v>16</v>
      </c>
      <c r="AF84" s="614" t="s">
        <v>14</v>
      </c>
      <c r="AG84" s="585" t="s">
        <v>15</v>
      </c>
      <c r="AH84" s="586" t="s">
        <v>16</v>
      </c>
      <c r="AI84" s="576" t="s">
        <v>14</v>
      </c>
      <c r="AJ84" s="570" t="s">
        <v>15</v>
      </c>
      <c r="AK84" s="571" t="s">
        <v>16</v>
      </c>
      <c r="AL84" s="569" t="s">
        <v>14</v>
      </c>
      <c r="AM84" s="570" t="s">
        <v>15</v>
      </c>
      <c r="AN84" s="571" t="s">
        <v>16</v>
      </c>
    </row>
    <row r="85" spans="1:40" ht="16.5" thickBot="1" x14ac:dyDescent="0.3">
      <c r="A85" s="190">
        <f ca="1">SUM(OFFSET(ATELIER!C20,0,0,MATCH('TABLEAU DE BORD ATELIER'!C10,ATELIER!B20:B31,0)))</f>
        <v>0</v>
      </c>
      <c r="B85" s="192">
        <f ca="1">SUM(OFFSET(ATELIER!D20,0,0,MATCH('TABLEAU DE BORD ATELIER'!C10,ATELIER!B20:B31,0)))</f>
        <v>0</v>
      </c>
      <c r="C85" s="191">
        <f ca="1">SUM(OFFSET(ATELIER!E20,0,0,MATCH('TABLEAU DE BORD ATELIER'!C10,ATELIER!B20:B31,0)))</f>
        <v>0</v>
      </c>
      <c r="D85" s="190">
        <f ca="1">SUM(OFFSET(NEGOCE!C20,0,0,MATCH('TABLEAU DE BORD ATELIER'!C10,NEGOCE!B20:B31,0)))</f>
        <v>0</v>
      </c>
      <c r="E85" s="192">
        <f ca="1">SUM(OFFSET(NEGOCE!D20,0,0,MATCH('TABLEAU DE BORD ATELIER'!C10,NEGOCE!B20:B31,0)))</f>
        <v>0</v>
      </c>
      <c r="F85" s="191">
        <f ca="1">SUM(OFFSET(NEGOCE!E20,0,0,MATCH('TABLEAU DE BORD ATELIER'!C10,NEGOCE!B20:B31,0)))</f>
        <v>0</v>
      </c>
      <c r="G85" s="190">
        <f ca="1">SUM(OFFSET(PRODUCTION!C20,0,0,MATCH('TABLEAU DE BORD ATELIER'!C10,PRODUCTION!B20:B31,0)))</f>
        <v>0</v>
      </c>
      <c r="H85" s="192">
        <f ca="1">SUM(OFFSET(PRODUCTION!D20,0,0,MATCH('TABLEAU DE BORD ATELIER'!C10,PRODUCTION!B20:B31,0)))</f>
        <v>0</v>
      </c>
      <c r="I85" s="191">
        <f ca="1">SUM(OFFSET(PRODUCTION!E20,0,0,MATCH('TABLEAU DE BORD ATELIER'!C10,PRODUCTION!B20:B31,0)))</f>
        <v>0</v>
      </c>
      <c r="AB85" s="564" t="s">
        <v>6</v>
      </c>
      <c r="AC85" s="565">
        <f>AC69</f>
        <v>0</v>
      </c>
      <c r="AD85" s="566">
        <f t="shared" ref="AD85:AE85" si="22">AD69</f>
        <v>0</v>
      </c>
      <c r="AE85" s="567">
        <f t="shared" si="22"/>
        <v>0</v>
      </c>
      <c r="AF85" s="577" t="e">
        <f>AF69/AC85</f>
        <v>#DIV/0!</v>
      </c>
      <c r="AG85" s="575" t="e">
        <f t="shared" ref="AG85" si="23">AG69/AD85</f>
        <v>#DIV/0!</v>
      </c>
      <c r="AH85" s="582" t="e">
        <f t="shared" ref="AH85" si="24">AH69/AE85</f>
        <v>#DIV/0!</v>
      </c>
      <c r="AI85" s="588" t="e">
        <f>SUM(AI69/AC85)</f>
        <v>#DIV/0!</v>
      </c>
      <c r="AJ85" s="575" t="e">
        <f>SUM(AJ69/AD85)</f>
        <v>#DIV/0!</v>
      </c>
      <c r="AK85" s="582" t="e">
        <f>SUM(AK69/AE85)</f>
        <v>#DIV/0!</v>
      </c>
      <c r="AL85" s="588" t="e">
        <f>AL69/AC85</f>
        <v>#DIV/0!</v>
      </c>
      <c r="AM85" s="575" t="e">
        <f>AM69/AD85</f>
        <v>#DIV/0!</v>
      </c>
      <c r="AN85" s="582" t="e">
        <f>AN69/AE85</f>
        <v>#DIV/0!</v>
      </c>
    </row>
    <row r="86" spans="1:40" s="72" customFormat="1" ht="15.75" x14ac:dyDescent="0.25">
      <c r="A86" s="811"/>
      <c r="B86" s="811"/>
      <c r="C86" s="119" t="e">
        <f ca="1">SUM(C85-B85)/B85</f>
        <v>#DIV/0!</v>
      </c>
      <c r="D86" s="825" t="str">
        <f ca="1">IF(C85&gt;B85,"p","q")</f>
        <v>q</v>
      </c>
      <c r="E86" s="811"/>
      <c r="F86" s="119" t="e">
        <f ca="1">SUM(F85-E85)/E85</f>
        <v>#DIV/0!</v>
      </c>
      <c r="G86" s="811"/>
      <c r="H86" s="811"/>
      <c r="I86" s="119" t="e">
        <f ca="1">SUM(I85-H85)/H85</f>
        <v>#DIV/0!</v>
      </c>
      <c r="AB86" s="812"/>
      <c r="AC86" s="813"/>
      <c r="AD86" s="814"/>
      <c r="AE86" s="815"/>
      <c r="AF86" s="816"/>
      <c r="AG86" s="817"/>
      <c r="AH86" s="818"/>
      <c r="AI86" s="819"/>
      <c r="AJ86" s="817"/>
      <c r="AK86" s="818"/>
      <c r="AL86" s="819"/>
      <c r="AM86" s="817"/>
      <c r="AN86" s="818"/>
    </row>
    <row r="87" spans="1:40" ht="16.5" thickBot="1" x14ac:dyDescent="0.3">
      <c r="D87" s="826" t="e">
        <f ca="1">IF(C86&lt;=0%,3,IF(C86&lt;=5%,2,1))</f>
        <v>#DIV/0!</v>
      </c>
      <c r="F87" s="825" t="str">
        <f ca="1">IF(F85&gt;E85,"p","q")</f>
        <v>q</v>
      </c>
      <c r="I87" s="825" t="str">
        <f ca="1">IF(I85&gt;H85,"p","q")</f>
        <v>q</v>
      </c>
      <c r="AB87" s="557" t="s">
        <v>7</v>
      </c>
      <c r="AC87" s="560">
        <f t="shared" ref="AC87:AE87" si="25">AC70</f>
        <v>0</v>
      </c>
      <c r="AD87" s="555">
        <f t="shared" si="25"/>
        <v>0</v>
      </c>
      <c r="AE87" s="561">
        <f t="shared" si="25"/>
        <v>0</v>
      </c>
      <c r="AF87" s="587" t="e">
        <f t="shared" ref="AF87:AH90" si="26">AF70/AC87</f>
        <v>#DIV/0!</v>
      </c>
      <c r="AG87" s="578" t="e">
        <f t="shared" si="26"/>
        <v>#DIV/0!</v>
      </c>
      <c r="AH87" s="579" t="e">
        <f t="shared" si="26"/>
        <v>#DIV/0!</v>
      </c>
      <c r="AI87" s="589" t="e">
        <f t="shared" ref="AI87:AK90" si="27">SUM(AI70/AC87)</f>
        <v>#DIV/0!</v>
      </c>
      <c r="AJ87" s="578" t="e">
        <f t="shared" si="27"/>
        <v>#DIV/0!</v>
      </c>
      <c r="AK87" s="579" t="e">
        <f t="shared" si="27"/>
        <v>#DIV/0!</v>
      </c>
      <c r="AL87" s="589" t="e">
        <f t="shared" ref="AL87:AN90" si="28">AL70/AC87</f>
        <v>#DIV/0!</v>
      </c>
      <c r="AM87" s="578" t="e">
        <f t="shared" si="28"/>
        <v>#DIV/0!</v>
      </c>
      <c r="AN87" s="579" t="e">
        <f t="shared" si="28"/>
        <v>#DIV/0!</v>
      </c>
    </row>
    <row r="88" spans="1:40" ht="16.5" thickBot="1" x14ac:dyDescent="0.3">
      <c r="A88" s="964" t="s">
        <v>89</v>
      </c>
      <c r="B88" s="965"/>
      <c r="C88" s="966"/>
      <c r="D88" s="821" t="e">
        <f ca="1">CHOOSE(D87,$I$69,$I$70,$I$71)</f>
        <v>#DIV/0!</v>
      </c>
      <c r="F88" s="826" t="e">
        <f ca="1">IF(F86&lt;=0%,3,IF(F86&lt;=5%,2,1))</f>
        <v>#DIV/0!</v>
      </c>
      <c r="I88" s="826" t="e">
        <f ca="1">IF(I86&lt;=0%,3,IF(I86&lt;=5%,2,1))</f>
        <v>#DIV/0!</v>
      </c>
      <c r="AB88" s="558" t="s">
        <v>8</v>
      </c>
      <c r="AC88" s="560">
        <f t="shared" ref="AC88:AE88" si="29">AC71</f>
        <v>0</v>
      </c>
      <c r="AD88" s="555">
        <f t="shared" si="29"/>
        <v>0</v>
      </c>
      <c r="AE88" s="561">
        <f t="shared" si="29"/>
        <v>0</v>
      </c>
      <c r="AF88" s="587" t="e">
        <f t="shared" si="26"/>
        <v>#DIV/0!</v>
      </c>
      <c r="AG88" s="578" t="e">
        <f t="shared" si="26"/>
        <v>#DIV/0!</v>
      </c>
      <c r="AH88" s="579" t="e">
        <f t="shared" si="26"/>
        <v>#DIV/0!</v>
      </c>
      <c r="AI88" s="589" t="e">
        <f t="shared" si="27"/>
        <v>#DIV/0!</v>
      </c>
      <c r="AJ88" s="578" t="e">
        <f t="shared" si="27"/>
        <v>#DIV/0!</v>
      </c>
      <c r="AK88" s="579" t="e">
        <f t="shared" si="27"/>
        <v>#DIV/0!</v>
      </c>
      <c r="AL88" s="589" t="e">
        <f t="shared" si="28"/>
        <v>#DIV/0!</v>
      </c>
      <c r="AM88" s="578" t="e">
        <f t="shared" si="28"/>
        <v>#DIV/0!</v>
      </c>
      <c r="AN88" s="579" t="e">
        <f t="shared" si="28"/>
        <v>#DIV/0!</v>
      </c>
    </row>
    <row r="89" spans="1:40" ht="16.5" thickBot="1" x14ac:dyDescent="0.3">
      <c r="A89" s="188" t="s">
        <v>14</v>
      </c>
      <c r="B89" s="102" t="s">
        <v>15</v>
      </c>
      <c r="C89" s="189" t="s">
        <v>16</v>
      </c>
      <c r="F89" s="821" t="e">
        <f ca="1">CHOOSE(F88,$I$69,$I$70,$I$71)</f>
        <v>#DIV/0!</v>
      </c>
      <c r="I89" s="821" t="e">
        <f ca="1">CHOOSE(I88,$I$69,$I$70,$I$71)</f>
        <v>#DIV/0!</v>
      </c>
      <c r="AB89" s="558" t="s">
        <v>9</v>
      </c>
      <c r="AC89" s="560">
        <f t="shared" ref="AC89:AE89" si="30">AC72</f>
        <v>0</v>
      </c>
      <c r="AD89" s="555">
        <f t="shared" si="30"/>
        <v>0</v>
      </c>
      <c r="AE89" s="561">
        <f t="shared" si="30"/>
        <v>0</v>
      </c>
      <c r="AF89" s="587" t="e">
        <f t="shared" si="26"/>
        <v>#DIV/0!</v>
      </c>
      <c r="AG89" s="578" t="e">
        <f t="shared" si="26"/>
        <v>#DIV/0!</v>
      </c>
      <c r="AH89" s="579" t="e">
        <f t="shared" si="26"/>
        <v>#DIV/0!</v>
      </c>
      <c r="AI89" s="589" t="e">
        <f t="shared" si="27"/>
        <v>#DIV/0!</v>
      </c>
      <c r="AJ89" s="578" t="e">
        <f t="shared" si="27"/>
        <v>#DIV/0!</v>
      </c>
      <c r="AK89" s="579" t="e">
        <f t="shared" si="27"/>
        <v>#DIV/0!</v>
      </c>
      <c r="AL89" s="589" t="e">
        <f t="shared" si="28"/>
        <v>#DIV/0!</v>
      </c>
      <c r="AM89" s="578" t="e">
        <f t="shared" si="28"/>
        <v>#DIV/0!</v>
      </c>
      <c r="AN89" s="579" t="e">
        <f t="shared" si="28"/>
        <v>#DIV/0!</v>
      </c>
    </row>
    <row r="90" spans="1:40" ht="16.5" thickBot="1" x14ac:dyDescent="0.3">
      <c r="A90" s="190">
        <f ca="1">SUM(OFFSET('Saisie CA'!V33,0,0,MATCH('TDB entreprise'!C10,'Saisie CA'!A33:A44,0)))</f>
        <v>0</v>
      </c>
      <c r="B90" s="190">
        <f ca="1">SUM(OFFSET('Saisie CA'!W33,0,0,MATCH('TDB entreprise'!C10,'Saisie CA'!A33:A44,0)))</f>
        <v>0</v>
      </c>
      <c r="C90" s="203">
        <f ca="1">SUM(OFFSET('Saisie CA'!X33,0,0,MATCH('TDB entreprise'!C10,'Saisie CA'!A33:A44,0)))</f>
        <v>0</v>
      </c>
      <c r="AB90" s="558" t="s">
        <v>10</v>
      </c>
      <c r="AC90" s="560">
        <f t="shared" ref="AC90:AE90" si="31">AC73</f>
        <v>0</v>
      </c>
      <c r="AD90" s="555">
        <f t="shared" si="31"/>
        <v>0</v>
      </c>
      <c r="AE90" s="561">
        <f t="shared" si="31"/>
        <v>0</v>
      </c>
      <c r="AF90" s="587" t="e">
        <f t="shared" si="26"/>
        <v>#DIV/0!</v>
      </c>
      <c r="AG90" s="578" t="e">
        <f t="shared" si="26"/>
        <v>#DIV/0!</v>
      </c>
      <c r="AH90" s="579" t="e">
        <f t="shared" si="26"/>
        <v>#DIV/0!</v>
      </c>
      <c r="AI90" s="589" t="e">
        <f t="shared" si="27"/>
        <v>#DIV/0!</v>
      </c>
      <c r="AJ90" s="578" t="e">
        <f t="shared" si="27"/>
        <v>#DIV/0!</v>
      </c>
      <c r="AK90" s="579" t="e">
        <f t="shared" si="27"/>
        <v>#DIV/0!</v>
      </c>
      <c r="AL90" s="589" t="e">
        <f t="shared" si="28"/>
        <v>#DIV/0!</v>
      </c>
      <c r="AM90" s="578" t="e">
        <f t="shared" si="28"/>
        <v>#DIV/0!</v>
      </c>
      <c r="AN90" s="579" t="e">
        <f t="shared" si="28"/>
        <v>#DIV/0!</v>
      </c>
    </row>
    <row r="91" spans="1:40" s="72" customFormat="1" ht="15.75" x14ac:dyDescent="0.25">
      <c r="A91" s="811"/>
      <c r="B91" s="811"/>
      <c r="C91" s="820" t="e">
        <f ca="1">SUM(C90-B90)/B90</f>
        <v>#DIV/0!</v>
      </c>
      <c r="D91" s="825" t="str">
        <f ca="1">IF(C90&gt;B90,"p","q")</f>
        <v>q</v>
      </c>
      <c r="E91" s="826" t="e">
        <f ca="1">IF(C91&lt;=0%,3,IF(C91&lt;=5%,2,1))</f>
        <v>#DIV/0!</v>
      </c>
      <c r="F91" s="821" t="e">
        <f ca="1">CHOOSE(E91,$I$69,$I$70,$I$71)</f>
        <v>#DIV/0!</v>
      </c>
      <c r="AB91" s="558"/>
      <c r="AC91" s="560"/>
      <c r="AD91" s="555"/>
      <c r="AE91" s="561"/>
      <c r="AF91" s="587"/>
      <c r="AG91" s="578"/>
      <c r="AH91" s="579"/>
      <c r="AI91" s="589"/>
      <c r="AJ91" s="578"/>
      <c r="AK91" s="579"/>
      <c r="AL91" s="589"/>
      <c r="AM91" s="578"/>
      <c r="AN91" s="579"/>
    </row>
    <row r="92" spans="1:40" ht="16.5" thickBot="1" x14ac:dyDescent="0.3">
      <c r="AB92" s="558" t="s">
        <v>11</v>
      </c>
      <c r="AC92" s="560">
        <f t="shared" ref="AC92:AE92" si="32">AC74</f>
        <v>0</v>
      </c>
      <c r="AD92" s="555">
        <f t="shared" si="32"/>
        <v>0</v>
      </c>
      <c r="AE92" s="561">
        <f t="shared" si="32"/>
        <v>0</v>
      </c>
      <c r="AF92" s="587" t="e">
        <f t="shared" ref="AF92:AH95" si="33">AF74/AC92</f>
        <v>#DIV/0!</v>
      </c>
      <c r="AG92" s="578" t="e">
        <f t="shared" si="33"/>
        <v>#DIV/0!</v>
      </c>
      <c r="AH92" s="579" t="e">
        <f t="shared" si="33"/>
        <v>#DIV/0!</v>
      </c>
      <c r="AI92" s="589" t="e">
        <f t="shared" ref="AI92:AK95" si="34">SUM(AI74/AC92)</f>
        <v>#DIV/0!</v>
      </c>
      <c r="AJ92" s="578" t="e">
        <f t="shared" si="34"/>
        <v>#DIV/0!</v>
      </c>
      <c r="AK92" s="579" t="e">
        <f t="shared" si="34"/>
        <v>#DIV/0!</v>
      </c>
      <c r="AL92" s="589" t="e">
        <f t="shared" ref="AL92:AN95" si="35">AL74/AC92</f>
        <v>#DIV/0!</v>
      </c>
      <c r="AM92" s="578" t="e">
        <f t="shared" si="35"/>
        <v>#DIV/0!</v>
      </c>
      <c r="AN92" s="579" t="e">
        <f t="shared" si="35"/>
        <v>#DIV/0!</v>
      </c>
    </row>
    <row r="93" spans="1:40" ht="16.5" thickBot="1" x14ac:dyDescent="0.3">
      <c r="A93" s="964" t="s">
        <v>90</v>
      </c>
      <c r="B93" s="965"/>
      <c r="C93" s="966"/>
      <c r="D93" s="964" t="s">
        <v>91</v>
      </c>
      <c r="E93" s="965"/>
      <c r="F93" s="966"/>
      <c r="G93" s="964" t="s">
        <v>92</v>
      </c>
      <c r="H93" s="965"/>
      <c r="I93" s="966"/>
      <c r="AB93" s="558" t="s">
        <v>12</v>
      </c>
      <c r="AC93" s="560">
        <f t="shared" ref="AC93:AE93" si="36">AC75</f>
        <v>0</v>
      </c>
      <c r="AD93" s="555">
        <f t="shared" si="36"/>
        <v>0</v>
      </c>
      <c r="AE93" s="561">
        <f t="shared" si="36"/>
        <v>0</v>
      </c>
      <c r="AF93" s="587" t="e">
        <f t="shared" si="33"/>
        <v>#DIV/0!</v>
      </c>
      <c r="AG93" s="578" t="e">
        <f t="shared" si="33"/>
        <v>#DIV/0!</v>
      </c>
      <c r="AH93" s="579" t="e">
        <f t="shared" si="33"/>
        <v>#DIV/0!</v>
      </c>
      <c r="AI93" s="589" t="e">
        <f t="shared" si="34"/>
        <v>#DIV/0!</v>
      </c>
      <c r="AJ93" s="578" t="e">
        <f t="shared" si="34"/>
        <v>#DIV/0!</v>
      </c>
      <c r="AK93" s="579" t="e">
        <f t="shared" si="34"/>
        <v>#DIV/0!</v>
      </c>
      <c r="AL93" s="589" t="e">
        <f t="shared" si="35"/>
        <v>#DIV/0!</v>
      </c>
      <c r="AM93" s="578" t="e">
        <f t="shared" si="35"/>
        <v>#DIV/0!</v>
      </c>
      <c r="AN93" s="579" t="e">
        <f t="shared" si="35"/>
        <v>#DIV/0!</v>
      </c>
    </row>
    <row r="94" spans="1:40" ht="16.5" thickBot="1" x14ac:dyDescent="0.3">
      <c r="A94" s="188" t="s">
        <v>14</v>
      </c>
      <c r="B94" s="102" t="s">
        <v>15</v>
      </c>
      <c r="C94" s="189" t="s">
        <v>16</v>
      </c>
      <c r="D94" s="188" t="s">
        <v>14</v>
      </c>
      <c r="E94" s="102" t="s">
        <v>15</v>
      </c>
      <c r="F94" s="189" t="s">
        <v>16</v>
      </c>
      <c r="G94" s="188" t="s">
        <v>14</v>
      </c>
      <c r="H94" s="102" t="s">
        <v>15</v>
      </c>
      <c r="I94" s="189" t="s">
        <v>16</v>
      </c>
      <c r="AB94" s="558" t="s">
        <v>13</v>
      </c>
      <c r="AC94" s="560">
        <f t="shared" ref="AC94:AE94" si="37">AC76</f>
        <v>0</v>
      </c>
      <c r="AD94" s="555">
        <f t="shared" si="37"/>
        <v>0</v>
      </c>
      <c r="AE94" s="561">
        <f t="shared" si="37"/>
        <v>0</v>
      </c>
      <c r="AF94" s="587" t="e">
        <f t="shared" si="33"/>
        <v>#DIV/0!</v>
      </c>
      <c r="AG94" s="578" t="e">
        <f t="shared" si="33"/>
        <v>#DIV/0!</v>
      </c>
      <c r="AH94" s="579" t="e">
        <f t="shared" si="33"/>
        <v>#DIV/0!</v>
      </c>
      <c r="AI94" s="589" t="e">
        <f t="shared" si="34"/>
        <v>#DIV/0!</v>
      </c>
      <c r="AJ94" s="578" t="e">
        <f t="shared" si="34"/>
        <v>#DIV/0!</v>
      </c>
      <c r="AK94" s="579" t="e">
        <f t="shared" si="34"/>
        <v>#DIV/0!</v>
      </c>
      <c r="AL94" s="589" t="e">
        <f t="shared" si="35"/>
        <v>#DIV/0!</v>
      </c>
      <c r="AM94" s="578" t="e">
        <f t="shared" si="35"/>
        <v>#DIV/0!</v>
      </c>
      <c r="AN94" s="579" t="e">
        <f t="shared" si="35"/>
        <v>#DIV/0!</v>
      </c>
    </row>
    <row r="95" spans="1:40" ht="16.5" thickBot="1" x14ac:dyDescent="0.3">
      <c r="A95" s="190">
        <f ca="1">SUM(OFFSET(MAGASINS!C20,0,0,MATCH('TABLEAU DE BORD MAGASINS'!$C$10,MAGASINS!B20:B31,0)))</f>
        <v>0</v>
      </c>
      <c r="B95" s="190">
        <f ca="1">SUM(OFFSET(MAGASINS!D20,0,0,MATCH('TABLEAU DE BORD MAGASINS'!$C$10,MAGASINS!B20:B31,0)))</f>
        <v>0</v>
      </c>
      <c r="C95" s="203">
        <f ca="1">SUM(OFFSET(MAGASINS!E20,0,0,MATCH('TABLEAU DE BORD MAGASINS'!$C$10,MAGASINS!B20:B31,0)))</f>
        <v>0</v>
      </c>
      <c r="D95" s="190">
        <f ca="1">SUM(OFFSET('Boutique 1'!C20,0,0,MATCH('TABLEAU DE BORD MAGASINS'!C10,'Boutique 1'!B20:B31,0)))</f>
        <v>0</v>
      </c>
      <c r="E95" s="190">
        <f ca="1">SUM(OFFSET('Boutique 1'!D20,0,0,MATCH('TABLEAU DE BORD MAGASINS'!C10,'Boutique 1'!B20:B31,0)))</f>
        <v>0</v>
      </c>
      <c r="F95" s="203">
        <f ca="1">SUM(OFFSET('Boutique 1'!E20,0,0,MATCH('TABLEAU DE BORD MAGASINS'!C10,'Boutique 1'!B20:B31,0)))</f>
        <v>0</v>
      </c>
      <c r="G95" s="190">
        <f ca="1">SUM(OFFSET('Boutique 2'!C20,0,0,MATCH('TABLEAU DE BORD MAGASINS'!$C$10,'Boutique 2'!B20:B32,0)))</f>
        <v>0</v>
      </c>
      <c r="H95" s="190">
        <f ca="1">SUM(OFFSET('Boutique 2'!D20,0,0,MATCH('TABLEAU DE BORD MAGASINS'!$C$10,'Boutique 2'!B20:B32,0)))</f>
        <v>0</v>
      </c>
      <c r="I95" s="203">
        <f ca="1">SUM(OFFSET('Boutique 2'!E20,0,0,MATCH('TABLEAU DE BORD MAGASINS'!$C$10,'Boutique 2'!B20:B32,0)))</f>
        <v>0</v>
      </c>
      <c r="AB95" s="558" t="s">
        <v>2</v>
      </c>
      <c r="AC95" s="560">
        <f t="shared" ref="AC95:AE95" si="38">AC77</f>
        <v>0</v>
      </c>
      <c r="AD95" s="555">
        <f t="shared" si="38"/>
        <v>0</v>
      </c>
      <c r="AE95" s="561">
        <f t="shared" si="38"/>
        <v>0</v>
      </c>
      <c r="AF95" s="587" t="e">
        <f t="shared" si="33"/>
        <v>#DIV/0!</v>
      </c>
      <c r="AG95" s="578" t="e">
        <f t="shared" si="33"/>
        <v>#DIV/0!</v>
      </c>
      <c r="AH95" s="579" t="e">
        <f t="shared" si="33"/>
        <v>#DIV/0!</v>
      </c>
      <c r="AI95" s="589" t="e">
        <f t="shared" si="34"/>
        <v>#DIV/0!</v>
      </c>
      <c r="AJ95" s="578" t="e">
        <f t="shared" si="34"/>
        <v>#DIV/0!</v>
      </c>
      <c r="AK95" s="579" t="e">
        <f t="shared" si="34"/>
        <v>#DIV/0!</v>
      </c>
      <c r="AL95" s="589" t="e">
        <f t="shared" si="35"/>
        <v>#DIV/0!</v>
      </c>
      <c r="AM95" s="578" t="e">
        <f t="shared" si="35"/>
        <v>#DIV/0!</v>
      </c>
      <c r="AN95" s="579" t="e">
        <f t="shared" si="35"/>
        <v>#DIV/0!</v>
      </c>
    </row>
    <row r="96" spans="1:40" s="72" customFormat="1" ht="15.75" x14ac:dyDescent="0.25">
      <c r="A96" s="811"/>
      <c r="B96" s="811"/>
      <c r="C96" s="119" t="e">
        <f ca="1">SUM(C95-B95)/B95</f>
        <v>#DIV/0!</v>
      </c>
      <c r="D96" s="825" t="str">
        <f ca="1">IF(C95&gt;B95,"p","q")</f>
        <v>q</v>
      </c>
      <c r="E96" s="811"/>
      <c r="F96" s="119" t="e">
        <f ca="1">SUM(F95-E95)/E95</f>
        <v>#DIV/0!</v>
      </c>
      <c r="G96" s="811"/>
      <c r="H96" s="811"/>
      <c r="I96" s="119" t="e">
        <f ca="1">SUM(I95-H95)/H95</f>
        <v>#DIV/0!</v>
      </c>
      <c r="AB96" s="558"/>
      <c r="AC96" s="560"/>
      <c r="AD96" s="555"/>
      <c r="AE96" s="561"/>
      <c r="AF96" s="587"/>
      <c r="AG96" s="578"/>
      <c r="AH96" s="579"/>
      <c r="AI96" s="589"/>
      <c r="AJ96" s="578"/>
      <c r="AK96" s="579"/>
      <c r="AL96" s="589"/>
      <c r="AM96" s="578"/>
      <c r="AN96" s="579"/>
    </row>
    <row r="97" spans="1:40" ht="16.5" thickBot="1" x14ac:dyDescent="0.3">
      <c r="D97" s="826" t="e">
        <f ca="1">IF(C96&lt;=0%,3,IF(C96&lt;=5%,2,1))</f>
        <v>#DIV/0!</v>
      </c>
      <c r="F97" s="825" t="str">
        <f ca="1">IF(F95&gt;E95,"p","q")</f>
        <v>q</v>
      </c>
      <c r="I97" s="825" t="str">
        <f ca="1">IF(I95&gt;H95,"p","q")</f>
        <v>q</v>
      </c>
      <c r="AB97" s="558" t="s">
        <v>3</v>
      </c>
      <c r="AC97" s="560">
        <f t="shared" ref="AC97:AE97" si="39">AC78</f>
        <v>0</v>
      </c>
      <c r="AD97" s="555">
        <f t="shared" si="39"/>
        <v>0</v>
      </c>
      <c r="AE97" s="561">
        <f t="shared" si="39"/>
        <v>0</v>
      </c>
      <c r="AF97" s="587" t="e">
        <f t="shared" ref="AF97:AH99" si="40">AF78/AC97</f>
        <v>#DIV/0!</v>
      </c>
      <c r="AG97" s="578" t="e">
        <f t="shared" si="40"/>
        <v>#DIV/0!</v>
      </c>
      <c r="AH97" s="579" t="e">
        <f t="shared" si="40"/>
        <v>#DIV/0!</v>
      </c>
      <c r="AI97" s="589" t="e">
        <f t="shared" ref="AI97:AK99" si="41">SUM(AI78/AC97)</f>
        <v>#DIV/0!</v>
      </c>
      <c r="AJ97" s="578" t="e">
        <f t="shared" si="41"/>
        <v>#DIV/0!</v>
      </c>
      <c r="AK97" s="579" t="e">
        <f t="shared" si="41"/>
        <v>#DIV/0!</v>
      </c>
      <c r="AL97" s="589" t="e">
        <f t="shared" ref="AL97:AN99" si="42">AL78/AC97</f>
        <v>#DIV/0!</v>
      </c>
      <c r="AM97" s="578" t="e">
        <f t="shared" si="42"/>
        <v>#DIV/0!</v>
      </c>
      <c r="AN97" s="579" t="e">
        <f t="shared" si="42"/>
        <v>#DIV/0!</v>
      </c>
    </row>
    <row r="98" spans="1:40" ht="16.5" thickBot="1" x14ac:dyDescent="0.3">
      <c r="A98" s="964" t="s">
        <v>93</v>
      </c>
      <c r="B98" s="965"/>
      <c r="C98" s="966"/>
      <c r="D98" s="821" t="e">
        <f ca="1">CHOOSE(D97,$I$69,$I$70,$I$71)</f>
        <v>#DIV/0!</v>
      </c>
      <c r="F98" s="826" t="e">
        <f ca="1">IF(F96&lt;=0%,3,IF(F96&lt;=5%,2,1))</f>
        <v>#DIV/0!</v>
      </c>
      <c r="I98" s="826" t="e">
        <f ca="1">IF(I96&lt;=0%,3,IF(I96&lt;=5%,2,1))</f>
        <v>#DIV/0!</v>
      </c>
      <c r="AB98" s="558" t="s">
        <v>4</v>
      </c>
      <c r="AC98" s="560">
        <f t="shared" ref="AC98:AE98" si="43">AC79</f>
        <v>0</v>
      </c>
      <c r="AD98" s="555">
        <f t="shared" si="43"/>
        <v>0</v>
      </c>
      <c r="AE98" s="561">
        <f t="shared" si="43"/>
        <v>0</v>
      </c>
      <c r="AF98" s="587" t="e">
        <f t="shared" si="40"/>
        <v>#DIV/0!</v>
      </c>
      <c r="AG98" s="578" t="e">
        <f t="shared" si="40"/>
        <v>#DIV/0!</v>
      </c>
      <c r="AH98" s="579" t="e">
        <f t="shared" si="40"/>
        <v>#DIV/0!</v>
      </c>
      <c r="AI98" s="589" t="e">
        <f t="shared" si="41"/>
        <v>#DIV/0!</v>
      </c>
      <c r="AJ98" s="578" t="e">
        <f t="shared" si="41"/>
        <v>#DIV/0!</v>
      </c>
      <c r="AK98" s="579" t="e">
        <f t="shared" si="41"/>
        <v>#DIV/0!</v>
      </c>
      <c r="AL98" s="589" t="e">
        <f t="shared" si="42"/>
        <v>#DIV/0!</v>
      </c>
      <c r="AM98" s="578" t="e">
        <f t="shared" si="42"/>
        <v>#DIV/0!</v>
      </c>
      <c r="AN98" s="579" t="e">
        <f t="shared" si="42"/>
        <v>#DIV/0!</v>
      </c>
    </row>
    <row r="99" spans="1:40" ht="16.5" thickBot="1" x14ac:dyDescent="0.3">
      <c r="A99" s="188" t="s">
        <v>14</v>
      </c>
      <c r="B99" s="102" t="s">
        <v>15</v>
      </c>
      <c r="C99" s="189" t="s">
        <v>16</v>
      </c>
      <c r="F99" s="821" t="e">
        <f ca="1">CHOOSE(F98,$I$69,$I$70,$I$71)</f>
        <v>#DIV/0!</v>
      </c>
      <c r="I99" s="821" t="e">
        <f ca="1">CHOOSE(I98,$I$69,$I$70,$I$71)</f>
        <v>#DIV/0!</v>
      </c>
      <c r="AB99" s="559" t="s">
        <v>5</v>
      </c>
      <c r="AC99" s="562">
        <f t="shared" ref="AC99:AE99" si="44">AC80</f>
        <v>0</v>
      </c>
      <c r="AD99" s="556">
        <f t="shared" si="44"/>
        <v>0</v>
      </c>
      <c r="AE99" s="563">
        <f t="shared" si="44"/>
        <v>0</v>
      </c>
      <c r="AF99" s="613" t="e">
        <f t="shared" si="40"/>
        <v>#DIV/0!</v>
      </c>
      <c r="AG99" s="580" t="e">
        <f t="shared" si="40"/>
        <v>#DIV/0!</v>
      </c>
      <c r="AH99" s="581" t="e">
        <f t="shared" si="40"/>
        <v>#DIV/0!</v>
      </c>
      <c r="AI99" s="590" t="e">
        <f t="shared" si="41"/>
        <v>#DIV/0!</v>
      </c>
      <c r="AJ99" s="580" t="e">
        <f t="shared" si="41"/>
        <v>#DIV/0!</v>
      </c>
      <c r="AK99" s="581" t="e">
        <f t="shared" si="41"/>
        <v>#DIV/0!</v>
      </c>
      <c r="AL99" s="590" t="e">
        <f t="shared" si="42"/>
        <v>#DIV/0!</v>
      </c>
      <c r="AM99" s="580" t="e">
        <f t="shared" si="42"/>
        <v>#DIV/0!</v>
      </c>
      <c r="AN99" s="581" t="e">
        <f t="shared" si="42"/>
        <v>#DIV/0!</v>
      </c>
    </row>
    <row r="100" spans="1:40" ht="15.75" thickBot="1" x14ac:dyDescent="0.3">
      <c r="A100" s="190">
        <f ca="1">SUM(OFFSET('Saisie Commerciaux'!T64,0,0,MATCH('Tableau de Bord commerciaux'!C10,'Saisie Commerciaux'!A64:A75,0)))</f>
        <v>0</v>
      </c>
      <c r="B100" s="190">
        <f ca="1">SUM(OFFSET('Saisie Commerciaux'!U64,0,0,MATCH('Tableau de Bord commerciaux'!C10,'Saisie Commerciaux'!A64:A75,0)))</f>
        <v>0</v>
      </c>
      <c r="C100" s="203">
        <f ca="1">SUM(OFFSET('Saisie Commerciaux'!V64,0,0,MATCH('Tableau de Bord commerciaux'!C10,'Saisie Commerciaux'!A64:A75,0)))</f>
        <v>0</v>
      </c>
    </row>
    <row r="101" spans="1:40" s="72" customFormat="1" x14ac:dyDescent="0.25">
      <c r="A101" s="811"/>
      <c r="B101" s="811"/>
      <c r="C101" s="811"/>
      <c r="D101" s="36"/>
      <c r="E101" s="36"/>
      <c r="F101" s="36"/>
    </row>
    <row r="102" spans="1:40" ht="15.75" thickBot="1" x14ac:dyDescent="0.3"/>
    <row r="103" spans="1:40" ht="16.5" thickBot="1" x14ac:dyDescent="0.3">
      <c r="A103" s="957" t="s">
        <v>94</v>
      </c>
      <c r="B103" s="958"/>
      <c r="C103" s="959"/>
      <c r="D103" s="960" t="s">
        <v>95</v>
      </c>
      <c r="E103" s="961"/>
      <c r="F103" s="962"/>
    </row>
    <row r="104" spans="1:40" ht="16.5" thickBot="1" x14ac:dyDescent="0.3">
      <c r="A104" s="440"/>
      <c r="B104" s="29" t="s">
        <v>15</v>
      </c>
      <c r="C104" s="441" t="s">
        <v>16</v>
      </c>
      <c r="D104" s="29"/>
      <c r="E104" s="29" t="s">
        <v>15</v>
      </c>
      <c r="F104" s="441" t="s">
        <v>16</v>
      </c>
    </row>
    <row r="105" spans="1:40" ht="15.75" x14ac:dyDescent="0.25">
      <c r="A105" s="437" t="s">
        <v>6</v>
      </c>
      <c r="B105" s="438" t="e">
        <f>SUM(PRODUCTION!D20/ATELIER!D20)</f>
        <v>#DIV/0!</v>
      </c>
      <c r="C105" s="439" t="e">
        <f>SUM(PRODUCTION!E20/ATELIER!E20)</f>
        <v>#DIV/0!</v>
      </c>
      <c r="D105" s="444" t="s">
        <v>6</v>
      </c>
      <c r="E105" s="438" t="e">
        <f>SUM(NEGOCE!D20/ATELIER!D20)</f>
        <v>#DIV/0!</v>
      </c>
      <c r="F105" s="439" t="e">
        <f>SUM(NEGOCE!E20/ATELIER!E20)</f>
        <v>#DIV/0!</v>
      </c>
    </row>
    <row r="106" spans="1:40" ht="15.75" x14ac:dyDescent="0.25">
      <c r="A106" s="431" t="s">
        <v>7</v>
      </c>
      <c r="B106" s="435" t="e">
        <f>SUM(PRODUCTION!D21/ATELIER!D21)</f>
        <v>#DIV/0!</v>
      </c>
      <c r="C106" s="433" t="e">
        <f>SUM(PRODUCTION!E21/ATELIER!E21)</f>
        <v>#DIV/0!</v>
      </c>
      <c r="D106" s="442" t="s">
        <v>7</v>
      </c>
      <c r="E106" s="435" t="e">
        <f>SUM(NEGOCE!D21/ATELIER!D21)</f>
        <v>#DIV/0!</v>
      </c>
      <c r="F106" s="433" t="e">
        <f>SUM(NEGOCE!E21/ATELIER!E21)</f>
        <v>#DIV/0!</v>
      </c>
    </row>
    <row r="107" spans="1:40" ht="15.75" x14ac:dyDescent="0.25">
      <c r="A107" s="431" t="s">
        <v>8</v>
      </c>
      <c r="B107" s="435" t="e">
        <f>SUM(PRODUCTION!D22/ATELIER!D22)</f>
        <v>#DIV/0!</v>
      </c>
      <c r="C107" s="433" t="e">
        <f>SUM(PRODUCTION!E22/ATELIER!E22)</f>
        <v>#DIV/0!</v>
      </c>
      <c r="D107" s="442" t="s">
        <v>8</v>
      </c>
      <c r="E107" s="435" t="e">
        <f>SUM(NEGOCE!D22/ATELIER!D22)</f>
        <v>#DIV/0!</v>
      </c>
      <c r="F107" s="433" t="e">
        <f>SUM(NEGOCE!E22/ATELIER!E22)</f>
        <v>#DIV/0!</v>
      </c>
    </row>
    <row r="108" spans="1:40" ht="15.75" x14ac:dyDescent="0.25">
      <c r="A108" s="431" t="s">
        <v>9</v>
      </c>
      <c r="B108" s="435" t="e">
        <f>SUM(PRODUCTION!D23/ATELIER!D23)</f>
        <v>#DIV/0!</v>
      </c>
      <c r="C108" s="433" t="e">
        <f>SUM(PRODUCTION!E23/ATELIER!E23)</f>
        <v>#DIV/0!</v>
      </c>
      <c r="D108" s="442" t="s">
        <v>9</v>
      </c>
      <c r="E108" s="435" t="e">
        <f>SUM(NEGOCE!D23/ATELIER!D23)</f>
        <v>#DIV/0!</v>
      </c>
      <c r="F108" s="433" t="e">
        <f>SUM(NEGOCE!E23/ATELIER!E23)</f>
        <v>#DIV/0!</v>
      </c>
    </row>
    <row r="109" spans="1:40" ht="15.75" x14ac:dyDescent="0.25">
      <c r="A109" s="431" t="s">
        <v>10</v>
      </c>
      <c r="B109" s="435" t="e">
        <f>SUM(PRODUCTION!D24/ATELIER!D24)</f>
        <v>#DIV/0!</v>
      </c>
      <c r="C109" s="433" t="e">
        <f>SUM(PRODUCTION!E24/ATELIER!E24)</f>
        <v>#DIV/0!</v>
      </c>
      <c r="D109" s="442" t="s">
        <v>10</v>
      </c>
      <c r="E109" s="435" t="e">
        <f>SUM(NEGOCE!D24/ATELIER!D24)</f>
        <v>#DIV/0!</v>
      </c>
      <c r="F109" s="433" t="e">
        <f>SUM(NEGOCE!E24/ATELIER!E24)</f>
        <v>#DIV/0!</v>
      </c>
    </row>
    <row r="110" spans="1:40" ht="15.75" x14ac:dyDescent="0.25">
      <c r="A110" s="431" t="s">
        <v>11</v>
      </c>
      <c r="B110" s="435" t="e">
        <f>SUM(PRODUCTION!D25/ATELIER!D25)</f>
        <v>#DIV/0!</v>
      </c>
      <c r="C110" s="433" t="e">
        <f>SUM(PRODUCTION!E25/ATELIER!E25)</f>
        <v>#DIV/0!</v>
      </c>
      <c r="D110" s="442" t="s">
        <v>11</v>
      </c>
      <c r="E110" s="435" t="e">
        <f>SUM(NEGOCE!D25/ATELIER!D25)</f>
        <v>#DIV/0!</v>
      </c>
      <c r="F110" s="433" t="e">
        <f>SUM(NEGOCE!E25/ATELIER!E25)</f>
        <v>#DIV/0!</v>
      </c>
    </row>
    <row r="111" spans="1:40" ht="15.75" x14ac:dyDescent="0.25">
      <c r="A111" s="431" t="s">
        <v>12</v>
      </c>
      <c r="B111" s="435" t="e">
        <f>SUM(PRODUCTION!D26/ATELIER!D26)</f>
        <v>#DIV/0!</v>
      </c>
      <c r="C111" s="433" t="e">
        <f>SUM(PRODUCTION!E26/ATELIER!E26)</f>
        <v>#DIV/0!</v>
      </c>
      <c r="D111" s="442" t="s">
        <v>12</v>
      </c>
      <c r="E111" s="435" t="e">
        <f>SUM(NEGOCE!D26/ATELIER!D26)</f>
        <v>#DIV/0!</v>
      </c>
      <c r="F111" s="433" t="e">
        <f>SUM(NEGOCE!E26/ATELIER!E26)</f>
        <v>#DIV/0!</v>
      </c>
    </row>
    <row r="112" spans="1:40" ht="15.75" x14ac:dyDescent="0.25">
      <c r="A112" s="431" t="s">
        <v>13</v>
      </c>
      <c r="B112" s="435" t="e">
        <f>SUM(PRODUCTION!D27/ATELIER!D27)</f>
        <v>#DIV/0!</v>
      </c>
      <c r="C112" s="433" t="e">
        <f>SUM(PRODUCTION!E27/ATELIER!E27)</f>
        <v>#DIV/0!</v>
      </c>
      <c r="D112" s="442" t="s">
        <v>13</v>
      </c>
      <c r="E112" s="435" t="e">
        <f>SUM(NEGOCE!D27/ATELIER!D27)</f>
        <v>#DIV/0!</v>
      </c>
      <c r="F112" s="433" t="e">
        <f>SUM(NEGOCE!E27/ATELIER!E27)</f>
        <v>#DIV/0!</v>
      </c>
    </row>
    <row r="113" spans="1:6" ht="15.75" x14ac:dyDescent="0.25">
      <c r="A113" s="431" t="s">
        <v>2</v>
      </c>
      <c r="B113" s="435" t="e">
        <f>SUM(PRODUCTION!D28/ATELIER!D28)</f>
        <v>#DIV/0!</v>
      </c>
      <c r="C113" s="433" t="e">
        <f>SUM(PRODUCTION!E28/ATELIER!E28)</f>
        <v>#DIV/0!</v>
      </c>
      <c r="D113" s="442" t="s">
        <v>2</v>
      </c>
      <c r="E113" s="435" t="e">
        <f>SUM(NEGOCE!D28/ATELIER!D28)</f>
        <v>#DIV/0!</v>
      </c>
      <c r="F113" s="433" t="e">
        <f>SUM(NEGOCE!E28/ATELIER!E28)</f>
        <v>#DIV/0!</v>
      </c>
    </row>
    <row r="114" spans="1:6" ht="15.75" x14ac:dyDescent="0.25">
      <c r="A114" s="431" t="s">
        <v>3</v>
      </c>
      <c r="B114" s="435" t="e">
        <f>SUM(PRODUCTION!D29/ATELIER!D29)</f>
        <v>#DIV/0!</v>
      </c>
      <c r="C114" s="433" t="e">
        <f>SUM(PRODUCTION!E29/ATELIER!E29)</f>
        <v>#DIV/0!</v>
      </c>
      <c r="D114" s="442" t="s">
        <v>3</v>
      </c>
      <c r="E114" s="435" t="e">
        <f>SUM(NEGOCE!D29/ATELIER!D29)</f>
        <v>#DIV/0!</v>
      </c>
      <c r="F114" s="433" t="e">
        <f>SUM(NEGOCE!E29/ATELIER!E29)</f>
        <v>#DIV/0!</v>
      </c>
    </row>
    <row r="115" spans="1:6" ht="15.75" x14ac:dyDescent="0.25">
      <c r="A115" s="431" t="s">
        <v>4</v>
      </c>
      <c r="B115" s="435" t="e">
        <f>SUM(PRODUCTION!D30/ATELIER!D30)</f>
        <v>#DIV/0!</v>
      </c>
      <c r="C115" s="433" t="e">
        <f>SUM(PRODUCTION!E30/ATELIER!E30)</f>
        <v>#DIV/0!</v>
      </c>
      <c r="D115" s="442" t="s">
        <v>4</v>
      </c>
      <c r="E115" s="435" t="e">
        <f>SUM(NEGOCE!D30/ATELIER!D30)</f>
        <v>#DIV/0!</v>
      </c>
      <c r="F115" s="433" t="e">
        <f>SUM(NEGOCE!E30/ATELIER!E30)</f>
        <v>#DIV/0!</v>
      </c>
    </row>
    <row r="116" spans="1:6" ht="16.5" thickBot="1" x14ac:dyDescent="0.3">
      <c r="A116" s="432" t="s">
        <v>5</v>
      </c>
      <c r="B116" s="436" t="e">
        <f>SUM(PRODUCTION!D31/ATELIER!D31)</f>
        <v>#DIV/0!</v>
      </c>
      <c r="C116" s="434" t="e">
        <f>SUM(PRODUCTION!E31/ATELIER!E31)</f>
        <v>#DIV/0!</v>
      </c>
      <c r="D116" s="447" t="s">
        <v>5</v>
      </c>
      <c r="E116" s="448" t="e">
        <f>SUM(NEGOCE!D31/ATELIER!D31)</f>
        <v>#DIV/0!</v>
      </c>
      <c r="F116" s="449" t="e">
        <f>SUM(NEGOCE!E31/ATELIER!E31)</f>
        <v>#DIV/0!</v>
      </c>
    </row>
    <row r="117" spans="1:6" x14ac:dyDescent="0.25">
      <c r="A117" s="429" t="s">
        <v>101</v>
      </c>
      <c r="B117" s="430" t="str">
        <f>IFERROR(VLOOKUP('TABLEAU DE BORD ATELIER'!C10,calculs!A103:C117,2,FALSE),"")</f>
        <v/>
      </c>
      <c r="C117" s="445" t="str">
        <f>IFERROR(VLOOKUP('TABLEAU DE BORD ATELIER'!C10,calculs!A103:C117,3,FALSE),"")</f>
        <v/>
      </c>
      <c r="D117" s="452" t="s">
        <v>101</v>
      </c>
      <c r="E117" s="450" t="str">
        <f>IFERROR(VLOOKUP('TABLEAU DE BORD ATELIER'!C10,calculs!D103:F117,2,FALSE),"")</f>
        <v/>
      </c>
      <c r="F117" s="451" t="str">
        <f>IFERROR(VLOOKUP('TABLEAU DE BORD ATELIER'!C10,calculs!D103:F117,3,FALSE),"")</f>
        <v/>
      </c>
    </row>
    <row r="118" spans="1:6" ht="15.75" thickBot="1" x14ac:dyDescent="0.3">
      <c r="A118" s="427" t="s">
        <v>33</v>
      </c>
      <c r="B118" s="428" t="e">
        <f ca="1">SUM(F38/F65)</f>
        <v>#DIV/0!</v>
      </c>
      <c r="C118" s="446" t="e">
        <f ca="1">SUM(E38/E65)</f>
        <v>#DIV/0!</v>
      </c>
      <c r="D118" s="453" t="s">
        <v>33</v>
      </c>
      <c r="E118" s="443" t="e">
        <f ca="1">SUM(F11/F65)</f>
        <v>#DIV/0!</v>
      </c>
      <c r="F118" s="101" t="e">
        <f ca="1">SUM(E11/E65)</f>
        <v>#DIV/0!</v>
      </c>
    </row>
  </sheetData>
  <mergeCells count="85">
    <mergeCell ref="AR1:AX1"/>
    <mergeCell ref="AU3:AV3"/>
    <mergeCell ref="AU7:AV7"/>
    <mergeCell ref="AT14:AV14"/>
    <mergeCell ref="AT21:AV21"/>
    <mergeCell ref="G93:I93"/>
    <mergeCell ref="AC52:AE52"/>
    <mergeCell ref="AF52:AH52"/>
    <mergeCell ref="AI52:AK52"/>
    <mergeCell ref="AL52:AN52"/>
    <mergeCell ref="AC67:AE67"/>
    <mergeCell ref="AF67:AH67"/>
    <mergeCell ref="AI67:AK67"/>
    <mergeCell ref="AL67:AN67"/>
    <mergeCell ref="AC83:AE83"/>
    <mergeCell ref="AF83:AH83"/>
    <mergeCell ref="AI83:AK83"/>
    <mergeCell ref="AL83:AN83"/>
    <mergeCell ref="T29:Z29"/>
    <mergeCell ref="A103:C103"/>
    <mergeCell ref="D103:F103"/>
    <mergeCell ref="U66:X66"/>
    <mergeCell ref="N75:P75"/>
    <mergeCell ref="N48:P48"/>
    <mergeCell ref="L56:R56"/>
    <mergeCell ref="O57:P57"/>
    <mergeCell ref="N68:P68"/>
    <mergeCell ref="A98:C98"/>
    <mergeCell ref="A83:C83"/>
    <mergeCell ref="A88:C88"/>
    <mergeCell ref="D83:F83"/>
    <mergeCell ref="G83:I83"/>
    <mergeCell ref="A93:C93"/>
    <mergeCell ref="D93:F93"/>
    <mergeCell ref="O3:P3"/>
    <mergeCell ref="O7:P7"/>
    <mergeCell ref="N14:P14"/>
    <mergeCell ref="N21:P21"/>
    <mergeCell ref="L29:R29"/>
    <mergeCell ref="A1:G1"/>
    <mergeCell ref="D57:E57"/>
    <mergeCell ref="D61:E61"/>
    <mergeCell ref="C68:E68"/>
    <mergeCell ref="C75:E75"/>
    <mergeCell ref="A29:G29"/>
    <mergeCell ref="D30:E30"/>
    <mergeCell ref="D34:E34"/>
    <mergeCell ref="C41:E41"/>
    <mergeCell ref="C48:E48"/>
    <mergeCell ref="A56:G56"/>
    <mergeCell ref="D3:E3"/>
    <mergeCell ref="D7:E7"/>
    <mergeCell ref="C14:E14"/>
    <mergeCell ref="C21:E21"/>
    <mergeCell ref="L1:R1"/>
    <mergeCell ref="V42:X42"/>
    <mergeCell ref="V49:X49"/>
    <mergeCell ref="T57:U57"/>
    <mergeCell ref="T59:T61"/>
    <mergeCell ref="O61:P61"/>
    <mergeCell ref="W31:X31"/>
    <mergeCell ref="W35:X35"/>
    <mergeCell ref="O30:P30"/>
    <mergeCell ref="O34:P34"/>
    <mergeCell ref="N41:P41"/>
    <mergeCell ref="T1:Z1"/>
    <mergeCell ref="W3:X3"/>
    <mergeCell ref="W7:X7"/>
    <mergeCell ref="V14:X14"/>
    <mergeCell ref="V21:X21"/>
    <mergeCell ref="AI36:AK36"/>
    <mergeCell ref="AL36:AN36"/>
    <mergeCell ref="AC36:AE36"/>
    <mergeCell ref="AF36:AH36"/>
    <mergeCell ref="AB1:AH1"/>
    <mergeCell ref="AE3:AF3"/>
    <mergeCell ref="AE7:AF7"/>
    <mergeCell ref="AD14:AF14"/>
    <mergeCell ref="AD21:AF21"/>
    <mergeCell ref="AB29:AH29"/>
    <mergeCell ref="AJ1:AP1"/>
    <mergeCell ref="AM3:AN3"/>
    <mergeCell ref="AM7:AN7"/>
    <mergeCell ref="AL14:AN14"/>
    <mergeCell ref="AL21:AN21"/>
  </mergeCells>
  <conditionalFormatting sqref="F4">
    <cfRule type="cellIs" dxfId="66" priority="71" operator="lessThan">
      <formula>0</formula>
    </cfRule>
    <cfRule type="cellIs" dxfId="65" priority="72" operator="lessThan">
      <formula>0</formula>
    </cfRule>
    <cfRule type="cellIs" dxfId="64" priority="73" operator="lessThan">
      <formula>0</formula>
    </cfRule>
  </conditionalFormatting>
  <conditionalFormatting sqref="C32">
    <cfRule type="cellIs" dxfId="63" priority="69" operator="lessThan">
      <formula>#REF!&lt;#REF!</formula>
    </cfRule>
    <cfRule type="cellIs" dxfId="62" priority="70" operator="lessThan">
      <formula>0</formula>
    </cfRule>
  </conditionalFormatting>
  <conditionalFormatting sqref="F31">
    <cfRule type="cellIs" dxfId="61" priority="66" operator="lessThan">
      <formula>0</formula>
    </cfRule>
    <cfRule type="cellIs" dxfId="60" priority="67" operator="lessThan">
      <formula>0</formula>
    </cfRule>
    <cfRule type="cellIs" dxfId="59" priority="68" operator="lessThan">
      <formula>0</formula>
    </cfRule>
  </conditionalFormatting>
  <conditionalFormatting sqref="C59">
    <cfRule type="cellIs" dxfId="58" priority="45" operator="lessThan">
      <formula>0</formula>
    </cfRule>
    <cfRule type="cellIs" dxfId="57" priority="64" operator="lessThan">
      <formula>#REF!&lt;#REF!</formula>
    </cfRule>
    <cfRule type="cellIs" dxfId="56" priority="65" operator="lessThan">
      <formula>0</formula>
    </cfRule>
  </conditionalFormatting>
  <conditionalFormatting sqref="F58">
    <cfRule type="cellIs" dxfId="55" priority="61" operator="lessThan">
      <formula>0</formula>
    </cfRule>
    <cfRule type="cellIs" dxfId="54" priority="62" operator="lessThan">
      <formula>0</formula>
    </cfRule>
    <cfRule type="cellIs" dxfId="53" priority="63" operator="lessThan">
      <formula>0</formula>
    </cfRule>
  </conditionalFormatting>
  <conditionalFormatting sqref="C5">
    <cfRule type="cellIs" dxfId="52" priority="109" operator="lessThan">
      <formula>#REF!&lt;#REF!</formula>
    </cfRule>
    <cfRule type="cellIs" dxfId="51" priority="110" operator="lessThan">
      <formula>0</formula>
    </cfRule>
  </conditionalFormatting>
  <conditionalFormatting sqref="Q4">
    <cfRule type="cellIs" dxfId="50" priority="56" operator="lessThan">
      <formula>0</formula>
    </cfRule>
    <cfRule type="cellIs" dxfId="49" priority="57" operator="lessThan">
      <formula>0</formula>
    </cfRule>
    <cfRule type="cellIs" dxfId="48" priority="58" operator="lessThan">
      <formula>0</formula>
    </cfRule>
  </conditionalFormatting>
  <conditionalFormatting sqref="N5">
    <cfRule type="cellIs" dxfId="47" priority="59" operator="lessThan">
      <formula>#REF!&lt;#REF!</formula>
    </cfRule>
    <cfRule type="cellIs" dxfId="46" priority="60" operator="lessThan">
      <formula>0</formula>
    </cfRule>
  </conditionalFormatting>
  <conditionalFormatting sqref="Y32">
    <cfRule type="cellIs" dxfId="45" priority="35" operator="lessThan">
      <formula>0</formula>
    </cfRule>
    <cfRule type="cellIs" dxfId="44" priority="36" operator="lessThan">
      <formula>0</formula>
    </cfRule>
    <cfRule type="cellIs" dxfId="43" priority="37" operator="lessThan">
      <formula>0</formula>
    </cfRule>
  </conditionalFormatting>
  <conditionalFormatting sqref="N32">
    <cfRule type="cellIs" dxfId="42" priority="54" operator="lessThan">
      <formula>#REF!&lt;#REF!</formula>
    </cfRule>
    <cfRule type="cellIs" dxfId="41" priority="55" operator="lessThan">
      <formula>0</formula>
    </cfRule>
  </conditionalFormatting>
  <conditionalFormatting sqref="Q31">
    <cfRule type="cellIs" dxfId="40" priority="51" operator="lessThan">
      <formula>0</formula>
    </cfRule>
    <cfRule type="cellIs" dxfId="39" priority="52" operator="lessThan">
      <formula>0</formula>
    </cfRule>
    <cfRule type="cellIs" dxfId="38" priority="53" operator="lessThan">
      <formula>0</formula>
    </cfRule>
  </conditionalFormatting>
  <conditionalFormatting sqref="N59">
    <cfRule type="cellIs" dxfId="37" priority="49" operator="lessThan">
      <formula>#REF!&lt;#REF!</formula>
    </cfRule>
    <cfRule type="cellIs" dxfId="36" priority="50" operator="lessThan">
      <formula>0</formula>
    </cfRule>
  </conditionalFormatting>
  <conditionalFormatting sqref="Q58">
    <cfRule type="cellIs" dxfId="35" priority="46" operator="lessThan">
      <formula>0</formula>
    </cfRule>
    <cfRule type="cellIs" dxfId="34" priority="47" operator="lessThan">
      <formula>0</formula>
    </cfRule>
    <cfRule type="cellIs" dxfId="33" priority="48" operator="lessThan">
      <formula>0</formula>
    </cfRule>
  </conditionalFormatting>
  <conditionalFormatting sqref="Y4">
    <cfRule type="cellIs" dxfId="32" priority="40" operator="lessThan">
      <formula>0</formula>
    </cfRule>
    <cfRule type="cellIs" dxfId="31" priority="41" operator="lessThan">
      <formula>0</formula>
    </cfRule>
    <cfRule type="cellIs" dxfId="30" priority="42" operator="lessThan">
      <formula>0</formula>
    </cfRule>
  </conditionalFormatting>
  <conditionalFormatting sqref="V5">
    <cfRule type="cellIs" dxfId="29" priority="43" operator="lessThan">
      <formula>#REF!&lt;#REF!</formula>
    </cfRule>
    <cfRule type="cellIs" dxfId="28" priority="44" operator="lessThan">
      <formula>0</formula>
    </cfRule>
  </conditionalFormatting>
  <conditionalFormatting sqref="V33">
    <cfRule type="cellIs" dxfId="27" priority="38" operator="lessThan">
      <formula>#REF!&lt;#REF!</formula>
    </cfRule>
    <cfRule type="cellIs" dxfId="26" priority="39" operator="lessThan">
      <formula>0</formula>
    </cfRule>
  </conditionalFormatting>
  <conditionalFormatting sqref="W60">
    <cfRule type="cellIs" dxfId="25" priority="34" operator="lessThan">
      <formula>0</formula>
    </cfRule>
  </conditionalFormatting>
  <conditionalFormatting sqref="AG4">
    <cfRule type="cellIs" dxfId="24" priority="29" operator="lessThan">
      <formula>0</formula>
    </cfRule>
    <cfRule type="cellIs" dxfId="23" priority="30" operator="lessThan">
      <formula>0</formula>
    </cfRule>
    <cfRule type="cellIs" dxfId="22" priority="31" operator="lessThan">
      <formula>0</formula>
    </cfRule>
  </conditionalFormatting>
  <conditionalFormatting sqref="AD5">
    <cfRule type="cellIs" dxfId="21" priority="32" operator="lessThan">
      <formula>#REF!&lt;#REF!</formula>
    </cfRule>
    <cfRule type="cellIs" dxfId="20" priority="33" operator="lessThan">
      <formula>0</formula>
    </cfRule>
  </conditionalFormatting>
  <conditionalFormatting sqref="G70">
    <cfRule type="cellIs" dxfId="19" priority="23" operator="equal">
      <formula>"J"</formula>
    </cfRule>
    <cfRule type="cellIs" dxfId="18" priority="24" operator="equal">
      <formula>"K"</formula>
    </cfRule>
    <cfRule type="cellIs" dxfId="17" priority="25" operator="equal">
      <formula>"L"</formula>
    </cfRule>
  </conditionalFormatting>
  <conditionalFormatting sqref="G43">
    <cfRule type="cellIs" dxfId="16" priority="20" operator="equal">
      <formula>"J"</formula>
    </cfRule>
    <cfRule type="cellIs" dxfId="15" priority="21" operator="equal">
      <formula>"K"</formula>
    </cfRule>
    <cfRule type="cellIs" dxfId="14" priority="22" operator="equal">
      <formula>"L"</formula>
    </cfRule>
  </conditionalFormatting>
  <conditionalFormatting sqref="FS16">
    <cfRule type="cellIs" dxfId="13" priority="14" operator="equal">
      <formula>"L"</formula>
    </cfRule>
  </conditionalFormatting>
  <conditionalFormatting sqref="G16">
    <cfRule type="cellIs" dxfId="12" priority="11" operator="equal">
      <formula>"J"</formula>
    </cfRule>
    <cfRule type="cellIs" dxfId="11" priority="12" operator="equal">
      <formula>"K"</formula>
    </cfRule>
    <cfRule type="cellIs" dxfId="10" priority="13" operator="equal">
      <formula>"L"</formula>
    </cfRule>
  </conditionalFormatting>
  <conditionalFormatting sqref="AO4">
    <cfRule type="cellIs" dxfId="9" priority="6" operator="lessThan">
      <formula>0</formula>
    </cfRule>
    <cfRule type="cellIs" dxfId="8" priority="7" operator="lessThan">
      <formula>0</formula>
    </cfRule>
    <cfRule type="cellIs" dxfId="7" priority="8" operator="lessThan">
      <formula>0</formula>
    </cfRule>
  </conditionalFormatting>
  <conditionalFormatting sqref="AL5">
    <cfRule type="cellIs" dxfId="6" priority="9" operator="lessThan">
      <formula>#REF!&lt;#REF!</formula>
    </cfRule>
    <cfRule type="cellIs" dxfId="5" priority="10" operator="lessThan">
      <formula>0</formula>
    </cfRule>
  </conditionalFormatting>
  <conditionalFormatting sqref="AW4">
    <cfRule type="cellIs" dxfId="4" priority="1" operator="lessThan">
      <formula>0</formula>
    </cfRule>
    <cfRule type="cellIs" dxfId="3" priority="2" operator="lessThan">
      <formula>0</formula>
    </cfRule>
    <cfRule type="cellIs" dxfId="2" priority="3" operator="lessThan">
      <formula>0</formula>
    </cfRule>
  </conditionalFormatting>
  <conditionalFormatting sqref="AT5">
    <cfRule type="cellIs" dxfId="1" priority="4" operator="lessThan">
      <formula>#REF!&lt;#REF!</formula>
    </cfRule>
    <cfRule type="cellIs" dxfId="0" priority="5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J44"/>
  <sheetViews>
    <sheetView topLeftCell="A10" zoomScaleNormal="100" workbookViewId="0">
      <pane xSplit="1" topLeftCell="G1" activePane="topRight" state="frozen"/>
      <selection activeCell="J32" sqref="J32"/>
      <selection pane="topRight" activeCell="N46" sqref="N46"/>
    </sheetView>
  </sheetViews>
  <sheetFormatPr baseColWidth="10" defaultRowHeight="12.75" x14ac:dyDescent="0.2"/>
  <cols>
    <col min="1" max="1" width="11.28515625" style="76" bestFit="1" customWidth="1"/>
    <col min="2" max="4" width="12.7109375" style="179" customWidth="1"/>
    <col min="5" max="5" width="12.7109375" style="180" customWidth="1"/>
    <col min="6" max="9" width="12.7109375" style="179" customWidth="1"/>
    <col min="10" max="10" width="12.7109375" style="180" customWidth="1"/>
    <col min="11" max="14" width="12.7109375" style="179" customWidth="1"/>
    <col min="15" max="15" width="12.7109375" style="180" customWidth="1"/>
    <col min="16" max="19" width="12.7109375" style="179" customWidth="1"/>
    <col min="20" max="20" width="12.7109375" style="180" customWidth="1"/>
    <col min="21" max="24" width="12.7109375" style="179" customWidth="1"/>
    <col min="25" max="25" width="12.7109375" style="180" customWidth="1"/>
    <col min="26" max="26" width="12.7109375" style="179" customWidth="1"/>
    <col min="27" max="27" width="17.140625" style="181" bestFit="1" customWidth="1"/>
    <col min="28" max="28" width="18.85546875" style="181" bestFit="1" customWidth="1"/>
    <col min="29" max="29" width="16.42578125" style="181" bestFit="1" customWidth="1"/>
    <col min="30" max="30" width="12.5703125" style="181" bestFit="1" customWidth="1"/>
    <col min="31" max="35" width="11.42578125" style="181"/>
    <col min="36" max="36" width="11.42578125" style="182"/>
    <col min="37" max="16384" width="11.42578125" style="76"/>
  </cols>
  <sheetData>
    <row r="1" spans="1:35" ht="15" customHeight="1" x14ac:dyDescent="0.2"/>
    <row r="2" spans="1:35" ht="15" customHeight="1" x14ac:dyDescent="0.2"/>
    <row r="3" spans="1:35" ht="15" customHeight="1" x14ac:dyDescent="0.2">
      <c r="AA3" s="313"/>
      <c r="AB3" s="314"/>
    </row>
    <row r="4" spans="1:35" ht="15" customHeight="1" x14ac:dyDescent="0.2">
      <c r="AA4" s="313"/>
      <c r="AB4" s="315"/>
    </row>
    <row r="5" spans="1:35" ht="15" customHeight="1" x14ac:dyDescent="0.2"/>
    <row r="6" spans="1:35" ht="15" customHeight="1" x14ac:dyDescent="0.2"/>
    <row r="7" spans="1:35" ht="15" customHeight="1" x14ac:dyDescent="0.2"/>
    <row r="8" spans="1:35" ht="15" customHeight="1" x14ac:dyDescent="0.2"/>
    <row r="9" spans="1:35" ht="15" customHeight="1" thickBot="1" x14ac:dyDescent="0.25"/>
    <row r="10" spans="1:35" ht="20.100000000000001" customHeight="1" thickBot="1" x14ac:dyDescent="0.25">
      <c r="A10" s="852" t="s">
        <v>111</v>
      </c>
      <c r="B10" s="853"/>
      <c r="C10" s="854"/>
      <c r="D10" s="178"/>
      <c r="E10" s="178"/>
      <c r="F10" s="178"/>
      <c r="G10" s="178"/>
      <c r="H10" s="178"/>
      <c r="I10" s="178"/>
      <c r="J10" s="178"/>
    </row>
    <row r="11" spans="1:35" ht="13.5" customHeight="1" thickBot="1" x14ac:dyDescent="0.25"/>
    <row r="12" spans="1:35" ht="13.5" customHeight="1" thickBot="1" x14ac:dyDescent="0.25">
      <c r="A12" s="183" t="s">
        <v>18</v>
      </c>
      <c r="B12" s="316" t="s">
        <v>11</v>
      </c>
      <c r="C12" s="317"/>
      <c r="D12" s="317"/>
      <c r="E12" s="318"/>
      <c r="F12" s="317"/>
      <c r="G12" s="317"/>
      <c r="H12" s="317"/>
      <c r="I12" s="317"/>
      <c r="J12" s="318"/>
      <c r="K12" s="317"/>
      <c r="L12" s="317"/>
      <c r="M12" s="317"/>
      <c r="N12" s="317"/>
      <c r="O12" s="318"/>
      <c r="P12" s="317"/>
      <c r="Q12" s="317"/>
      <c r="R12" s="317"/>
      <c r="S12" s="317"/>
      <c r="T12" s="318"/>
      <c r="U12" s="317"/>
      <c r="V12" s="317"/>
      <c r="W12" s="317"/>
      <c r="X12" s="317"/>
      <c r="Y12" s="318"/>
      <c r="Z12" s="317"/>
    </row>
    <row r="13" spans="1:35" ht="9.9499999999999993" customHeight="1" thickBot="1" x14ac:dyDescent="0.25">
      <c r="AB13" s="42"/>
      <c r="AC13" s="86"/>
      <c r="AD13" s="855"/>
      <c r="AE13" s="855"/>
      <c r="AF13" s="86"/>
      <c r="AG13" s="42"/>
      <c r="AH13" s="42"/>
      <c r="AI13" s="42"/>
    </row>
    <row r="14" spans="1:35" ht="13.5" thickBot="1" x14ac:dyDescent="0.25">
      <c r="B14" s="844" t="s">
        <v>19</v>
      </c>
      <c r="C14" s="845"/>
      <c r="D14" s="845"/>
      <c r="E14" s="845"/>
      <c r="F14" s="845"/>
      <c r="G14" s="845"/>
      <c r="H14" s="845"/>
      <c r="I14" s="845"/>
      <c r="J14" s="845"/>
      <c r="K14" s="845"/>
      <c r="L14" s="845"/>
      <c r="M14" s="845"/>
      <c r="N14" s="845"/>
      <c r="O14" s="845"/>
      <c r="P14" s="845"/>
      <c r="Q14" s="845"/>
      <c r="R14" s="845"/>
      <c r="S14" s="845"/>
      <c r="T14" s="845"/>
      <c r="U14" s="845"/>
      <c r="V14" s="845"/>
      <c r="W14" s="845"/>
      <c r="X14" s="845"/>
      <c r="Y14" s="845"/>
      <c r="Z14" s="846"/>
      <c r="AB14" s="42"/>
      <c r="AC14" s="319"/>
      <c r="AD14" s="319"/>
      <c r="AE14" s="319"/>
      <c r="AF14" s="80"/>
      <c r="AG14" s="42"/>
      <c r="AH14" s="42"/>
      <c r="AI14" s="42"/>
    </row>
    <row r="15" spans="1:35" ht="13.5" thickBot="1" x14ac:dyDescent="0.25">
      <c r="B15" s="844" t="s">
        <v>1</v>
      </c>
      <c r="C15" s="845"/>
      <c r="D15" s="845"/>
      <c r="E15" s="845"/>
      <c r="F15" s="845"/>
      <c r="G15" s="845"/>
      <c r="H15" s="845"/>
      <c r="I15" s="845"/>
      <c r="J15" s="845"/>
      <c r="K15" s="846"/>
      <c r="L15" s="844" t="s">
        <v>0</v>
      </c>
      <c r="M15" s="845"/>
      <c r="N15" s="845"/>
      <c r="O15" s="845"/>
      <c r="P15" s="845"/>
      <c r="Q15" s="845"/>
      <c r="R15" s="845"/>
      <c r="S15" s="845"/>
      <c r="T15" s="845"/>
      <c r="U15" s="846"/>
      <c r="V15" s="847" t="s">
        <v>116</v>
      </c>
      <c r="W15" s="848"/>
      <c r="X15" s="848"/>
      <c r="Y15" s="848"/>
      <c r="Z15" s="841"/>
      <c r="AB15" s="86"/>
      <c r="AC15" s="320"/>
      <c r="AD15" s="321"/>
      <c r="AE15" s="42"/>
      <c r="AF15" s="80"/>
      <c r="AG15" s="42"/>
      <c r="AH15" s="42"/>
      <c r="AI15" s="42"/>
    </row>
    <row r="16" spans="1:35" ht="13.5" thickBot="1" x14ac:dyDescent="0.25">
      <c r="B16" s="844" t="s">
        <v>114</v>
      </c>
      <c r="C16" s="845"/>
      <c r="D16" s="845"/>
      <c r="E16" s="845"/>
      <c r="F16" s="846"/>
      <c r="G16" s="844" t="s">
        <v>115</v>
      </c>
      <c r="H16" s="845"/>
      <c r="I16" s="845"/>
      <c r="J16" s="845"/>
      <c r="K16" s="846"/>
      <c r="L16" s="844" t="s">
        <v>25</v>
      </c>
      <c r="M16" s="845"/>
      <c r="N16" s="845"/>
      <c r="O16" s="845"/>
      <c r="P16" s="846"/>
      <c r="Q16" s="844" t="s">
        <v>39</v>
      </c>
      <c r="R16" s="845"/>
      <c r="S16" s="845"/>
      <c r="T16" s="845"/>
      <c r="U16" s="846"/>
      <c r="V16" s="849"/>
      <c r="W16" s="850"/>
      <c r="X16" s="850"/>
      <c r="Y16" s="850"/>
      <c r="Z16" s="851"/>
      <c r="AB16" s="42"/>
      <c r="AC16" s="322"/>
      <c r="AD16" s="856"/>
      <c r="AE16" s="856"/>
      <c r="AF16" s="323"/>
      <c r="AG16" s="42"/>
      <c r="AH16" s="42"/>
      <c r="AI16" s="42"/>
    </row>
    <row r="17" spans="1:36" ht="13.5" thickBot="1" x14ac:dyDescent="0.25">
      <c r="A17" s="182"/>
      <c r="B17" s="324" t="s">
        <v>14</v>
      </c>
      <c r="C17" s="325" t="s">
        <v>15</v>
      </c>
      <c r="D17" s="326" t="s">
        <v>16</v>
      </c>
      <c r="E17" s="842" t="s">
        <v>20</v>
      </c>
      <c r="F17" s="843"/>
      <c r="G17" s="324" t="s">
        <v>14</v>
      </c>
      <c r="H17" s="325" t="s">
        <v>15</v>
      </c>
      <c r="I17" s="326" t="s">
        <v>16</v>
      </c>
      <c r="J17" s="842" t="s">
        <v>20</v>
      </c>
      <c r="K17" s="843"/>
      <c r="L17" s="324" t="s">
        <v>14</v>
      </c>
      <c r="M17" s="325" t="s">
        <v>15</v>
      </c>
      <c r="N17" s="326" t="s">
        <v>16</v>
      </c>
      <c r="O17" s="842" t="s">
        <v>20</v>
      </c>
      <c r="P17" s="843"/>
      <c r="Q17" s="324" t="s">
        <v>14</v>
      </c>
      <c r="R17" s="325" t="s">
        <v>15</v>
      </c>
      <c r="S17" s="326" t="s">
        <v>16</v>
      </c>
      <c r="T17" s="842" t="s">
        <v>20</v>
      </c>
      <c r="U17" s="843"/>
      <c r="V17" s="324" t="s">
        <v>14</v>
      </c>
      <c r="W17" s="325" t="s">
        <v>15</v>
      </c>
      <c r="X17" s="326" t="s">
        <v>16</v>
      </c>
      <c r="Y17" s="840" t="s">
        <v>20</v>
      </c>
      <c r="Z17" s="841"/>
      <c r="AA17" s="327"/>
      <c r="AB17" s="328"/>
      <c r="AC17" s="329"/>
      <c r="AD17" s="329"/>
      <c r="AE17" s="329"/>
      <c r="AF17" s="330"/>
      <c r="AG17" s="328"/>
      <c r="AH17" s="328"/>
      <c r="AI17" s="328"/>
    </row>
    <row r="18" spans="1:36" s="312" customFormat="1" ht="13.5" thickBot="1" x14ac:dyDescent="0.25">
      <c r="A18" s="331"/>
      <c r="B18" s="332" t="s">
        <v>59</v>
      </c>
      <c r="C18" s="332" t="s">
        <v>59</v>
      </c>
      <c r="D18" s="333" t="s">
        <v>59</v>
      </c>
      <c r="E18" s="334" t="s">
        <v>17</v>
      </c>
      <c r="F18" s="335" t="s">
        <v>59</v>
      </c>
      <c r="G18" s="332" t="s">
        <v>59</v>
      </c>
      <c r="H18" s="332" t="s">
        <v>59</v>
      </c>
      <c r="I18" s="333" t="s">
        <v>59</v>
      </c>
      <c r="J18" s="334" t="s">
        <v>17</v>
      </c>
      <c r="K18" s="335" t="s">
        <v>59</v>
      </c>
      <c r="L18" s="332" t="s">
        <v>59</v>
      </c>
      <c r="M18" s="332" t="s">
        <v>59</v>
      </c>
      <c r="N18" s="333" t="s">
        <v>59</v>
      </c>
      <c r="O18" s="334" t="s">
        <v>17</v>
      </c>
      <c r="P18" s="335" t="s">
        <v>59</v>
      </c>
      <c r="Q18" s="332" t="s">
        <v>59</v>
      </c>
      <c r="R18" s="332" t="s">
        <v>59</v>
      </c>
      <c r="S18" s="333" t="s">
        <v>59</v>
      </c>
      <c r="T18" s="334" t="s">
        <v>17</v>
      </c>
      <c r="U18" s="335" t="s">
        <v>59</v>
      </c>
      <c r="V18" s="332" t="s">
        <v>59</v>
      </c>
      <c r="W18" s="332" t="s">
        <v>59</v>
      </c>
      <c r="X18" s="333" t="s">
        <v>59</v>
      </c>
      <c r="Y18" s="336" t="s">
        <v>17</v>
      </c>
      <c r="Z18" s="183" t="s">
        <v>59</v>
      </c>
      <c r="AA18" s="181"/>
      <c r="AB18" s="42"/>
      <c r="AC18" s="42"/>
      <c r="AD18" s="42"/>
      <c r="AE18" s="42"/>
      <c r="AF18" s="42"/>
      <c r="AG18" s="42"/>
      <c r="AH18" s="42"/>
      <c r="AI18" s="42"/>
      <c r="AJ18" s="337"/>
    </row>
    <row r="19" spans="1:36" ht="13.5" thickBot="1" x14ac:dyDescent="0.25">
      <c r="B19" s="338">
        <f t="shared" ref="B19:Z19" ca="1" si="0">B32</f>
        <v>0</v>
      </c>
      <c r="C19" s="339">
        <f t="shared" ca="1" si="0"/>
        <v>0</v>
      </c>
      <c r="D19" s="340">
        <f t="shared" ca="1" si="0"/>
        <v>0</v>
      </c>
      <c r="E19" s="341" t="e">
        <f t="shared" ca="1" si="0"/>
        <v>#DIV/0!</v>
      </c>
      <c r="F19" s="339">
        <f t="shared" ca="1" si="0"/>
        <v>0</v>
      </c>
      <c r="G19" s="340">
        <f t="shared" ca="1" si="0"/>
        <v>0</v>
      </c>
      <c r="H19" s="339">
        <f t="shared" ca="1" si="0"/>
        <v>0</v>
      </c>
      <c r="I19" s="340">
        <f t="shared" ca="1" si="0"/>
        <v>0</v>
      </c>
      <c r="J19" s="342" t="e">
        <f t="shared" ca="1" si="0"/>
        <v>#DIV/0!</v>
      </c>
      <c r="K19" s="339">
        <f t="shared" ca="1" si="0"/>
        <v>0</v>
      </c>
      <c r="L19" s="340">
        <f t="shared" ca="1" si="0"/>
        <v>0</v>
      </c>
      <c r="M19" s="339">
        <f t="shared" ca="1" si="0"/>
        <v>0</v>
      </c>
      <c r="N19" s="340">
        <f t="shared" ca="1" si="0"/>
        <v>0</v>
      </c>
      <c r="O19" s="341" t="e">
        <f t="shared" ca="1" si="0"/>
        <v>#DIV/0!</v>
      </c>
      <c r="P19" s="338">
        <f t="shared" ca="1" si="0"/>
        <v>0</v>
      </c>
      <c r="Q19" s="339">
        <f t="shared" ca="1" si="0"/>
        <v>0</v>
      </c>
      <c r="R19" s="339">
        <f t="shared" ca="1" si="0"/>
        <v>0</v>
      </c>
      <c r="S19" s="340">
        <f t="shared" ca="1" si="0"/>
        <v>0</v>
      </c>
      <c r="T19" s="341" t="e">
        <f t="shared" ca="1" si="0"/>
        <v>#DIV/0!</v>
      </c>
      <c r="U19" s="339">
        <f t="shared" ca="1" si="0"/>
        <v>0</v>
      </c>
      <c r="V19" s="340">
        <f t="shared" ca="1" si="0"/>
        <v>0</v>
      </c>
      <c r="W19" s="339">
        <f t="shared" ca="1" si="0"/>
        <v>0</v>
      </c>
      <c r="X19" s="340">
        <f t="shared" ca="1" si="0"/>
        <v>0</v>
      </c>
      <c r="Y19" s="343" t="e">
        <f t="shared" ca="1" si="0"/>
        <v>#DIV/0!</v>
      </c>
      <c r="Z19" s="339">
        <f t="shared" ca="1" si="0"/>
        <v>0</v>
      </c>
      <c r="AB19" s="42"/>
      <c r="AC19" s="42"/>
      <c r="AD19" s="42"/>
      <c r="AE19" s="42"/>
      <c r="AF19" s="42"/>
      <c r="AG19" s="42"/>
      <c r="AH19" s="42"/>
      <c r="AI19" s="42"/>
    </row>
    <row r="20" spans="1:36" ht="9.9499999999999993" customHeight="1" thickBot="1" x14ac:dyDescent="0.25">
      <c r="AB20" s="42"/>
      <c r="AC20" s="42"/>
      <c r="AD20" s="42"/>
      <c r="AE20" s="42"/>
      <c r="AF20" s="42"/>
      <c r="AG20" s="42"/>
      <c r="AH20" s="42"/>
      <c r="AI20" s="42"/>
    </row>
    <row r="21" spans="1:36" ht="13.5" thickBot="1" x14ac:dyDescent="0.25">
      <c r="B21" s="844" t="s">
        <v>45</v>
      </c>
      <c r="C21" s="845"/>
      <c r="D21" s="845"/>
      <c r="E21" s="845"/>
      <c r="F21" s="845"/>
      <c r="G21" s="845"/>
      <c r="H21" s="845"/>
      <c r="I21" s="845"/>
      <c r="J21" s="845"/>
      <c r="K21" s="845"/>
      <c r="L21" s="845"/>
      <c r="M21" s="845"/>
      <c r="N21" s="845"/>
      <c r="O21" s="845"/>
      <c r="P21" s="845"/>
      <c r="Q21" s="845"/>
      <c r="R21" s="845"/>
      <c r="S21" s="845"/>
      <c r="T21" s="845"/>
      <c r="U21" s="845"/>
      <c r="V21" s="845"/>
      <c r="W21" s="845"/>
      <c r="X21" s="845"/>
      <c r="Y21" s="845"/>
      <c r="Z21" s="846"/>
      <c r="AB21" s="42"/>
      <c r="AC21" s="42"/>
      <c r="AD21" s="42"/>
      <c r="AE21" s="42"/>
      <c r="AF21" s="42"/>
      <c r="AG21" s="42"/>
      <c r="AH21" s="42"/>
      <c r="AI21" s="42"/>
    </row>
    <row r="22" spans="1:36" ht="13.5" thickBot="1" x14ac:dyDescent="0.25">
      <c r="B22" s="844" t="s">
        <v>1</v>
      </c>
      <c r="C22" s="845"/>
      <c r="D22" s="845"/>
      <c r="E22" s="845"/>
      <c r="F22" s="845"/>
      <c r="G22" s="845"/>
      <c r="H22" s="845"/>
      <c r="I22" s="845"/>
      <c r="J22" s="845"/>
      <c r="K22" s="846"/>
      <c r="L22" s="844" t="s">
        <v>0</v>
      </c>
      <c r="M22" s="845"/>
      <c r="N22" s="845"/>
      <c r="O22" s="845"/>
      <c r="P22" s="845"/>
      <c r="Q22" s="845"/>
      <c r="R22" s="845"/>
      <c r="S22" s="845"/>
      <c r="T22" s="845"/>
      <c r="U22" s="846"/>
      <c r="V22" s="847" t="s">
        <v>111</v>
      </c>
      <c r="W22" s="848"/>
      <c r="X22" s="848"/>
      <c r="Y22" s="848"/>
      <c r="Z22" s="841"/>
      <c r="AB22" s="42"/>
      <c r="AC22" s="42"/>
      <c r="AD22" s="86"/>
      <c r="AE22" s="86"/>
      <c r="AF22" s="42"/>
      <c r="AG22" s="42"/>
      <c r="AH22" s="42"/>
      <c r="AI22" s="42"/>
    </row>
    <row r="23" spans="1:36" ht="13.5" thickBot="1" x14ac:dyDescent="0.25">
      <c r="B23" s="844" t="s">
        <v>114</v>
      </c>
      <c r="C23" s="845"/>
      <c r="D23" s="845"/>
      <c r="E23" s="845"/>
      <c r="F23" s="846"/>
      <c r="G23" s="844" t="s">
        <v>115</v>
      </c>
      <c r="H23" s="845"/>
      <c r="I23" s="845"/>
      <c r="J23" s="845"/>
      <c r="K23" s="846"/>
      <c r="L23" s="844" t="s">
        <v>25</v>
      </c>
      <c r="M23" s="845"/>
      <c r="N23" s="845"/>
      <c r="O23" s="845"/>
      <c r="P23" s="846"/>
      <c r="Q23" s="844" t="s">
        <v>39</v>
      </c>
      <c r="R23" s="845"/>
      <c r="S23" s="845"/>
      <c r="T23" s="845"/>
      <c r="U23" s="846"/>
      <c r="V23" s="849"/>
      <c r="W23" s="850"/>
      <c r="X23" s="850"/>
      <c r="Y23" s="850"/>
      <c r="Z23" s="851"/>
      <c r="AA23" s="327"/>
      <c r="AB23" s="328"/>
      <c r="AC23" s="344"/>
      <c r="AD23" s="345"/>
      <c r="AE23" s="345"/>
      <c r="AF23" s="328"/>
      <c r="AG23" s="328"/>
      <c r="AH23" s="328"/>
      <c r="AI23" s="328"/>
    </row>
    <row r="24" spans="1:36" ht="13.5" thickBot="1" x14ac:dyDescent="0.25">
      <c r="A24" s="182"/>
      <c r="B24" s="324" t="s">
        <v>14</v>
      </c>
      <c r="C24" s="325" t="s">
        <v>15</v>
      </c>
      <c r="D24" s="326" t="s">
        <v>16</v>
      </c>
      <c r="E24" s="842" t="s">
        <v>20</v>
      </c>
      <c r="F24" s="843"/>
      <c r="G24" s="324" t="s">
        <v>14</v>
      </c>
      <c r="H24" s="325" t="s">
        <v>15</v>
      </c>
      <c r="I24" s="326" t="s">
        <v>16</v>
      </c>
      <c r="J24" s="842" t="s">
        <v>20</v>
      </c>
      <c r="K24" s="843"/>
      <c r="L24" s="324" t="s">
        <v>14</v>
      </c>
      <c r="M24" s="325" t="s">
        <v>15</v>
      </c>
      <c r="N24" s="326" t="s">
        <v>16</v>
      </c>
      <c r="O24" s="842" t="s">
        <v>20</v>
      </c>
      <c r="P24" s="843"/>
      <c r="Q24" s="324" t="s">
        <v>14</v>
      </c>
      <c r="R24" s="325" t="s">
        <v>15</v>
      </c>
      <c r="S24" s="326" t="s">
        <v>16</v>
      </c>
      <c r="T24" s="842" t="s">
        <v>20</v>
      </c>
      <c r="U24" s="843"/>
      <c r="V24" s="324" t="s">
        <v>14</v>
      </c>
      <c r="W24" s="325" t="s">
        <v>15</v>
      </c>
      <c r="X24" s="326" t="s">
        <v>16</v>
      </c>
      <c r="Y24" s="840" t="s">
        <v>20</v>
      </c>
      <c r="Z24" s="841"/>
      <c r="AB24" s="42"/>
      <c r="AC24" s="346"/>
      <c r="AD24" s="319"/>
      <c r="AE24" s="319"/>
      <c r="AF24" s="42"/>
      <c r="AG24" s="42"/>
      <c r="AH24" s="42"/>
      <c r="AI24" s="42"/>
    </row>
    <row r="25" spans="1:36" s="312" customFormat="1" ht="13.5" thickBot="1" x14ac:dyDescent="0.25">
      <c r="A25" s="331"/>
      <c r="B25" s="332" t="s">
        <v>59</v>
      </c>
      <c r="C25" s="332" t="s">
        <v>59</v>
      </c>
      <c r="D25" s="333" t="s">
        <v>59</v>
      </c>
      <c r="E25" s="334" t="s">
        <v>17</v>
      </c>
      <c r="F25" s="335" t="s">
        <v>59</v>
      </c>
      <c r="G25" s="332" t="s">
        <v>59</v>
      </c>
      <c r="H25" s="332" t="s">
        <v>59</v>
      </c>
      <c r="I25" s="333" t="s">
        <v>59</v>
      </c>
      <c r="J25" s="334" t="s">
        <v>17</v>
      </c>
      <c r="K25" s="335" t="s">
        <v>59</v>
      </c>
      <c r="L25" s="332" t="s">
        <v>59</v>
      </c>
      <c r="M25" s="332" t="s">
        <v>59</v>
      </c>
      <c r="N25" s="333" t="s">
        <v>59</v>
      </c>
      <c r="O25" s="334" t="s">
        <v>17</v>
      </c>
      <c r="P25" s="335" t="s">
        <v>59</v>
      </c>
      <c r="Q25" s="332" t="s">
        <v>59</v>
      </c>
      <c r="R25" s="332" t="s">
        <v>59</v>
      </c>
      <c r="S25" s="333" t="s">
        <v>59</v>
      </c>
      <c r="T25" s="334" t="s">
        <v>17</v>
      </c>
      <c r="U25" s="335" t="s">
        <v>59</v>
      </c>
      <c r="V25" s="332" t="s">
        <v>59</v>
      </c>
      <c r="W25" s="332" t="s">
        <v>59</v>
      </c>
      <c r="X25" s="333" t="s">
        <v>59</v>
      </c>
      <c r="Y25" s="347" t="s">
        <v>17</v>
      </c>
      <c r="Z25" s="183" t="s">
        <v>59</v>
      </c>
      <c r="AA25" s="181"/>
      <c r="AB25" s="42"/>
      <c r="AC25" s="87"/>
      <c r="AD25" s="42"/>
      <c r="AE25" s="42"/>
      <c r="AF25" s="42"/>
      <c r="AG25" s="42"/>
      <c r="AH25" s="86"/>
      <c r="AI25" s="86"/>
      <c r="AJ25" s="337"/>
    </row>
    <row r="26" spans="1:36" ht="13.5" thickBot="1" x14ac:dyDescent="0.25">
      <c r="B26" s="338">
        <f>IFERROR(VLOOKUP(B12,A28:Z44,2,FALSE),"")</f>
        <v>0</v>
      </c>
      <c r="C26" s="339">
        <f>IFERROR(VLOOKUP(B12,A28:Z44,3,FALSE),"")</f>
        <v>0</v>
      </c>
      <c r="D26" s="340">
        <f>IFERROR(VLOOKUP(B12,A28:Z44,4,FALSE),"")</f>
        <v>0</v>
      </c>
      <c r="E26" s="341" t="str">
        <f>IFERROR(VLOOKUP(B12,A28:Z44,5,FALSE),"")</f>
        <v/>
      </c>
      <c r="F26" s="339">
        <f>IFERROR(VLOOKUP(B12,A28:Z44,6,FALSE),"")</f>
        <v>0</v>
      </c>
      <c r="G26" s="340">
        <f>IFERROR(VLOOKUP(B12,A28:Z44,7,FALSE),"")</f>
        <v>0</v>
      </c>
      <c r="H26" s="339">
        <f>IFERROR(VLOOKUP(B12,A28:Z44,8,FALSE),"")</f>
        <v>0</v>
      </c>
      <c r="I26" s="340">
        <f>IFERROR(VLOOKUP(B12,A28:Z44,9,FALSE),"")</f>
        <v>0</v>
      </c>
      <c r="J26" s="341" t="str">
        <f>IFERROR(VLOOKUP(B12,A28:Z44,10,FALSE),"")</f>
        <v/>
      </c>
      <c r="K26" s="339">
        <f>IFERROR(VLOOKUP(B12,A28:Z44,11,FALSE),"")</f>
        <v>0</v>
      </c>
      <c r="L26" s="340">
        <f>IFERROR(VLOOKUP(B12,A28:Z44,12,FALSE),"")</f>
        <v>0</v>
      </c>
      <c r="M26" s="339">
        <f>IFERROR(VLOOKUP(B12,A28:Z44,13,FALSE),"")</f>
        <v>0</v>
      </c>
      <c r="N26" s="340">
        <f>IFERROR(VLOOKUP(B12,A28:Z44,14,FALSE),"")</f>
        <v>0</v>
      </c>
      <c r="O26" s="341" t="str">
        <f>IFERROR(VLOOKUP(B12,A28:Z44,15,FALSE),"")</f>
        <v/>
      </c>
      <c r="P26" s="339">
        <f>IFERROR(VLOOKUP(B12,A28:Z44,16,FALSE),"")</f>
        <v>0</v>
      </c>
      <c r="Q26" s="340">
        <f>IFERROR(VLOOKUP(B12,A28:Z44,17,FALSE),"")</f>
        <v>0</v>
      </c>
      <c r="R26" s="339">
        <f>IFERROR(VLOOKUP(B12,A28:Z44,18,FALSE),"")</f>
        <v>0</v>
      </c>
      <c r="S26" s="340">
        <f>IFERROR(VLOOKUP(B12,A28:Z44,19,FALSE),"")</f>
        <v>0</v>
      </c>
      <c r="T26" s="341" t="str">
        <f>IFERROR(VLOOKUP(B12,A28:Z44,20,FALSE),"")</f>
        <v/>
      </c>
      <c r="U26" s="339">
        <f>IFERROR(VLOOKUP(B12,A28:Z44,21,FALSE),"")</f>
        <v>0</v>
      </c>
      <c r="V26" s="338">
        <f>IFERROR(VLOOKUP(B12,A28:Z44,22,FALSE),"")</f>
        <v>0</v>
      </c>
      <c r="W26" s="339">
        <f>IFERROR(VLOOKUP(B12,A28:Z44,23,FALSE),"")</f>
        <v>0</v>
      </c>
      <c r="X26" s="340">
        <f>IFERROR(VLOOKUP(B12,A28:Z44,24,FALSE),"")</f>
        <v>0</v>
      </c>
      <c r="Y26" s="341" t="str">
        <f>IFERROR(VLOOKUP(B12,A28:Z44,25,FALSE),"")</f>
        <v/>
      </c>
      <c r="Z26" s="339">
        <f>IFERROR(VLOOKUP(B12,A28:Z44,26,FALSE),"")</f>
        <v>0</v>
      </c>
      <c r="AB26" s="42"/>
      <c r="AC26" s="346"/>
      <c r="AD26" s="78"/>
      <c r="AE26" s="78"/>
      <c r="AF26" s="42"/>
      <c r="AG26" s="348"/>
      <c r="AH26" s="349"/>
      <c r="AI26" s="349"/>
    </row>
    <row r="27" spans="1:36" ht="9.9499999999999993" customHeight="1" thickBot="1" x14ac:dyDescent="0.25">
      <c r="A27" s="182"/>
      <c r="B27" s="317"/>
      <c r="C27" s="317"/>
      <c r="D27" s="317"/>
      <c r="E27" s="318"/>
      <c r="F27" s="317"/>
      <c r="G27" s="317"/>
      <c r="H27" s="317"/>
      <c r="I27" s="317"/>
      <c r="J27" s="318"/>
      <c r="K27" s="317"/>
      <c r="L27" s="317"/>
      <c r="M27" s="317"/>
      <c r="N27" s="317"/>
      <c r="O27" s="318"/>
      <c r="P27" s="317"/>
      <c r="Q27" s="317"/>
      <c r="R27" s="317"/>
      <c r="S27" s="317"/>
      <c r="T27" s="318"/>
      <c r="U27" s="317"/>
      <c r="V27" s="317"/>
      <c r="W27" s="317"/>
      <c r="X27" s="317"/>
      <c r="Y27" s="318"/>
      <c r="Z27" s="317"/>
      <c r="AB27" s="42"/>
      <c r="AC27" s="346"/>
      <c r="AD27" s="79"/>
      <c r="AE27" s="79"/>
      <c r="AF27" s="42"/>
      <c r="AG27" s="348"/>
      <c r="AH27" s="349"/>
      <c r="AI27" s="350"/>
    </row>
    <row r="28" spans="1:36" ht="13.5" thickBot="1" x14ac:dyDescent="0.25">
      <c r="A28" s="182"/>
      <c r="B28" s="844" t="s">
        <v>1</v>
      </c>
      <c r="C28" s="845"/>
      <c r="D28" s="845"/>
      <c r="E28" s="845"/>
      <c r="F28" s="845"/>
      <c r="G28" s="845"/>
      <c r="H28" s="845"/>
      <c r="I28" s="845"/>
      <c r="J28" s="845"/>
      <c r="K28" s="846"/>
      <c r="L28" s="844" t="s">
        <v>0</v>
      </c>
      <c r="M28" s="845"/>
      <c r="N28" s="845"/>
      <c r="O28" s="845"/>
      <c r="P28" s="845"/>
      <c r="Q28" s="845"/>
      <c r="R28" s="845"/>
      <c r="S28" s="845"/>
      <c r="T28" s="845"/>
      <c r="U28" s="846"/>
      <c r="V28" s="847" t="s">
        <v>111</v>
      </c>
      <c r="W28" s="848"/>
      <c r="X28" s="848"/>
      <c r="Y28" s="848"/>
      <c r="Z28" s="841"/>
      <c r="AA28" s="327"/>
      <c r="AB28" s="328"/>
      <c r="AC28" s="351"/>
      <c r="AD28" s="352"/>
      <c r="AE28" s="352"/>
      <c r="AF28" s="328"/>
      <c r="AG28" s="353"/>
      <c r="AH28" s="354"/>
      <c r="AI28" s="354"/>
    </row>
    <row r="29" spans="1:36" ht="13.5" thickBot="1" x14ac:dyDescent="0.25">
      <c r="A29" s="182"/>
      <c r="B29" s="844" t="s">
        <v>114</v>
      </c>
      <c r="C29" s="845"/>
      <c r="D29" s="845"/>
      <c r="E29" s="845"/>
      <c r="F29" s="846"/>
      <c r="G29" s="844" t="s">
        <v>115</v>
      </c>
      <c r="H29" s="845"/>
      <c r="I29" s="845"/>
      <c r="J29" s="845"/>
      <c r="K29" s="846"/>
      <c r="L29" s="844" t="s">
        <v>25</v>
      </c>
      <c r="M29" s="845"/>
      <c r="N29" s="845"/>
      <c r="O29" s="845"/>
      <c r="P29" s="846"/>
      <c r="Q29" s="844" t="s">
        <v>39</v>
      </c>
      <c r="R29" s="845"/>
      <c r="S29" s="845"/>
      <c r="T29" s="845"/>
      <c r="U29" s="846"/>
      <c r="V29" s="849"/>
      <c r="W29" s="850"/>
      <c r="X29" s="850"/>
      <c r="Y29" s="850"/>
      <c r="Z29" s="851"/>
      <c r="AB29" s="42"/>
      <c r="AC29" s="50"/>
      <c r="AD29" s="80"/>
      <c r="AE29" s="80"/>
      <c r="AF29" s="42"/>
      <c r="AG29" s="50"/>
      <c r="AH29" s="355"/>
      <c r="AI29" s="355"/>
    </row>
    <row r="30" spans="1:36" x14ac:dyDescent="0.2">
      <c r="A30" s="182"/>
      <c r="B30" s="324" t="s">
        <v>14</v>
      </c>
      <c r="C30" s="325" t="s">
        <v>15</v>
      </c>
      <c r="D30" s="326" t="s">
        <v>16</v>
      </c>
      <c r="E30" s="842" t="s">
        <v>20</v>
      </c>
      <c r="F30" s="843"/>
      <c r="G30" s="324" t="s">
        <v>14</v>
      </c>
      <c r="H30" s="325" t="s">
        <v>15</v>
      </c>
      <c r="I30" s="326" t="s">
        <v>16</v>
      </c>
      <c r="J30" s="842" t="s">
        <v>20</v>
      </c>
      <c r="K30" s="843"/>
      <c r="L30" s="324" t="s">
        <v>14</v>
      </c>
      <c r="M30" s="325" t="s">
        <v>15</v>
      </c>
      <c r="N30" s="326" t="s">
        <v>16</v>
      </c>
      <c r="O30" s="842" t="s">
        <v>20</v>
      </c>
      <c r="P30" s="843"/>
      <c r="Q30" s="324" t="s">
        <v>14</v>
      </c>
      <c r="R30" s="325" t="s">
        <v>15</v>
      </c>
      <c r="S30" s="326" t="s">
        <v>16</v>
      </c>
      <c r="T30" s="842" t="s">
        <v>20</v>
      </c>
      <c r="U30" s="843"/>
      <c r="V30" s="324" t="s">
        <v>14</v>
      </c>
      <c r="W30" s="325" t="s">
        <v>15</v>
      </c>
      <c r="X30" s="326" t="s">
        <v>16</v>
      </c>
      <c r="Y30" s="840" t="s">
        <v>20</v>
      </c>
      <c r="Z30" s="843"/>
      <c r="AB30" s="42"/>
      <c r="AC30" s="50"/>
      <c r="AD30" s="356"/>
      <c r="AE30" s="42"/>
      <c r="AF30" s="42"/>
      <c r="AG30" s="42"/>
      <c r="AH30" s="357"/>
      <c r="AI30" s="357"/>
    </row>
    <row r="31" spans="1:36" s="312" customFormat="1" ht="13.5" thickBot="1" x14ac:dyDescent="0.25">
      <c r="A31" s="331"/>
      <c r="B31" s="332" t="s">
        <v>59</v>
      </c>
      <c r="C31" s="332" t="s">
        <v>59</v>
      </c>
      <c r="D31" s="333" t="s">
        <v>59</v>
      </c>
      <c r="E31" s="334" t="s">
        <v>17</v>
      </c>
      <c r="F31" s="335" t="s">
        <v>59</v>
      </c>
      <c r="G31" s="332" t="s">
        <v>59</v>
      </c>
      <c r="H31" s="332" t="s">
        <v>59</v>
      </c>
      <c r="I31" s="333" t="s">
        <v>59</v>
      </c>
      <c r="J31" s="334" t="s">
        <v>17</v>
      </c>
      <c r="K31" s="335" t="s">
        <v>59</v>
      </c>
      <c r="L31" s="358" t="s">
        <v>59</v>
      </c>
      <c r="M31" s="358" t="s">
        <v>59</v>
      </c>
      <c r="N31" s="359" t="s">
        <v>59</v>
      </c>
      <c r="O31" s="334" t="s">
        <v>17</v>
      </c>
      <c r="P31" s="335" t="s">
        <v>59</v>
      </c>
      <c r="Q31" s="332" t="s">
        <v>59</v>
      </c>
      <c r="R31" s="332" t="s">
        <v>59</v>
      </c>
      <c r="S31" s="333" t="s">
        <v>59</v>
      </c>
      <c r="T31" s="334" t="s">
        <v>17</v>
      </c>
      <c r="U31" s="335" t="s">
        <v>59</v>
      </c>
      <c r="V31" s="332" t="s">
        <v>59</v>
      </c>
      <c r="W31" s="332" t="s">
        <v>59</v>
      </c>
      <c r="X31" s="333" t="s">
        <v>59</v>
      </c>
      <c r="Y31" s="336" t="s">
        <v>17</v>
      </c>
      <c r="Z31" s="333" t="s">
        <v>59</v>
      </c>
      <c r="AA31" s="181"/>
      <c r="AB31" s="42"/>
      <c r="AC31" s="50"/>
      <c r="AD31" s="80"/>
      <c r="AE31" s="80"/>
      <c r="AF31" s="42"/>
      <c r="AG31" s="42"/>
      <c r="AH31" s="86"/>
      <c r="AI31" s="86"/>
      <c r="AJ31" s="337"/>
    </row>
    <row r="32" spans="1:36" s="372" customFormat="1" ht="13.5" thickBot="1" x14ac:dyDescent="0.25">
      <c r="A32" s="360"/>
      <c r="B32" s="361">
        <f ca="1">SUM(OFFSET(B33,0,0,MATCH(B12,A33:A44,0)))</f>
        <v>0</v>
      </c>
      <c r="C32" s="362">
        <f ca="1">SUM(OFFSET(C33,0,0,MATCH(B12,A33:A44,0)))</f>
        <v>0</v>
      </c>
      <c r="D32" s="363">
        <f ca="1">SUM(OFFSET(D33,0,0,MATCH(B12,A33:A44,0)))</f>
        <v>0</v>
      </c>
      <c r="E32" s="364" t="e">
        <f ca="1">SUM((D32-C32)/C32)</f>
        <v>#DIV/0!</v>
      </c>
      <c r="F32" s="361">
        <f ca="1">SUM(OFFSET(F33,0,0,MATCH(B12,A33:A44,0)))</f>
        <v>0</v>
      </c>
      <c r="G32" s="362">
        <f ca="1">SUM(OFFSET(G33,0,0,MATCH(B12,A33:A44,0)))</f>
        <v>0</v>
      </c>
      <c r="H32" s="362">
        <f ca="1">SUM(OFFSET(H33,0,0,MATCH(B12,A33:A44,0)))</f>
        <v>0</v>
      </c>
      <c r="I32" s="361">
        <f ca="1">SUM(OFFSET(I33,0,0,MATCH(B12,A33:A44,0)))</f>
        <v>0</v>
      </c>
      <c r="J32" s="365" t="e">
        <f ca="1">SUM((I32-H32)/H32)</f>
        <v>#DIV/0!</v>
      </c>
      <c r="K32" s="363">
        <f ca="1">SUM(OFFSET(K33,0,0,MATCH(B12,A33:A44,0)))</f>
        <v>0</v>
      </c>
      <c r="L32" s="363">
        <f ca="1">SUM(OFFSET(L33,0,0,MATCH(B12,A33:A44,0)))</f>
        <v>0</v>
      </c>
      <c r="M32" s="361">
        <f ca="1">SUM(OFFSET(M33,0,0,MATCH(B12,A33:A44,0)))</f>
        <v>0</v>
      </c>
      <c r="N32" s="366">
        <f ca="1">SUM(OFFSET(N33,0,0,MATCH(B12,A33:A44,0)))</f>
        <v>0</v>
      </c>
      <c r="O32" s="364" t="e">
        <f ca="1">SUM((N32-M32)/M32)</f>
        <v>#DIV/0!</v>
      </c>
      <c r="P32" s="367">
        <f ca="1">SUM(OFFSET(P33,0,0,MATCH(B12,A33:A44,0)))</f>
        <v>0</v>
      </c>
      <c r="Q32" s="366">
        <f ca="1">SUM(OFFSET(Q33,0,0,MATCH(B12,A33:A44,0)))</f>
        <v>0</v>
      </c>
      <c r="R32" s="361">
        <f ca="1">SUM(OFFSET(R33,0,0,MATCH(B12,A33:A44,0)))</f>
        <v>0</v>
      </c>
      <c r="S32" s="366">
        <f ca="1">SUM(OFFSET(S33,0,0,MATCH(B12,A33:A44,0)))</f>
        <v>0</v>
      </c>
      <c r="T32" s="364" t="e">
        <f ca="1">SUM((S32-R32)/R32)</f>
        <v>#DIV/0!</v>
      </c>
      <c r="U32" s="368">
        <f ca="1">SUM(OFFSET(U33,0,0,MATCH(B12,A33:A44,0)))</f>
        <v>0</v>
      </c>
      <c r="V32" s="361">
        <f ca="1">SUM(OFFSET(V33,0,0,MATCH(B12,A33:A44,0)))</f>
        <v>0</v>
      </c>
      <c r="W32" s="366">
        <f ca="1">SUM(OFFSET(W33,0,0,MATCH(B12,A33:A44,0)))</f>
        <v>0</v>
      </c>
      <c r="X32" s="361">
        <f ca="1">SUM(OFFSET(X33,0,0,MATCH(B12,A33:A44,0)))</f>
        <v>0</v>
      </c>
      <c r="Y32" s="369" t="e">
        <f ca="1">SUM((X32-W32)/W32)</f>
        <v>#DIV/0!</v>
      </c>
      <c r="Z32" s="361">
        <f ca="1">SUM(OFFSET(Z33,0,0,MATCH(B12,A33:A44,0)))</f>
        <v>0</v>
      </c>
      <c r="AA32" s="370"/>
      <c r="AB32" s="370"/>
      <c r="AC32" s="370"/>
      <c r="AD32" s="370"/>
      <c r="AE32" s="370"/>
      <c r="AF32" s="370"/>
      <c r="AG32" s="370"/>
      <c r="AH32" s="370"/>
      <c r="AI32" s="370"/>
      <c r="AJ32" s="371"/>
    </row>
    <row r="33" spans="1:35" x14ac:dyDescent="0.2">
      <c r="A33" s="298" t="s">
        <v>6</v>
      </c>
      <c r="B33" s="373">
        <v>0</v>
      </c>
      <c r="C33" s="374">
        <v>0</v>
      </c>
      <c r="D33" s="969">
        <v>0</v>
      </c>
      <c r="E33" s="375" t="e">
        <f>((D33-C33)/C33)</f>
        <v>#DIV/0!</v>
      </c>
      <c r="F33" s="374">
        <f>SUM(D33-C33)</f>
        <v>0</v>
      </c>
      <c r="G33" s="376">
        <v>0</v>
      </c>
      <c r="H33" s="374">
        <v>0</v>
      </c>
      <c r="I33" s="377">
        <v>0</v>
      </c>
      <c r="J33" s="378" t="e">
        <f>((I33-H33)/H33)</f>
        <v>#DIV/0!</v>
      </c>
      <c r="K33" s="373">
        <f>SUM(I33-H33)</f>
        <v>0</v>
      </c>
      <c r="L33" s="373">
        <f>SUM(ATELIER!C20-PRODUCTION!C20)</f>
        <v>0</v>
      </c>
      <c r="M33" s="373">
        <f>SUM(ATELIER!D20-PRODUCTION!D20)</f>
        <v>0</v>
      </c>
      <c r="N33" s="374">
        <f>SUM(ATELIER!E20-PRODUCTION!E20)</f>
        <v>0</v>
      </c>
      <c r="O33" s="379" t="e">
        <f>((N33-M33)/M33)</f>
        <v>#DIV/0!</v>
      </c>
      <c r="P33" s="376">
        <f>(N33-M33)</f>
        <v>0</v>
      </c>
      <c r="Q33" s="373">
        <v>0</v>
      </c>
      <c r="R33" s="374">
        <v>0</v>
      </c>
      <c r="S33" s="377">
        <v>0</v>
      </c>
      <c r="T33" s="378" t="e">
        <f>((S33-R33)/R33)</f>
        <v>#DIV/0!</v>
      </c>
      <c r="U33" s="373">
        <f>(S33-R33)</f>
        <v>0</v>
      </c>
      <c r="V33" s="380">
        <f>SUM(B33+G33+L33+Q33)</f>
        <v>0</v>
      </c>
      <c r="W33" s="381">
        <f>SUM(C33+H33+M33+R33)</f>
        <v>0</v>
      </c>
      <c r="X33" s="382">
        <f>SUM(D33+I33+N33+S33)</f>
        <v>0</v>
      </c>
      <c r="Y33" s="378" t="e">
        <f t="shared" ref="Y33:Y44" si="1">SUM((X33-W33)/W33)</f>
        <v>#DIV/0!</v>
      </c>
      <c r="Z33" s="374">
        <f t="shared" ref="Z33:Z44" si="2">SUM(X33-W33)</f>
        <v>0</v>
      </c>
      <c r="AB33" s="42"/>
      <c r="AC33" s="50"/>
      <c r="AD33" s="80"/>
      <c r="AE33" s="80"/>
      <c r="AF33" s="42"/>
      <c r="AG33" s="346"/>
      <c r="AH33" s="349"/>
      <c r="AI33" s="349"/>
    </row>
    <row r="34" spans="1:35" x14ac:dyDescent="0.2">
      <c r="A34" s="299" t="s">
        <v>7</v>
      </c>
      <c r="B34" s="383">
        <v>0</v>
      </c>
      <c r="C34" s="384">
        <v>0</v>
      </c>
      <c r="D34" s="385">
        <v>0</v>
      </c>
      <c r="E34" s="386" t="e">
        <f t="shared" ref="E34:E44" si="3">((D34-C34)/C34)</f>
        <v>#DIV/0!</v>
      </c>
      <c r="F34" s="384">
        <f t="shared" ref="F34:F44" si="4">SUM(D34-C34)</f>
        <v>0</v>
      </c>
      <c r="G34" s="385">
        <v>0</v>
      </c>
      <c r="H34" s="384">
        <v>0</v>
      </c>
      <c r="I34" s="387">
        <v>0</v>
      </c>
      <c r="J34" s="388" t="e">
        <f t="shared" ref="J34:J44" si="5">((I34-H34)/H34)</f>
        <v>#DIV/0!</v>
      </c>
      <c r="K34" s="383">
        <f t="shared" ref="K34:K44" si="6">SUM(I34-H34)</f>
        <v>0</v>
      </c>
      <c r="L34" s="383">
        <f>SUM(ATELIER!C21-PRODUCTION!C21)</f>
        <v>0</v>
      </c>
      <c r="M34" s="383">
        <f>SUM(ATELIER!D21-PRODUCTION!D21)</f>
        <v>0</v>
      </c>
      <c r="N34" s="384">
        <f>SUM(ATELIER!E21-PRODUCTION!E21)</f>
        <v>0</v>
      </c>
      <c r="O34" s="389" t="e">
        <f t="shared" ref="O34:O44" si="7">((N34-M34)/M34)</f>
        <v>#DIV/0!</v>
      </c>
      <c r="P34" s="385">
        <f t="shared" ref="P34:P44" si="8">(N34-M34)</f>
        <v>0</v>
      </c>
      <c r="Q34" s="383">
        <v>0</v>
      </c>
      <c r="R34" s="384">
        <v>0</v>
      </c>
      <c r="S34" s="387">
        <v>0</v>
      </c>
      <c r="T34" s="388" t="e">
        <f t="shared" ref="T34:T44" si="9">((S34-R34)/R34)</f>
        <v>#DIV/0!</v>
      </c>
      <c r="U34" s="383">
        <f t="shared" ref="U34:U44" si="10">(S34-R34)</f>
        <v>0</v>
      </c>
      <c r="V34" s="390">
        <f t="shared" ref="V34:V44" si="11">SUM(B34+G34+L34+Q34)</f>
        <v>0</v>
      </c>
      <c r="W34" s="391">
        <f t="shared" ref="W34:W44" si="12">SUM(C34+H34+M34+R34)</f>
        <v>0</v>
      </c>
      <c r="X34" s="392">
        <f t="shared" ref="X34:X44" si="13">SUM(D34+I34+N34+S34)</f>
        <v>0</v>
      </c>
      <c r="Y34" s="388" t="e">
        <f t="shared" si="1"/>
        <v>#DIV/0!</v>
      </c>
      <c r="Z34" s="384">
        <f t="shared" si="2"/>
        <v>0</v>
      </c>
      <c r="AB34" s="42"/>
      <c r="AC34" s="50"/>
      <c r="AD34" s="80"/>
      <c r="AE34" s="80"/>
      <c r="AF34" s="42"/>
      <c r="AG34" s="346"/>
      <c r="AH34" s="350"/>
      <c r="AI34" s="350"/>
    </row>
    <row r="35" spans="1:35" x14ac:dyDescent="0.2">
      <c r="A35" s="299" t="s">
        <v>8</v>
      </c>
      <c r="B35" s="383">
        <v>0</v>
      </c>
      <c r="C35" s="384">
        <v>0</v>
      </c>
      <c r="D35" s="385">
        <v>0</v>
      </c>
      <c r="E35" s="386" t="e">
        <f t="shared" si="3"/>
        <v>#DIV/0!</v>
      </c>
      <c r="F35" s="384">
        <f t="shared" si="4"/>
        <v>0</v>
      </c>
      <c r="G35" s="385">
        <v>0</v>
      </c>
      <c r="H35" s="384">
        <v>0</v>
      </c>
      <c r="I35" s="387">
        <v>0</v>
      </c>
      <c r="J35" s="388" t="e">
        <f t="shared" si="5"/>
        <v>#DIV/0!</v>
      </c>
      <c r="K35" s="383">
        <f t="shared" si="6"/>
        <v>0</v>
      </c>
      <c r="L35" s="383">
        <f>SUM(ATELIER!C22-PRODUCTION!C22)</f>
        <v>0</v>
      </c>
      <c r="M35" s="383">
        <f>SUM(ATELIER!D22-PRODUCTION!D22)</f>
        <v>0</v>
      </c>
      <c r="N35" s="384">
        <f>SUM(ATELIER!E22-PRODUCTION!E22)</f>
        <v>0</v>
      </c>
      <c r="O35" s="389" t="e">
        <f t="shared" si="7"/>
        <v>#DIV/0!</v>
      </c>
      <c r="P35" s="385">
        <f t="shared" si="8"/>
        <v>0</v>
      </c>
      <c r="Q35" s="383">
        <v>0</v>
      </c>
      <c r="R35" s="384">
        <v>0</v>
      </c>
      <c r="S35" s="387">
        <v>0</v>
      </c>
      <c r="T35" s="388" t="e">
        <f>((S35-R35)/R35)</f>
        <v>#DIV/0!</v>
      </c>
      <c r="U35" s="383">
        <f t="shared" si="10"/>
        <v>0</v>
      </c>
      <c r="V35" s="390">
        <f t="shared" si="11"/>
        <v>0</v>
      </c>
      <c r="W35" s="391">
        <f t="shared" si="12"/>
        <v>0</v>
      </c>
      <c r="X35" s="392">
        <f t="shared" si="13"/>
        <v>0</v>
      </c>
      <c r="Y35" s="388" t="e">
        <f t="shared" si="1"/>
        <v>#DIV/0!</v>
      </c>
      <c r="Z35" s="384">
        <f t="shared" si="2"/>
        <v>0</v>
      </c>
      <c r="AC35" s="50"/>
      <c r="AD35" s="80"/>
      <c r="AE35" s="80"/>
      <c r="AG35" s="393"/>
      <c r="AH35" s="350"/>
      <c r="AI35" s="350"/>
    </row>
    <row r="36" spans="1:35" x14ac:dyDescent="0.2">
      <c r="A36" s="299" t="s">
        <v>9</v>
      </c>
      <c r="B36" s="383">
        <v>0</v>
      </c>
      <c r="C36" s="384">
        <v>0</v>
      </c>
      <c r="D36" s="385">
        <v>0</v>
      </c>
      <c r="E36" s="386" t="e">
        <f t="shared" si="3"/>
        <v>#DIV/0!</v>
      </c>
      <c r="F36" s="384">
        <f t="shared" si="4"/>
        <v>0</v>
      </c>
      <c r="G36" s="385">
        <v>0</v>
      </c>
      <c r="H36" s="384">
        <v>0</v>
      </c>
      <c r="I36" s="387">
        <v>0</v>
      </c>
      <c r="J36" s="388" t="e">
        <f t="shared" si="5"/>
        <v>#DIV/0!</v>
      </c>
      <c r="K36" s="383">
        <f t="shared" si="6"/>
        <v>0</v>
      </c>
      <c r="L36" s="383">
        <f>SUM(ATELIER!C23-PRODUCTION!C23)</f>
        <v>0</v>
      </c>
      <c r="M36" s="383">
        <f>SUM(ATELIER!D23-PRODUCTION!D23)</f>
        <v>0</v>
      </c>
      <c r="N36" s="384">
        <f>SUM(ATELIER!E23-PRODUCTION!E23)</f>
        <v>0</v>
      </c>
      <c r="O36" s="389" t="e">
        <f t="shared" si="7"/>
        <v>#DIV/0!</v>
      </c>
      <c r="P36" s="385">
        <f t="shared" si="8"/>
        <v>0</v>
      </c>
      <c r="Q36" s="383">
        <v>0</v>
      </c>
      <c r="R36" s="384">
        <v>0</v>
      </c>
      <c r="S36" s="387">
        <v>0</v>
      </c>
      <c r="T36" s="388" t="e">
        <f t="shared" si="9"/>
        <v>#DIV/0!</v>
      </c>
      <c r="U36" s="383">
        <f t="shared" si="10"/>
        <v>0</v>
      </c>
      <c r="V36" s="390">
        <f t="shared" si="11"/>
        <v>0</v>
      </c>
      <c r="W36" s="391">
        <f t="shared" si="12"/>
        <v>0</v>
      </c>
      <c r="X36" s="392">
        <f t="shared" si="13"/>
        <v>0</v>
      </c>
      <c r="Y36" s="388" t="e">
        <f t="shared" si="1"/>
        <v>#DIV/0!</v>
      </c>
      <c r="Z36" s="384">
        <f t="shared" si="2"/>
        <v>0</v>
      </c>
      <c r="AC36" s="42"/>
      <c r="AD36" s="42"/>
      <c r="AE36" s="42"/>
      <c r="AG36" s="50"/>
      <c r="AH36" s="355"/>
      <c r="AI36" s="355"/>
    </row>
    <row r="37" spans="1:35" x14ac:dyDescent="0.2">
      <c r="A37" s="299" t="s">
        <v>10</v>
      </c>
      <c r="B37" s="383">
        <v>0</v>
      </c>
      <c r="C37" s="384">
        <v>0</v>
      </c>
      <c r="D37" s="385">
        <v>0</v>
      </c>
      <c r="E37" s="386" t="e">
        <f t="shared" si="3"/>
        <v>#DIV/0!</v>
      </c>
      <c r="F37" s="384">
        <f t="shared" si="4"/>
        <v>0</v>
      </c>
      <c r="G37" s="385">
        <v>0</v>
      </c>
      <c r="H37" s="384">
        <v>0</v>
      </c>
      <c r="I37" s="387">
        <v>0</v>
      </c>
      <c r="J37" s="388" t="e">
        <f t="shared" si="5"/>
        <v>#DIV/0!</v>
      </c>
      <c r="K37" s="383">
        <f t="shared" si="6"/>
        <v>0</v>
      </c>
      <c r="L37" s="383">
        <f>SUM(ATELIER!C24-PRODUCTION!C24)</f>
        <v>0</v>
      </c>
      <c r="M37" s="383">
        <f>SUM(ATELIER!D24-PRODUCTION!D24)</f>
        <v>0</v>
      </c>
      <c r="N37" s="384">
        <f>SUM(ATELIER!E24-PRODUCTION!E24)</f>
        <v>0</v>
      </c>
      <c r="O37" s="389" t="e">
        <f t="shared" si="7"/>
        <v>#DIV/0!</v>
      </c>
      <c r="P37" s="385">
        <f t="shared" si="8"/>
        <v>0</v>
      </c>
      <c r="Q37" s="383">
        <v>0</v>
      </c>
      <c r="R37" s="384">
        <v>0</v>
      </c>
      <c r="S37" s="387">
        <v>0</v>
      </c>
      <c r="T37" s="388" t="e">
        <f t="shared" si="9"/>
        <v>#DIV/0!</v>
      </c>
      <c r="U37" s="383">
        <f t="shared" si="10"/>
        <v>0</v>
      </c>
      <c r="V37" s="390">
        <f t="shared" si="11"/>
        <v>0</v>
      </c>
      <c r="W37" s="391">
        <f t="shared" si="12"/>
        <v>0</v>
      </c>
      <c r="X37" s="392">
        <f>SUM(D37+I37+N37+S37)</f>
        <v>0</v>
      </c>
      <c r="Y37" s="388" t="e">
        <f t="shared" si="1"/>
        <v>#DIV/0!</v>
      </c>
      <c r="Z37" s="384">
        <f t="shared" si="2"/>
        <v>0</v>
      </c>
    </row>
    <row r="38" spans="1:35" x14ac:dyDescent="0.2">
      <c r="A38" s="299" t="s">
        <v>11</v>
      </c>
      <c r="B38" s="383">
        <v>0</v>
      </c>
      <c r="C38" s="384">
        <v>0</v>
      </c>
      <c r="D38" s="385">
        <v>0</v>
      </c>
      <c r="E38" s="386" t="e">
        <f t="shared" si="3"/>
        <v>#DIV/0!</v>
      </c>
      <c r="F38" s="384">
        <f t="shared" si="4"/>
        <v>0</v>
      </c>
      <c r="G38" s="385">
        <v>0</v>
      </c>
      <c r="H38" s="384">
        <v>0</v>
      </c>
      <c r="I38" s="387">
        <v>0</v>
      </c>
      <c r="J38" s="388" t="e">
        <f t="shared" si="5"/>
        <v>#DIV/0!</v>
      </c>
      <c r="K38" s="383">
        <f t="shared" si="6"/>
        <v>0</v>
      </c>
      <c r="L38" s="383">
        <f>SUM(ATELIER!C25-PRODUCTION!C25)</f>
        <v>0</v>
      </c>
      <c r="M38" s="383">
        <f>SUM(ATELIER!D25-PRODUCTION!D25)</f>
        <v>0</v>
      </c>
      <c r="N38" s="384">
        <f>SUM(ATELIER!E25-PRODUCTION!E25)</f>
        <v>0</v>
      </c>
      <c r="O38" s="389" t="e">
        <f t="shared" si="7"/>
        <v>#DIV/0!</v>
      </c>
      <c r="P38" s="385">
        <f t="shared" si="8"/>
        <v>0</v>
      </c>
      <c r="Q38" s="383">
        <v>0</v>
      </c>
      <c r="R38" s="384">
        <v>0</v>
      </c>
      <c r="S38" s="387">
        <v>0</v>
      </c>
      <c r="T38" s="388" t="e">
        <f t="shared" si="9"/>
        <v>#DIV/0!</v>
      </c>
      <c r="U38" s="383">
        <f t="shared" si="10"/>
        <v>0</v>
      </c>
      <c r="V38" s="390">
        <f t="shared" si="11"/>
        <v>0</v>
      </c>
      <c r="W38" s="391">
        <f t="shared" si="12"/>
        <v>0</v>
      </c>
      <c r="X38" s="392">
        <f t="shared" si="13"/>
        <v>0</v>
      </c>
      <c r="Y38" s="388" t="e">
        <f t="shared" si="1"/>
        <v>#DIV/0!</v>
      </c>
      <c r="Z38" s="384">
        <f t="shared" si="2"/>
        <v>0</v>
      </c>
    </row>
    <row r="39" spans="1:35" x14ac:dyDescent="0.2">
      <c r="A39" s="299" t="s">
        <v>12</v>
      </c>
      <c r="B39" s="383">
        <v>0</v>
      </c>
      <c r="C39" s="384">
        <v>0</v>
      </c>
      <c r="D39" s="385">
        <v>0</v>
      </c>
      <c r="E39" s="386" t="e">
        <f t="shared" si="3"/>
        <v>#DIV/0!</v>
      </c>
      <c r="F39" s="384">
        <f t="shared" si="4"/>
        <v>0</v>
      </c>
      <c r="G39" s="385">
        <v>0</v>
      </c>
      <c r="H39" s="384">
        <v>0</v>
      </c>
      <c r="I39" s="387">
        <v>0</v>
      </c>
      <c r="J39" s="388" t="e">
        <f t="shared" si="5"/>
        <v>#DIV/0!</v>
      </c>
      <c r="K39" s="383">
        <f t="shared" si="6"/>
        <v>0</v>
      </c>
      <c r="L39" s="383">
        <f>SUM(ATELIER!C26-PRODUCTION!C26)</f>
        <v>0</v>
      </c>
      <c r="M39" s="383">
        <f>SUM(ATELIER!D26-PRODUCTION!D26)</f>
        <v>0</v>
      </c>
      <c r="N39" s="384">
        <f>SUM(ATELIER!E26-PRODUCTION!E26)</f>
        <v>0</v>
      </c>
      <c r="O39" s="389" t="e">
        <f t="shared" si="7"/>
        <v>#DIV/0!</v>
      </c>
      <c r="P39" s="385">
        <f t="shared" si="8"/>
        <v>0</v>
      </c>
      <c r="Q39" s="383">
        <v>0</v>
      </c>
      <c r="R39" s="384">
        <v>0</v>
      </c>
      <c r="S39" s="387">
        <v>0</v>
      </c>
      <c r="T39" s="388" t="e">
        <f t="shared" si="9"/>
        <v>#DIV/0!</v>
      </c>
      <c r="U39" s="383">
        <f t="shared" si="10"/>
        <v>0</v>
      </c>
      <c r="V39" s="390">
        <f t="shared" si="11"/>
        <v>0</v>
      </c>
      <c r="W39" s="391">
        <f t="shared" si="12"/>
        <v>0</v>
      </c>
      <c r="X39" s="392">
        <f t="shared" si="13"/>
        <v>0</v>
      </c>
      <c r="Y39" s="388" t="e">
        <f t="shared" si="1"/>
        <v>#DIV/0!</v>
      </c>
      <c r="Z39" s="384">
        <f t="shared" si="2"/>
        <v>0</v>
      </c>
    </row>
    <row r="40" spans="1:35" x14ac:dyDescent="0.2">
      <c r="A40" s="299" t="s">
        <v>13</v>
      </c>
      <c r="B40" s="383">
        <v>0</v>
      </c>
      <c r="C40" s="384">
        <v>0</v>
      </c>
      <c r="D40" s="385">
        <v>0</v>
      </c>
      <c r="E40" s="386" t="e">
        <f t="shared" si="3"/>
        <v>#DIV/0!</v>
      </c>
      <c r="F40" s="384">
        <f t="shared" si="4"/>
        <v>0</v>
      </c>
      <c r="G40" s="385">
        <v>0</v>
      </c>
      <c r="H40" s="384">
        <v>0</v>
      </c>
      <c r="I40" s="387">
        <v>0</v>
      </c>
      <c r="J40" s="388" t="e">
        <f t="shared" si="5"/>
        <v>#DIV/0!</v>
      </c>
      <c r="K40" s="383">
        <f t="shared" si="6"/>
        <v>0</v>
      </c>
      <c r="L40" s="383">
        <f>SUM(ATELIER!C27-PRODUCTION!C27)</f>
        <v>0</v>
      </c>
      <c r="M40" s="383">
        <f>SUM(ATELIER!D27-PRODUCTION!D27)</f>
        <v>0</v>
      </c>
      <c r="N40" s="384">
        <f>SUM(ATELIER!E27-PRODUCTION!E27)</f>
        <v>0</v>
      </c>
      <c r="O40" s="389" t="e">
        <f t="shared" si="7"/>
        <v>#DIV/0!</v>
      </c>
      <c r="P40" s="385">
        <f t="shared" si="8"/>
        <v>0</v>
      </c>
      <c r="Q40" s="383">
        <v>0</v>
      </c>
      <c r="R40" s="384">
        <v>0</v>
      </c>
      <c r="S40" s="387">
        <v>0</v>
      </c>
      <c r="T40" s="388" t="e">
        <f t="shared" si="9"/>
        <v>#DIV/0!</v>
      </c>
      <c r="U40" s="383">
        <f t="shared" si="10"/>
        <v>0</v>
      </c>
      <c r="V40" s="390">
        <f t="shared" si="11"/>
        <v>0</v>
      </c>
      <c r="W40" s="391">
        <f t="shared" si="12"/>
        <v>0</v>
      </c>
      <c r="X40" s="392">
        <f t="shared" si="13"/>
        <v>0</v>
      </c>
      <c r="Y40" s="388" t="e">
        <f t="shared" si="1"/>
        <v>#DIV/0!</v>
      </c>
      <c r="Z40" s="384">
        <f t="shared" si="2"/>
        <v>0</v>
      </c>
    </row>
    <row r="41" spans="1:35" x14ac:dyDescent="0.2">
      <c r="A41" s="299" t="s">
        <v>2</v>
      </c>
      <c r="B41" s="383">
        <v>0</v>
      </c>
      <c r="C41" s="384">
        <v>0</v>
      </c>
      <c r="D41" s="385">
        <v>0</v>
      </c>
      <c r="E41" s="386" t="e">
        <f t="shared" si="3"/>
        <v>#DIV/0!</v>
      </c>
      <c r="F41" s="384">
        <f t="shared" si="4"/>
        <v>0</v>
      </c>
      <c r="G41" s="385">
        <v>0</v>
      </c>
      <c r="H41" s="384">
        <v>0</v>
      </c>
      <c r="I41" s="387">
        <v>0</v>
      </c>
      <c r="J41" s="388" t="e">
        <f t="shared" si="5"/>
        <v>#DIV/0!</v>
      </c>
      <c r="K41" s="383">
        <f t="shared" si="6"/>
        <v>0</v>
      </c>
      <c r="L41" s="383">
        <f>SUM(ATELIER!C28-PRODUCTION!C28)</f>
        <v>0</v>
      </c>
      <c r="M41" s="383">
        <f>SUM(ATELIER!D28-PRODUCTION!D28)</f>
        <v>0</v>
      </c>
      <c r="N41" s="384">
        <f>SUM(ATELIER!E28-PRODUCTION!E28)</f>
        <v>0</v>
      </c>
      <c r="O41" s="389" t="e">
        <f t="shared" si="7"/>
        <v>#DIV/0!</v>
      </c>
      <c r="P41" s="385">
        <f t="shared" si="8"/>
        <v>0</v>
      </c>
      <c r="Q41" s="383">
        <v>0</v>
      </c>
      <c r="R41" s="384">
        <v>0</v>
      </c>
      <c r="S41" s="387">
        <v>0</v>
      </c>
      <c r="T41" s="388" t="e">
        <f t="shared" si="9"/>
        <v>#DIV/0!</v>
      </c>
      <c r="U41" s="383">
        <f t="shared" si="10"/>
        <v>0</v>
      </c>
      <c r="V41" s="390">
        <f t="shared" si="11"/>
        <v>0</v>
      </c>
      <c r="W41" s="391">
        <f t="shared" si="12"/>
        <v>0</v>
      </c>
      <c r="X41" s="392">
        <f t="shared" si="13"/>
        <v>0</v>
      </c>
      <c r="Y41" s="388" t="e">
        <f t="shared" si="1"/>
        <v>#DIV/0!</v>
      </c>
      <c r="Z41" s="384">
        <f t="shared" si="2"/>
        <v>0</v>
      </c>
    </row>
    <row r="42" spans="1:35" x14ac:dyDescent="0.2">
      <c r="A42" s="299" t="s">
        <v>3</v>
      </c>
      <c r="B42" s="383">
        <v>0</v>
      </c>
      <c r="C42" s="384">
        <v>0</v>
      </c>
      <c r="D42" s="385">
        <v>0</v>
      </c>
      <c r="E42" s="386" t="e">
        <f t="shared" si="3"/>
        <v>#DIV/0!</v>
      </c>
      <c r="F42" s="384">
        <f t="shared" si="4"/>
        <v>0</v>
      </c>
      <c r="G42" s="385">
        <v>0</v>
      </c>
      <c r="H42" s="384">
        <v>0</v>
      </c>
      <c r="I42" s="387">
        <v>0</v>
      </c>
      <c r="J42" s="388" t="e">
        <f t="shared" si="5"/>
        <v>#DIV/0!</v>
      </c>
      <c r="K42" s="383">
        <f t="shared" si="6"/>
        <v>0</v>
      </c>
      <c r="L42" s="383">
        <f>SUM(ATELIER!C29-PRODUCTION!C29)</f>
        <v>0</v>
      </c>
      <c r="M42" s="383">
        <f>SUM(ATELIER!D29-PRODUCTION!D29)</f>
        <v>0</v>
      </c>
      <c r="N42" s="384">
        <f>SUM(ATELIER!E29-PRODUCTION!E29)</f>
        <v>0</v>
      </c>
      <c r="O42" s="389" t="e">
        <f t="shared" si="7"/>
        <v>#DIV/0!</v>
      </c>
      <c r="P42" s="385">
        <f t="shared" si="8"/>
        <v>0</v>
      </c>
      <c r="Q42" s="383">
        <v>0</v>
      </c>
      <c r="R42" s="384">
        <v>0</v>
      </c>
      <c r="S42" s="387">
        <v>0</v>
      </c>
      <c r="T42" s="388" t="e">
        <f t="shared" si="9"/>
        <v>#DIV/0!</v>
      </c>
      <c r="U42" s="383">
        <f t="shared" si="10"/>
        <v>0</v>
      </c>
      <c r="V42" s="390">
        <f t="shared" si="11"/>
        <v>0</v>
      </c>
      <c r="W42" s="391">
        <f t="shared" si="12"/>
        <v>0</v>
      </c>
      <c r="X42" s="392">
        <f t="shared" si="13"/>
        <v>0</v>
      </c>
      <c r="Y42" s="388" t="e">
        <f t="shared" si="1"/>
        <v>#DIV/0!</v>
      </c>
      <c r="Z42" s="384">
        <f t="shared" si="2"/>
        <v>0</v>
      </c>
    </row>
    <row r="43" spans="1:35" x14ac:dyDescent="0.2">
      <c r="A43" s="299" t="s">
        <v>4</v>
      </c>
      <c r="B43" s="383">
        <v>0</v>
      </c>
      <c r="C43" s="384">
        <v>0</v>
      </c>
      <c r="D43" s="385">
        <v>0</v>
      </c>
      <c r="E43" s="386" t="e">
        <f t="shared" si="3"/>
        <v>#DIV/0!</v>
      </c>
      <c r="F43" s="384">
        <f t="shared" si="4"/>
        <v>0</v>
      </c>
      <c r="G43" s="385">
        <v>0</v>
      </c>
      <c r="H43" s="384">
        <v>0</v>
      </c>
      <c r="I43" s="387">
        <v>0</v>
      </c>
      <c r="J43" s="388" t="e">
        <f t="shared" si="5"/>
        <v>#DIV/0!</v>
      </c>
      <c r="K43" s="383">
        <f t="shared" si="6"/>
        <v>0</v>
      </c>
      <c r="L43" s="383">
        <f>SUM(ATELIER!C30-PRODUCTION!C30)</f>
        <v>0</v>
      </c>
      <c r="M43" s="383">
        <f>SUM(ATELIER!D30-PRODUCTION!D30)</f>
        <v>0</v>
      </c>
      <c r="N43" s="384">
        <f>SUM(ATELIER!E30-PRODUCTION!E30)</f>
        <v>0</v>
      </c>
      <c r="O43" s="389" t="e">
        <f t="shared" si="7"/>
        <v>#DIV/0!</v>
      </c>
      <c r="P43" s="385">
        <f t="shared" si="8"/>
        <v>0</v>
      </c>
      <c r="Q43" s="383">
        <v>0</v>
      </c>
      <c r="R43" s="384">
        <v>0</v>
      </c>
      <c r="S43" s="387">
        <v>0</v>
      </c>
      <c r="T43" s="388" t="e">
        <f t="shared" si="9"/>
        <v>#DIV/0!</v>
      </c>
      <c r="U43" s="383">
        <f t="shared" si="10"/>
        <v>0</v>
      </c>
      <c r="V43" s="390">
        <f t="shared" si="11"/>
        <v>0</v>
      </c>
      <c r="W43" s="391">
        <f t="shared" si="12"/>
        <v>0</v>
      </c>
      <c r="X43" s="392">
        <f t="shared" si="13"/>
        <v>0</v>
      </c>
      <c r="Y43" s="388" t="e">
        <f t="shared" si="1"/>
        <v>#DIV/0!</v>
      </c>
      <c r="Z43" s="384">
        <f t="shared" si="2"/>
        <v>0</v>
      </c>
    </row>
    <row r="44" spans="1:35" ht="13.5" thickBot="1" x14ac:dyDescent="0.25">
      <c r="A44" s="300" t="s">
        <v>5</v>
      </c>
      <c r="B44" s="394">
        <v>0</v>
      </c>
      <c r="C44" s="395">
        <v>0</v>
      </c>
      <c r="D44" s="396">
        <v>0</v>
      </c>
      <c r="E44" s="397" t="e">
        <f t="shared" si="3"/>
        <v>#DIV/0!</v>
      </c>
      <c r="F44" s="395">
        <f t="shared" si="4"/>
        <v>0</v>
      </c>
      <c r="G44" s="396">
        <v>0</v>
      </c>
      <c r="H44" s="395">
        <v>0</v>
      </c>
      <c r="I44" s="398">
        <v>0</v>
      </c>
      <c r="J44" s="399" t="e">
        <f t="shared" si="5"/>
        <v>#DIV/0!</v>
      </c>
      <c r="K44" s="394">
        <f t="shared" si="6"/>
        <v>0</v>
      </c>
      <c r="L44" s="394">
        <f>SUM(ATELIER!C31-PRODUCTION!C31)</f>
        <v>0</v>
      </c>
      <c r="M44" s="394">
        <f>SUM(ATELIER!D31-PRODUCTION!D31)</f>
        <v>0</v>
      </c>
      <c r="N44" s="395">
        <f>SUM(ATELIER!E31-PRODUCTION!E31)</f>
        <v>0</v>
      </c>
      <c r="O44" s="400" t="e">
        <f t="shared" si="7"/>
        <v>#DIV/0!</v>
      </c>
      <c r="P44" s="396">
        <f t="shared" si="8"/>
        <v>0</v>
      </c>
      <c r="Q44" s="394">
        <v>0</v>
      </c>
      <c r="R44" s="395">
        <v>0</v>
      </c>
      <c r="S44" s="398">
        <v>0</v>
      </c>
      <c r="T44" s="399" t="e">
        <f t="shared" si="9"/>
        <v>#DIV/0!</v>
      </c>
      <c r="U44" s="394">
        <f t="shared" si="10"/>
        <v>0</v>
      </c>
      <c r="V44" s="401">
        <f t="shared" si="11"/>
        <v>0</v>
      </c>
      <c r="W44" s="402">
        <f t="shared" si="12"/>
        <v>0</v>
      </c>
      <c r="X44" s="403">
        <f t="shared" si="13"/>
        <v>0</v>
      </c>
      <c r="Y44" s="399" t="e">
        <f t="shared" si="1"/>
        <v>#DIV/0!</v>
      </c>
      <c r="Z44" s="395">
        <f t="shared" si="2"/>
        <v>0</v>
      </c>
    </row>
  </sheetData>
  <mergeCells count="41">
    <mergeCell ref="B29:F29"/>
    <mergeCell ref="G29:K29"/>
    <mergeCell ref="L29:P29"/>
    <mergeCell ref="Q29:U29"/>
    <mergeCell ref="Q23:U23"/>
    <mergeCell ref="A10:C10"/>
    <mergeCell ref="AD13:AE13"/>
    <mergeCell ref="AD16:AE16"/>
    <mergeCell ref="B14:Z14"/>
    <mergeCell ref="B15:K15"/>
    <mergeCell ref="L15:U15"/>
    <mergeCell ref="V15:Z16"/>
    <mergeCell ref="B16:F16"/>
    <mergeCell ref="G16:K16"/>
    <mergeCell ref="L16:P16"/>
    <mergeCell ref="Q16:U16"/>
    <mergeCell ref="Y24:Z24"/>
    <mergeCell ref="V22:Z23"/>
    <mergeCell ref="B23:F23"/>
    <mergeCell ref="G23:K23"/>
    <mergeCell ref="L23:P23"/>
    <mergeCell ref="E24:F24"/>
    <mergeCell ref="J24:K24"/>
    <mergeCell ref="O24:P24"/>
    <mergeCell ref="T24:U24"/>
    <mergeCell ref="Y17:Z17"/>
    <mergeCell ref="E17:F17"/>
    <mergeCell ref="J17:K17"/>
    <mergeCell ref="E30:F30"/>
    <mergeCell ref="J30:K30"/>
    <mergeCell ref="O30:P30"/>
    <mergeCell ref="B28:K28"/>
    <mergeCell ref="L28:U28"/>
    <mergeCell ref="O17:P17"/>
    <mergeCell ref="T17:U17"/>
    <mergeCell ref="Y30:Z30"/>
    <mergeCell ref="V28:Z29"/>
    <mergeCell ref="B21:Z21"/>
    <mergeCell ref="B22:K22"/>
    <mergeCell ref="L22:U22"/>
    <mergeCell ref="T30:U30"/>
  </mergeCells>
  <conditionalFormatting sqref="B32:L32 Y32:Y44 E33:K33 B33:C44 G33:H44 D34:L44">
    <cfRule type="cellIs" dxfId="376" priority="50" operator="lessThan">
      <formula>0</formula>
    </cfRule>
  </conditionalFormatting>
  <conditionalFormatting sqref="M32:U32">
    <cfRule type="cellIs" dxfId="375" priority="37" operator="lessThan">
      <formula>0</formula>
    </cfRule>
  </conditionalFormatting>
  <conditionalFormatting sqref="F33:F44">
    <cfRule type="cellIs" dxfId="374" priority="51" operator="lessThan">
      <formula>0</formula>
    </cfRule>
  </conditionalFormatting>
  <conditionalFormatting sqref="K33:K44">
    <cfRule type="cellIs" dxfId="373" priority="48" operator="lessThan">
      <formula>0</formula>
    </cfRule>
  </conditionalFormatting>
  <conditionalFormatting sqref="G32:K32">
    <cfRule type="cellIs" dxfId="372" priority="47" operator="lessThan">
      <formula>0</formula>
    </cfRule>
  </conditionalFormatting>
  <conditionalFormatting sqref="O33:O44">
    <cfRule type="cellIs" dxfId="371" priority="45" operator="lessThan">
      <formula>0</formula>
    </cfRule>
  </conditionalFormatting>
  <conditionalFormatting sqref="P33:P44">
    <cfRule type="cellIs" dxfId="370" priority="44" operator="lessThan">
      <formula>0</formula>
    </cfRule>
  </conditionalFormatting>
  <conditionalFormatting sqref="L32">
    <cfRule type="cellIs" dxfId="369" priority="43" operator="lessThan">
      <formula>0</formula>
    </cfRule>
  </conditionalFormatting>
  <conditionalFormatting sqref="L33:P44">
    <cfRule type="cellIs" dxfId="368" priority="42" operator="lessThan">
      <formula>0</formula>
    </cfRule>
  </conditionalFormatting>
  <conditionalFormatting sqref="Q33:U44">
    <cfRule type="cellIs" dxfId="367" priority="39" operator="lessThan">
      <formula>0</formula>
    </cfRule>
  </conditionalFormatting>
  <conditionalFormatting sqref="T33:T44">
    <cfRule type="cellIs" dxfId="366" priority="41" operator="lessThan">
      <formula>0</formula>
    </cfRule>
  </conditionalFormatting>
  <conditionalFormatting sqref="U33:U44">
    <cfRule type="cellIs" dxfId="365" priority="40" operator="lessThan">
      <formula>0</formula>
    </cfRule>
  </conditionalFormatting>
  <conditionalFormatting sqref="M32:U32">
    <cfRule type="cellIs" dxfId="364" priority="38" operator="lessThan">
      <formula>0</formula>
    </cfRule>
  </conditionalFormatting>
  <conditionalFormatting sqref="V32:Z32">
    <cfRule type="cellIs" dxfId="363" priority="35" operator="lessThan">
      <formula>0</formula>
    </cfRule>
  </conditionalFormatting>
  <conditionalFormatting sqref="V32:Z32">
    <cfRule type="cellIs" dxfId="362" priority="36" operator="lessThan">
      <formula>0</formula>
    </cfRule>
  </conditionalFormatting>
  <conditionalFormatting sqref="AC15">
    <cfRule type="cellIs" dxfId="361" priority="7" operator="lessThan">
      <formula>$Q$6&lt;$P$6</formula>
    </cfRule>
    <cfRule type="cellIs" dxfId="360" priority="8" operator="lessThan">
      <formula>0</formula>
    </cfRule>
  </conditionalFormatting>
  <conditionalFormatting sqref="AF14">
    <cfRule type="cellIs" dxfId="359" priority="4" operator="lessThan">
      <formula>0</formula>
    </cfRule>
    <cfRule type="cellIs" dxfId="358" priority="5" operator="lessThan">
      <formula>0</formula>
    </cfRule>
    <cfRule type="cellIs" dxfId="357" priority="6" operator="lessThan">
      <formula>0</formula>
    </cfRule>
  </conditionalFormatting>
  <conditionalFormatting sqref="Z33:Z44">
    <cfRule type="cellIs" dxfId="356" priority="3" operator="lessThan">
      <formula>0</formula>
    </cfRule>
  </conditionalFormatting>
  <conditionalFormatting sqref="B19:Z19">
    <cfRule type="cellIs" dxfId="355" priority="2" operator="lessThan">
      <formula>0</formula>
    </cfRule>
  </conditionalFormatting>
  <conditionalFormatting sqref="B26:Z26">
    <cfRule type="cellIs" dxfId="354" priority="1" operator="lessThan">
      <formula>0</formula>
    </cfRule>
  </conditionalFormatting>
  <dataValidations count="1">
    <dataValidation type="list" allowBlank="1" showInputMessage="1" showErrorMessage="1" sqref="B12">
      <formula1>$A$33:$A$44</formula1>
    </dataValidation>
  </dataValidations>
  <pageMargins left="0" right="0" top="0" bottom="0" header="0" footer="0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I43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2.75" x14ac:dyDescent="0.2"/>
  <cols>
    <col min="1" max="1" width="9.28515625" style="76" bestFit="1" customWidth="1"/>
    <col min="2" max="11" width="13.28515625" style="76" customWidth="1"/>
    <col min="12" max="14" width="5.7109375" style="76" customWidth="1"/>
    <col min="15" max="16384" width="11.42578125" style="76"/>
  </cols>
  <sheetData>
    <row r="1" spans="1:35" ht="15" customHeight="1" x14ac:dyDescent="0.2"/>
    <row r="2" spans="1:35" ht="15" customHeight="1" x14ac:dyDescent="0.2"/>
    <row r="3" spans="1:35" ht="15" customHeight="1" x14ac:dyDescent="0.2"/>
    <row r="4" spans="1:35" ht="15" customHeight="1" x14ac:dyDescent="0.2"/>
    <row r="5" spans="1:35" ht="15" customHeight="1" x14ac:dyDescent="0.2"/>
    <row r="6" spans="1:35" ht="15" customHeight="1" x14ac:dyDescent="0.2"/>
    <row r="7" spans="1:35" ht="15" customHeight="1" x14ac:dyDescent="0.2"/>
    <row r="8" spans="1:35" ht="15" customHeight="1" thickBot="1" x14ac:dyDescent="0.25"/>
    <row r="9" spans="1:35" ht="13.5" thickBot="1" x14ac:dyDescent="0.25">
      <c r="A9" s="857" t="s">
        <v>119</v>
      </c>
      <c r="B9" s="858"/>
      <c r="C9" s="859"/>
      <c r="D9" s="759"/>
      <c r="E9" s="759"/>
      <c r="F9" s="759"/>
      <c r="G9" s="759"/>
      <c r="H9" s="759"/>
      <c r="I9" s="759"/>
      <c r="J9" s="759"/>
      <c r="K9" s="179"/>
      <c r="L9" s="179"/>
      <c r="M9" s="179"/>
      <c r="N9" s="179"/>
      <c r="O9" s="180"/>
      <c r="P9" s="179"/>
      <c r="Q9" s="179"/>
      <c r="R9" s="179"/>
      <c r="S9" s="179"/>
      <c r="T9" s="180"/>
      <c r="U9" s="179"/>
      <c r="V9" s="179"/>
      <c r="W9" s="179"/>
      <c r="X9" s="179"/>
      <c r="Y9" s="180"/>
      <c r="Z9" s="179"/>
      <c r="AA9" s="42"/>
      <c r="AB9" s="42"/>
      <c r="AC9" s="42"/>
      <c r="AD9" s="42"/>
      <c r="AE9" s="42"/>
      <c r="AF9" s="42"/>
      <c r="AG9" s="42"/>
      <c r="AH9" s="42"/>
      <c r="AI9" s="42"/>
    </row>
    <row r="10" spans="1:35" ht="11.1" customHeight="1" thickBot="1" x14ac:dyDescent="0.25"/>
    <row r="11" spans="1:35" ht="13.5" thickBot="1" x14ac:dyDescent="0.25">
      <c r="A11" s="760" t="s">
        <v>18</v>
      </c>
      <c r="B11" s="761" t="s">
        <v>10</v>
      </c>
    </row>
    <row r="12" spans="1:35" ht="11.1" customHeight="1" thickBot="1" x14ac:dyDescent="0.25">
      <c r="A12" s="415"/>
      <c r="B12" s="415"/>
    </row>
    <row r="13" spans="1:35" ht="13.5" thickBot="1" x14ac:dyDescent="0.25">
      <c r="B13" s="860" t="s">
        <v>19</v>
      </c>
      <c r="C13" s="861"/>
      <c r="D13" s="861"/>
      <c r="E13" s="861"/>
      <c r="F13" s="861"/>
      <c r="G13" s="861"/>
      <c r="H13" s="861"/>
      <c r="I13" s="861"/>
      <c r="J13" s="861"/>
      <c r="K13" s="862"/>
    </row>
    <row r="14" spans="1:35" ht="13.5" thickBot="1" x14ac:dyDescent="0.25">
      <c r="B14" s="860" t="s">
        <v>1</v>
      </c>
      <c r="C14" s="861"/>
      <c r="D14" s="861"/>
      <c r="E14" s="862"/>
      <c r="F14" s="860" t="s">
        <v>0</v>
      </c>
      <c r="G14" s="861"/>
      <c r="H14" s="861"/>
      <c r="I14" s="862"/>
      <c r="J14" s="863" t="s">
        <v>116</v>
      </c>
      <c r="K14" s="864"/>
    </row>
    <row r="15" spans="1:35" ht="13.5" thickBot="1" x14ac:dyDescent="0.25">
      <c r="B15" s="860" t="s">
        <v>114</v>
      </c>
      <c r="C15" s="862"/>
      <c r="D15" s="860" t="s">
        <v>115</v>
      </c>
      <c r="E15" s="862"/>
      <c r="F15" s="860" t="s">
        <v>25</v>
      </c>
      <c r="G15" s="862"/>
      <c r="H15" s="860" t="s">
        <v>39</v>
      </c>
      <c r="I15" s="862"/>
      <c r="J15" s="865"/>
      <c r="K15" s="866"/>
    </row>
    <row r="16" spans="1:35" x14ac:dyDescent="0.2">
      <c r="B16" s="867" t="s">
        <v>61</v>
      </c>
      <c r="C16" s="869" t="s">
        <v>65</v>
      </c>
      <c r="D16" s="867" t="s">
        <v>61</v>
      </c>
      <c r="E16" s="869" t="s">
        <v>65</v>
      </c>
      <c r="F16" s="867" t="s">
        <v>61</v>
      </c>
      <c r="G16" s="869" t="s">
        <v>65</v>
      </c>
      <c r="H16" s="867" t="s">
        <v>61</v>
      </c>
      <c r="I16" s="869" t="s">
        <v>65</v>
      </c>
      <c r="J16" s="867" t="s">
        <v>61</v>
      </c>
      <c r="K16" s="869" t="s">
        <v>65</v>
      </c>
    </row>
    <row r="17" spans="1:11" ht="13.5" thickBot="1" x14ac:dyDescent="0.25">
      <c r="B17" s="868"/>
      <c r="C17" s="870"/>
      <c r="D17" s="868"/>
      <c r="E17" s="870"/>
      <c r="F17" s="868"/>
      <c r="G17" s="870"/>
      <c r="H17" s="868"/>
      <c r="I17" s="870"/>
      <c r="J17" s="868"/>
      <c r="K17" s="870"/>
    </row>
    <row r="18" spans="1:11" ht="13.5" thickBot="1" x14ac:dyDescent="0.25">
      <c r="B18" s="184">
        <f t="shared" ref="B18:K18" ca="1" si="0">B31</f>
        <v>0</v>
      </c>
      <c r="C18" s="184">
        <f t="shared" ca="1" si="0"/>
        <v>0</v>
      </c>
      <c r="D18" s="184">
        <f t="shared" ca="1" si="0"/>
        <v>0</v>
      </c>
      <c r="E18" s="184">
        <f t="shared" ca="1" si="0"/>
        <v>0</v>
      </c>
      <c r="F18" s="184">
        <f t="shared" ca="1" si="0"/>
        <v>0</v>
      </c>
      <c r="G18" s="184">
        <f t="shared" ca="1" si="0"/>
        <v>0</v>
      </c>
      <c r="H18" s="184">
        <f t="shared" ca="1" si="0"/>
        <v>0</v>
      </c>
      <c r="I18" s="184">
        <f t="shared" ca="1" si="0"/>
        <v>0</v>
      </c>
      <c r="J18" s="184">
        <f t="shared" ca="1" si="0"/>
        <v>0</v>
      </c>
      <c r="K18" s="185">
        <f t="shared" ca="1" si="0"/>
        <v>0</v>
      </c>
    </row>
    <row r="19" spans="1:11" ht="11.1" customHeight="1" thickBot="1" x14ac:dyDescent="0.25">
      <c r="B19" s="762"/>
      <c r="C19" s="762"/>
      <c r="D19" s="762"/>
      <c r="E19" s="762"/>
      <c r="F19" s="762"/>
      <c r="G19" s="762"/>
      <c r="H19" s="762"/>
      <c r="I19" s="762"/>
      <c r="J19" s="762"/>
      <c r="K19" s="762"/>
    </row>
    <row r="20" spans="1:11" ht="13.5" thickBot="1" x14ac:dyDescent="0.25">
      <c r="B20" s="860" t="s">
        <v>45</v>
      </c>
      <c r="C20" s="861"/>
      <c r="D20" s="861"/>
      <c r="E20" s="861"/>
      <c r="F20" s="861"/>
      <c r="G20" s="861"/>
      <c r="H20" s="861"/>
      <c r="I20" s="861"/>
      <c r="J20" s="861"/>
      <c r="K20" s="862"/>
    </row>
    <row r="21" spans="1:11" ht="13.5" thickBot="1" x14ac:dyDescent="0.25">
      <c r="B21" s="860" t="s">
        <v>1</v>
      </c>
      <c r="C21" s="861"/>
      <c r="D21" s="861"/>
      <c r="E21" s="862"/>
      <c r="F21" s="860" t="s">
        <v>0</v>
      </c>
      <c r="G21" s="861"/>
      <c r="H21" s="861"/>
      <c r="I21" s="862"/>
      <c r="J21" s="863" t="s">
        <v>116</v>
      </c>
      <c r="K21" s="864"/>
    </row>
    <row r="22" spans="1:11" ht="13.5" thickBot="1" x14ac:dyDescent="0.25">
      <c r="B22" s="860" t="s">
        <v>114</v>
      </c>
      <c r="C22" s="862"/>
      <c r="D22" s="860" t="s">
        <v>115</v>
      </c>
      <c r="E22" s="862"/>
      <c r="F22" s="860" t="s">
        <v>25</v>
      </c>
      <c r="G22" s="862"/>
      <c r="H22" s="860" t="s">
        <v>39</v>
      </c>
      <c r="I22" s="862"/>
      <c r="J22" s="865"/>
      <c r="K22" s="866"/>
    </row>
    <row r="23" spans="1:11" x14ac:dyDescent="0.2">
      <c r="B23" s="867" t="s">
        <v>61</v>
      </c>
      <c r="C23" s="869" t="s">
        <v>65</v>
      </c>
      <c r="D23" s="867" t="s">
        <v>61</v>
      </c>
      <c r="E23" s="869" t="s">
        <v>65</v>
      </c>
      <c r="F23" s="867" t="s">
        <v>61</v>
      </c>
      <c r="G23" s="869" t="s">
        <v>65</v>
      </c>
      <c r="H23" s="867" t="s">
        <v>61</v>
      </c>
      <c r="I23" s="869" t="s">
        <v>65</v>
      </c>
      <c r="J23" s="867" t="s">
        <v>61</v>
      </c>
      <c r="K23" s="869" t="s">
        <v>65</v>
      </c>
    </row>
    <row r="24" spans="1:11" ht="15" customHeight="1" thickBot="1" x14ac:dyDescent="0.25">
      <c r="B24" s="868"/>
      <c r="C24" s="870"/>
      <c r="D24" s="868"/>
      <c r="E24" s="870"/>
      <c r="F24" s="868"/>
      <c r="G24" s="870"/>
      <c r="H24" s="868"/>
      <c r="I24" s="870"/>
      <c r="J24" s="868"/>
      <c r="K24" s="870"/>
    </row>
    <row r="25" spans="1:11" ht="13.5" thickBot="1" x14ac:dyDescent="0.25">
      <c r="B25" s="186">
        <f>IFERROR(VLOOKUP(B11,A27:K43,2,FALSE),"")</f>
        <v>0</v>
      </c>
      <c r="C25" s="186">
        <f>IFERROR(VLOOKUP(B11,A27:K43,3,FALSE),"")</f>
        <v>0</v>
      </c>
      <c r="D25" s="186">
        <f>IFERROR(VLOOKUP(B11,A27:K404,4,FALSE),"")</f>
        <v>0</v>
      </c>
      <c r="E25" s="186">
        <f>IFERROR(VLOOKUP(B11,A27:K43,5,FALSE),"")</f>
        <v>0</v>
      </c>
      <c r="F25" s="186">
        <f>IFERROR(VLOOKUP(B11,A27:K43,6,FALSE),"")</f>
        <v>0</v>
      </c>
      <c r="G25" s="186">
        <f>IFERROR(VLOOKUP(B11,A27:K43,7,FALSE),"")</f>
        <v>0</v>
      </c>
      <c r="H25" s="186">
        <f>IFERROR(VLOOKUP(B11,A27:K43,8,FALSE),"")</f>
        <v>0</v>
      </c>
      <c r="I25" s="186">
        <f>IFERROR(VLOOKUP(B11,A27:K43,9,FALSE),"")</f>
        <v>0</v>
      </c>
      <c r="J25" s="186">
        <f>IFERROR(VLOOKUP(B11,A27:K43,10,FALSE),"")</f>
        <v>0</v>
      </c>
      <c r="K25" s="187">
        <f>IFERROR(VLOOKUP(B11,A27:K43,11,FALSE),"")</f>
        <v>0</v>
      </c>
    </row>
    <row r="26" spans="1:11" ht="11.1" customHeight="1" thickBot="1" x14ac:dyDescent="0.25"/>
    <row r="27" spans="1:11" ht="13.5" thickBot="1" x14ac:dyDescent="0.25">
      <c r="A27" s="763"/>
      <c r="B27" s="860" t="s">
        <v>1</v>
      </c>
      <c r="C27" s="861"/>
      <c r="D27" s="861"/>
      <c r="E27" s="862"/>
      <c r="F27" s="860" t="s">
        <v>0</v>
      </c>
      <c r="G27" s="861"/>
      <c r="H27" s="861"/>
      <c r="I27" s="862"/>
      <c r="J27" s="863" t="s">
        <v>116</v>
      </c>
      <c r="K27" s="864"/>
    </row>
    <row r="28" spans="1:11" ht="13.5" thickBot="1" x14ac:dyDescent="0.25">
      <c r="A28" s="763"/>
      <c r="B28" s="860" t="s">
        <v>114</v>
      </c>
      <c r="C28" s="862"/>
      <c r="D28" s="860" t="s">
        <v>115</v>
      </c>
      <c r="E28" s="862"/>
      <c r="F28" s="860" t="s">
        <v>25</v>
      </c>
      <c r="G28" s="862"/>
      <c r="H28" s="860" t="s">
        <v>39</v>
      </c>
      <c r="I28" s="862"/>
      <c r="J28" s="865"/>
      <c r="K28" s="866"/>
    </row>
    <row r="29" spans="1:11" x14ac:dyDescent="0.2">
      <c r="A29" s="763"/>
      <c r="B29" s="867" t="s">
        <v>61</v>
      </c>
      <c r="C29" s="871" t="s">
        <v>65</v>
      </c>
      <c r="D29" s="867" t="s">
        <v>61</v>
      </c>
      <c r="E29" s="871" t="s">
        <v>65</v>
      </c>
      <c r="F29" s="867" t="s">
        <v>61</v>
      </c>
      <c r="G29" s="871" t="s">
        <v>65</v>
      </c>
      <c r="H29" s="867" t="s">
        <v>61</v>
      </c>
      <c r="I29" s="871" t="s">
        <v>65</v>
      </c>
      <c r="J29" s="867" t="s">
        <v>61</v>
      </c>
      <c r="K29" s="871" t="s">
        <v>65</v>
      </c>
    </row>
    <row r="30" spans="1:11" ht="13.5" thickBot="1" x14ac:dyDescent="0.25">
      <c r="A30" s="763"/>
      <c r="B30" s="874"/>
      <c r="C30" s="873"/>
      <c r="D30" s="874"/>
      <c r="E30" s="873"/>
      <c r="F30" s="874"/>
      <c r="G30" s="873"/>
      <c r="H30" s="868"/>
      <c r="I30" s="872"/>
      <c r="J30" s="868"/>
      <c r="K30" s="873"/>
    </row>
    <row r="31" spans="1:11" ht="13.5" thickBot="1" x14ac:dyDescent="0.25">
      <c r="A31" s="764"/>
      <c r="B31" s="765">
        <f ca="1">SUM(OFFSET(B32,0,0,MATCH(B11,A32:A43,0)))</f>
        <v>0</v>
      </c>
      <c r="C31" s="765">
        <f ca="1">SUM(OFFSET(C32,0,0,MATCH(B11,A32:A43,0)))</f>
        <v>0</v>
      </c>
      <c r="D31" s="765">
        <f ca="1">SUM(OFFSET(D32,0,0,MATCH(B11,A32:A43,0)))</f>
        <v>0</v>
      </c>
      <c r="E31" s="765">
        <f ca="1">SUM(OFFSET(E32,0,0,MATCH(B11,A32:A43,0)))</f>
        <v>0</v>
      </c>
      <c r="F31" s="765">
        <f ca="1">SUM(OFFSET(F32,0,0,MATCH(B11,A32:A43,0)))</f>
        <v>0</v>
      </c>
      <c r="G31" s="765">
        <f ca="1">SUM(OFFSET(G32,0,0,MATCH(B11,A32:A43,0)))</f>
        <v>0</v>
      </c>
      <c r="H31" s="766">
        <f ca="1">SUM(OFFSET(H32,0,0,MATCH(B11,A32:A43,0)))</f>
        <v>0</v>
      </c>
      <c r="I31" s="766">
        <f ca="1">SUM(OFFSET(I32,0,0,MATCH(B11,A32:A43,0)))</f>
        <v>0</v>
      </c>
      <c r="J31" s="767">
        <f ca="1">SUM(OFFSET(J32,0,0,MATCH(B11,A32:A43,0)))</f>
        <v>0</v>
      </c>
      <c r="K31" s="766">
        <f ca="1">SUM(OFFSET(K32,0,0,MATCH(B11,A32:A43,0)))</f>
        <v>0</v>
      </c>
    </row>
    <row r="32" spans="1:11" x14ac:dyDescent="0.2">
      <c r="A32" s="768" t="s">
        <v>6</v>
      </c>
      <c r="B32" s="769">
        <f>'Boutique 1'!H20</f>
        <v>0</v>
      </c>
      <c r="C32" s="770">
        <f>'Boutique 1'!I20</f>
        <v>0</v>
      </c>
      <c r="D32" s="193">
        <f>'Boutique 2'!H20</f>
        <v>0</v>
      </c>
      <c r="E32" s="771">
        <f>'Boutique 2'!I20</f>
        <v>0</v>
      </c>
      <c r="F32" s="193">
        <f>NEGOCE!H20</f>
        <v>0</v>
      </c>
      <c r="G32" s="772">
        <f>NEGOCE!I20</f>
        <v>0</v>
      </c>
      <c r="H32" s="193">
        <f>PRODUCTION!H20</f>
        <v>0</v>
      </c>
      <c r="I32" s="772">
        <f>PRODUCTION!I20</f>
        <v>0</v>
      </c>
      <c r="J32" s="196">
        <f>SUM(H32+F32+D32+B32)</f>
        <v>0</v>
      </c>
      <c r="K32" s="772">
        <f>SUM(C32+E32+G32+I32)</f>
        <v>0</v>
      </c>
    </row>
    <row r="33" spans="1:11" x14ac:dyDescent="0.2">
      <c r="A33" s="773" t="s">
        <v>7</v>
      </c>
      <c r="B33" s="774">
        <f>'Boutique 1'!H21</f>
        <v>0</v>
      </c>
      <c r="C33" s="775">
        <f>'Boutique 1'!I21</f>
        <v>0</v>
      </c>
      <c r="D33" s="194">
        <f>'Boutique 2'!H21</f>
        <v>0</v>
      </c>
      <c r="E33" s="776">
        <f>'Boutique 2'!I21</f>
        <v>0</v>
      </c>
      <c r="F33" s="194">
        <f>NEGOCE!H21</f>
        <v>0</v>
      </c>
      <c r="G33" s="777">
        <f>NEGOCE!I21</f>
        <v>0</v>
      </c>
      <c r="H33" s="194">
        <f>PRODUCTION!H21</f>
        <v>0</v>
      </c>
      <c r="I33" s="777">
        <f>PRODUCTION!I21</f>
        <v>0</v>
      </c>
      <c r="J33" s="197">
        <f t="shared" ref="J33:J43" si="1">SUM(H33+F33+D33+B33)</f>
        <v>0</v>
      </c>
      <c r="K33" s="777">
        <f t="shared" ref="K33:K43" si="2">SUM(C33+E33+G33+I33)</f>
        <v>0</v>
      </c>
    </row>
    <row r="34" spans="1:11" x14ac:dyDescent="0.2">
      <c r="A34" s="773" t="s">
        <v>8</v>
      </c>
      <c r="B34" s="774">
        <f>'Boutique 1'!H22</f>
        <v>0</v>
      </c>
      <c r="C34" s="775">
        <f>'Boutique 1'!I22</f>
        <v>0</v>
      </c>
      <c r="D34" s="194">
        <f>'Boutique 2'!H22</f>
        <v>0</v>
      </c>
      <c r="E34" s="776">
        <f>'Boutique 2'!I22</f>
        <v>0</v>
      </c>
      <c r="F34" s="194">
        <f>NEGOCE!H22</f>
        <v>0</v>
      </c>
      <c r="G34" s="777">
        <f>NEGOCE!I22</f>
        <v>0</v>
      </c>
      <c r="H34" s="194">
        <f>PRODUCTION!H22</f>
        <v>0</v>
      </c>
      <c r="I34" s="777">
        <f>PRODUCTION!I22</f>
        <v>0</v>
      </c>
      <c r="J34" s="197">
        <f t="shared" si="1"/>
        <v>0</v>
      </c>
      <c r="K34" s="777">
        <f t="shared" si="2"/>
        <v>0</v>
      </c>
    </row>
    <row r="35" spans="1:11" x14ac:dyDescent="0.2">
      <c r="A35" s="773" t="s">
        <v>9</v>
      </c>
      <c r="B35" s="774">
        <f>'Boutique 1'!H23</f>
        <v>0</v>
      </c>
      <c r="C35" s="775">
        <f>'Boutique 1'!I23</f>
        <v>0</v>
      </c>
      <c r="D35" s="194">
        <f>'Boutique 2'!H23</f>
        <v>0</v>
      </c>
      <c r="E35" s="776">
        <f>'Boutique 2'!I23</f>
        <v>0</v>
      </c>
      <c r="F35" s="194">
        <f>NEGOCE!H23</f>
        <v>0</v>
      </c>
      <c r="G35" s="777">
        <f>NEGOCE!I23</f>
        <v>0</v>
      </c>
      <c r="H35" s="194">
        <f>PRODUCTION!H23</f>
        <v>0</v>
      </c>
      <c r="I35" s="777">
        <f>PRODUCTION!I23</f>
        <v>0</v>
      </c>
      <c r="J35" s="197">
        <f t="shared" si="1"/>
        <v>0</v>
      </c>
      <c r="K35" s="777">
        <f t="shared" si="2"/>
        <v>0</v>
      </c>
    </row>
    <row r="36" spans="1:11" x14ac:dyDescent="0.2">
      <c r="A36" s="773" t="s">
        <v>10</v>
      </c>
      <c r="B36" s="774">
        <f>'Boutique 1'!H24</f>
        <v>0</v>
      </c>
      <c r="C36" s="775">
        <f>'Boutique 1'!I24</f>
        <v>0</v>
      </c>
      <c r="D36" s="194">
        <f>'Boutique 2'!H24</f>
        <v>0</v>
      </c>
      <c r="E36" s="776">
        <f>'Boutique 2'!I24</f>
        <v>0</v>
      </c>
      <c r="F36" s="194">
        <f>NEGOCE!H24</f>
        <v>0</v>
      </c>
      <c r="G36" s="777">
        <f>NEGOCE!I24</f>
        <v>0</v>
      </c>
      <c r="H36" s="194">
        <f>PRODUCTION!H24</f>
        <v>0</v>
      </c>
      <c r="I36" s="777">
        <f>PRODUCTION!I24</f>
        <v>0</v>
      </c>
      <c r="J36" s="197">
        <f t="shared" si="1"/>
        <v>0</v>
      </c>
      <c r="K36" s="777">
        <f t="shared" si="2"/>
        <v>0</v>
      </c>
    </row>
    <row r="37" spans="1:11" x14ac:dyDescent="0.2">
      <c r="A37" s="773" t="s">
        <v>11</v>
      </c>
      <c r="B37" s="774">
        <f>'Boutique 1'!H25</f>
        <v>0</v>
      </c>
      <c r="C37" s="775">
        <f>'Boutique 1'!I25</f>
        <v>0</v>
      </c>
      <c r="D37" s="194">
        <f>'Boutique 2'!H25</f>
        <v>0</v>
      </c>
      <c r="E37" s="776">
        <f>'Boutique 2'!I25</f>
        <v>0</v>
      </c>
      <c r="F37" s="194">
        <f>NEGOCE!H25</f>
        <v>0</v>
      </c>
      <c r="G37" s="777">
        <f>NEGOCE!I25</f>
        <v>0</v>
      </c>
      <c r="H37" s="194">
        <f>PRODUCTION!H25</f>
        <v>0</v>
      </c>
      <c r="I37" s="777">
        <f>PRODUCTION!I25</f>
        <v>0</v>
      </c>
      <c r="J37" s="197">
        <f t="shared" si="1"/>
        <v>0</v>
      </c>
      <c r="K37" s="777">
        <f t="shared" si="2"/>
        <v>0</v>
      </c>
    </row>
    <row r="38" spans="1:11" x14ac:dyDescent="0.2">
      <c r="A38" s="773" t="s">
        <v>12</v>
      </c>
      <c r="B38" s="774">
        <f>'Boutique 1'!H26</f>
        <v>0</v>
      </c>
      <c r="C38" s="775">
        <f>'Boutique 1'!I26</f>
        <v>0</v>
      </c>
      <c r="D38" s="194">
        <f>'Boutique 2'!H26</f>
        <v>0</v>
      </c>
      <c r="E38" s="776">
        <f>'Boutique 2'!I26</f>
        <v>0</v>
      </c>
      <c r="F38" s="194">
        <f>NEGOCE!H26</f>
        <v>0</v>
      </c>
      <c r="G38" s="777">
        <f>NEGOCE!I26</f>
        <v>0</v>
      </c>
      <c r="H38" s="194">
        <f>PRODUCTION!H26</f>
        <v>0</v>
      </c>
      <c r="I38" s="777">
        <f>PRODUCTION!I26</f>
        <v>0</v>
      </c>
      <c r="J38" s="197">
        <f t="shared" si="1"/>
        <v>0</v>
      </c>
      <c r="K38" s="777">
        <f t="shared" si="2"/>
        <v>0</v>
      </c>
    </row>
    <row r="39" spans="1:11" x14ac:dyDescent="0.2">
      <c r="A39" s="773" t="s">
        <v>13</v>
      </c>
      <c r="B39" s="774">
        <f>'Boutique 1'!H27</f>
        <v>0</v>
      </c>
      <c r="C39" s="775">
        <f>'Boutique 1'!I27</f>
        <v>0</v>
      </c>
      <c r="D39" s="194">
        <f>'Boutique 2'!H27</f>
        <v>0</v>
      </c>
      <c r="E39" s="776">
        <f>'Boutique 2'!I27</f>
        <v>0</v>
      </c>
      <c r="F39" s="194">
        <f>NEGOCE!H27</f>
        <v>0</v>
      </c>
      <c r="G39" s="777">
        <f>NEGOCE!I27</f>
        <v>0</v>
      </c>
      <c r="H39" s="194">
        <f>PRODUCTION!H27</f>
        <v>0</v>
      </c>
      <c r="I39" s="777">
        <f>PRODUCTION!I27</f>
        <v>0</v>
      </c>
      <c r="J39" s="197">
        <f t="shared" si="1"/>
        <v>0</v>
      </c>
      <c r="K39" s="777">
        <f t="shared" si="2"/>
        <v>0</v>
      </c>
    </row>
    <row r="40" spans="1:11" x14ac:dyDescent="0.2">
      <c r="A40" s="773" t="s">
        <v>2</v>
      </c>
      <c r="B40" s="774">
        <f>'Boutique 1'!H28</f>
        <v>0</v>
      </c>
      <c r="C40" s="775">
        <f>'Boutique 1'!I28</f>
        <v>0</v>
      </c>
      <c r="D40" s="194">
        <f>'Boutique 2'!H28</f>
        <v>0</v>
      </c>
      <c r="E40" s="776">
        <f>'Boutique 2'!I28</f>
        <v>0</v>
      </c>
      <c r="F40" s="194">
        <f>NEGOCE!H28</f>
        <v>0</v>
      </c>
      <c r="G40" s="777">
        <f>NEGOCE!I28</f>
        <v>0</v>
      </c>
      <c r="H40" s="194">
        <f>PRODUCTION!H28</f>
        <v>0</v>
      </c>
      <c r="I40" s="777">
        <f>PRODUCTION!I28</f>
        <v>0</v>
      </c>
      <c r="J40" s="197">
        <f t="shared" si="1"/>
        <v>0</v>
      </c>
      <c r="K40" s="777">
        <f t="shared" si="2"/>
        <v>0</v>
      </c>
    </row>
    <row r="41" spans="1:11" x14ac:dyDescent="0.2">
      <c r="A41" s="773" t="s">
        <v>3</v>
      </c>
      <c r="B41" s="774">
        <f>'Boutique 1'!H29</f>
        <v>0</v>
      </c>
      <c r="C41" s="775">
        <f>'Boutique 1'!I29</f>
        <v>0</v>
      </c>
      <c r="D41" s="194">
        <f>'Boutique 2'!H29</f>
        <v>0</v>
      </c>
      <c r="E41" s="776">
        <f>'Boutique 2'!I29</f>
        <v>0</v>
      </c>
      <c r="F41" s="194">
        <f>NEGOCE!H29</f>
        <v>0</v>
      </c>
      <c r="G41" s="777">
        <f>NEGOCE!I29</f>
        <v>0</v>
      </c>
      <c r="H41" s="194">
        <f>PRODUCTION!H29</f>
        <v>0</v>
      </c>
      <c r="I41" s="777">
        <f>PRODUCTION!I29</f>
        <v>0</v>
      </c>
      <c r="J41" s="197">
        <f t="shared" si="1"/>
        <v>0</v>
      </c>
      <c r="K41" s="777">
        <f t="shared" si="2"/>
        <v>0</v>
      </c>
    </row>
    <row r="42" spans="1:11" x14ac:dyDescent="0.2">
      <c r="A42" s="773" t="s">
        <v>4</v>
      </c>
      <c r="B42" s="774">
        <f>'Boutique 1'!H30</f>
        <v>0</v>
      </c>
      <c r="C42" s="775">
        <f>'Boutique 1'!I30</f>
        <v>0</v>
      </c>
      <c r="D42" s="194">
        <f>'Boutique 2'!H30</f>
        <v>0</v>
      </c>
      <c r="E42" s="776">
        <f>'Boutique 2'!I30</f>
        <v>0</v>
      </c>
      <c r="F42" s="194">
        <f>NEGOCE!H30</f>
        <v>0</v>
      </c>
      <c r="G42" s="777">
        <f>NEGOCE!I30</f>
        <v>0</v>
      </c>
      <c r="H42" s="194">
        <f>PRODUCTION!H30</f>
        <v>0</v>
      </c>
      <c r="I42" s="777">
        <f>PRODUCTION!I30</f>
        <v>0</v>
      </c>
      <c r="J42" s="197">
        <f t="shared" si="1"/>
        <v>0</v>
      </c>
      <c r="K42" s="777">
        <f t="shared" si="2"/>
        <v>0</v>
      </c>
    </row>
    <row r="43" spans="1:11" ht="13.5" thickBot="1" x14ac:dyDescent="0.25">
      <c r="A43" s="778" t="s">
        <v>5</v>
      </c>
      <c r="B43" s="779">
        <f>'Boutique 1'!H31</f>
        <v>0</v>
      </c>
      <c r="C43" s="780">
        <f>'Boutique 1'!I31</f>
        <v>0</v>
      </c>
      <c r="D43" s="195">
        <f>'Boutique 2'!H31</f>
        <v>0</v>
      </c>
      <c r="E43" s="781">
        <f>'Boutique 2'!I31</f>
        <v>0</v>
      </c>
      <c r="F43" s="195">
        <f>NEGOCE!H31</f>
        <v>0</v>
      </c>
      <c r="G43" s="782">
        <f>NEGOCE!I31</f>
        <v>0</v>
      </c>
      <c r="H43" s="195">
        <f>PRODUCTION!H31</f>
        <v>0</v>
      </c>
      <c r="I43" s="782">
        <f>PRODUCTION!I31</f>
        <v>0</v>
      </c>
      <c r="J43" s="198">
        <f t="shared" si="1"/>
        <v>0</v>
      </c>
      <c r="K43" s="782">
        <f t="shared" si="2"/>
        <v>0</v>
      </c>
    </row>
  </sheetData>
  <mergeCells count="54">
    <mergeCell ref="H29:H30"/>
    <mergeCell ref="I29:I30"/>
    <mergeCell ref="J29:J30"/>
    <mergeCell ref="K29:K30"/>
    <mergeCell ref="B13:K13"/>
    <mergeCell ref="B20:K20"/>
    <mergeCell ref="B29:B30"/>
    <mergeCell ref="C29:C30"/>
    <mergeCell ref="D29:D30"/>
    <mergeCell ref="E29:E30"/>
    <mergeCell ref="F29:F30"/>
    <mergeCell ref="G29:G30"/>
    <mergeCell ref="J23:J24"/>
    <mergeCell ref="K23:K24"/>
    <mergeCell ref="B27:E27"/>
    <mergeCell ref="F27:I27"/>
    <mergeCell ref="J27:K28"/>
    <mergeCell ref="B28:C28"/>
    <mergeCell ref="D28:E28"/>
    <mergeCell ref="F28:G28"/>
    <mergeCell ref="H28:I28"/>
    <mergeCell ref="H22:I22"/>
    <mergeCell ref="B23:B24"/>
    <mergeCell ref="C23:C24"/>
    <mergeCell ref="D23:D24"/>
    <mergeCell ref="E23:E24"/>
    <mergeCell ref="F23:F24"/>
    <mergeCell ref="G23:G24"/>
    <mergeCell ref="H23:H24"/>
    <mergeCell ref="I23:I24"/>
    <mergeCell ref="H16:H17"/>
    <mergeCell ref="I16:I17"/>
    <mergeCell ref="J16:J17"/>
    <mergeCell ref="K16:K17"/>
    <mergeCell ref="B21:E21"/>
    <mergeCell ref="F21:I21"/>
    <mergeCell ref="J21:K22"/>
    <mergeCell ref="B22:C22"/>
    <mergeCell ref="D22:E22"/>
    <mergeCell ref="F22:G22"/>
    <mergeCell ref="B16:B17"/>
    <mergeCell ref="C16:C17"/>
    <mergeCell ref="D16:D17"/>
    <mergeCell ref="E16:E17"/>
    <mergeCell ref="F16:F17"/>
    <mergeCell ref="G16:G17"/>
    <mergeCell ref="A9:C9"/>
    <mergeCell ref="B14:E14"/>
    <mergeCell ref="F14:I14"/>
    <mergeCell ref="J14:K15"/>
    <mergeCell ref="B15:C15"/>
    <mergeCell ref="D15:E15"/>
    <mergeCell ref="F15:G15"/>
    <mergeCell ref="H15:I15"/>
  </mergeCells>
  <conditionalFormatting sqref="B31:K31 B31:B43 I32:I43 K32:K43 D32:G43">
    <cfRule type="cellIs" dxfId="353" priority="9" operator="lessThan">
      <formula>0</formula>
    </cfRule>
  </conditionalFormatting>
  <conditionalFormatting sqref="B18:K19">
    <cfRule type="cellIs" dxfId="352" priority="5" operator="lessThan">
      <formula>0</formula>
    </cfRule>
  </conditionalFormatting>
  <conditionalFormatting sqref="B18:K19">
    <cfRule type="cellIs" dxfId="351" priority="4" operator="lessThan">
      <formula>0</formula>
    </cfRule>
  </conditionalFormatting>
  <conditionalFormatting sqref="B25:K25">
    <cfRule type="cellIs" dxfId="350" priority="3" operator="lessThan">
      <formula>0</formula>
    </cfRule>
  </conditionalFormatting>
  <conditionalFormatting sqref="C32:C43">
    <cfRule type="cellIs" dxfId="349" priority="1" operator="greaterThan">
      <formula>0</formula>
    </cfRule>
    <cfRule type="cellIs" dxfId="348" priority="2" operator="lessThan">
      <formula>0</formula>
    </cfRule>
  </conditionalFormatting>
  <dataValidations count="1">
    <dataValidation type="list" allowBlank="1" showInputMessage="1" showErrorMessage="1" sqref="B11">
      <formula1>$A$32:$A$43</formula1>
    </dataValidation>
  </dataValidations>
  <printOptions horizontalCentered="1" verticalCentered="1"/>
  <pageMargins left="0" right="0" top="0" bottom="0" header="0" footer="0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B1:N99"/>
  <sheetViews>
    <sheetView zoomScaleNormal="100" workbookViewId="0">
      <pane ySplit="7" topLeftCell="A8" activePane="bottomLeft" state="frozen"/>
      <selection pane="bottomLeft" activeCell="C10" sqref="C10"/>
    </sheetView>
  </sheetViews>
  <sheetFormatPr baseColWidth="10" defaultRowHeight="15" x14ac:dyDescent="0.25"/>
  <cols>
    <col min="1" max="1" width="5.7109375" style="21" customWidth="1"/>
    <col min="2" max="2" width="18.7109375" style="21" bestFit="1" customWidth="1"/>
    <col min="3" max="3" width="15.28515625" style="21" customWidth="1"/>
    <col min="4" max="4" width="15.7109375" style="21" customWidth="1"/>
    <col min="5" max="5" width="15.28515625" style="21" customWidth="1"/>
    <col min="6" max="6" width="21.42578125" style="21" bestFit="1" customWidth="1"/>
    <col min="7" max="10" width="15.28515625" style="21" customWidth="1"/>
    <col min="11" max="16384" width="11.42578125" style="21"/>
  </cols>
  <sheetData>
    <row r="1" spans="2:14" x14ac:dyDescent="0.25">
      <c r="M1" s="876"/>
      <c r="N1" s="876"/>
    </row>
    <row r="9" spans="2:14" ht="15.75" customHeight="1" thickBot="1" x14ac:dyDescent="0.3"/>
    <row r="10" spans="2:14" ht="16.5" customHeight="1" thickBot="1" x14ac:dyDescent="0.3">
      <c r="B10" s="83" t="s">
        <v>18</v>
      </c>
      <c r="C10" s="29" t="s">
        <v>7</v>
      </c>
      <c r="D10" s="23"/>
    </row>
    <row r="11" spans="2:14" ht="15.75" customHeight="1" x14ac:dyDescent="0.25">
      <c r="B11" s="26"/>
      <c r="D11" s="28"/>
      <c r="E11" s="27"/>
      <c r="I11" s="28"/>
    </row>
    <row r="12" spans="2:14" ht="15" customHeight="1" x14ac:dyDescent="0.25">
      <c r="B12" s="33"/>
      <c r="C12" s="878" t="s">
        <v>111</v>
      </c>
      <c r="D12" s="878"/>
      <c r="E12" s="878"/>
      <c r="F12" s="878"/>
      <c r="G12" s="878"/>
      <c r="H12" s="878"/>
      <c r="I12" s="84"/>
      <c r="J12" s="33"/>
    </row>
    <row r="13" spans="2:14" ht="15.75" x14ac:dyDescent="0.25">
      <c r="D13" s="30"/>
      <c r="E13" s="30"/>
      <c r="F13" s="30"/>
      <c r="G13" s="30"/>
      <c r="H13" s="30"/>
      <c r="I13" s="30"/>
    </row>
    <row r="14" spans="2:14" ht="15" customHeight="1" x14ac:dyDescent="0.25">
      <c r="B14" s="879"/>
      <c r="C14" s="879"/>
      <c r="I14" s="31"/>
    </row>
    <row r="15" spans="2:14" x14ac:dyDescent="0.25">
      <c r="I15" s="31"/>
    </row>
    <row r="16" spans="2:14" ht="15" customHeight="1" x14ac:dyDescent="0.25">
      <c r="B16" s="877" t="s">
        <v>34</v>
      </c>
      <c r="C16" s="877"/>
    </row>
    <row r="17" spans="2:8" ht="15" customHeight="1" x14ac:dyDescent="0.25">
      <c r="B17" s="35"/>
      <c r="C17" s="35"/>
      <c r="G17" s="34"/>
      <c r="H17" s="31"/>
    </row>
    <row r="18" spans="2:8" ht="15" customHeight="1" x14ac:dyDescent="0.25"/>
    <row r="19" spans="2:8" ht="15" customHeight="1" x14ac:dyDescent="0.25">
      <c r="B19" s="877" t="s">
        <v>107</v>
      </c>
      <c r="C19" s="877"/>
    </row>
    <row r="21" spans="2:8" x14ac:dyDescent="0.25">
      <c r="B21" s="34"/>
      <c r="C21" s="34"/>
    </row>
    <row r="22" spans="2:8" ht="24.95" customHeight="1" x14ac:dyDescent="0.25">
      <c r="B22" s="876" t="s">
        <v>35</v>
      </c>
      <c r="C22" s="876"/>
    </row>
    <row r="23" spans="2:8" ht="15" customHeight="1" x14ac:dyDescent="0.25">
      <c r="C23" s="636" t="e">
        <f>CHOOSE(calculs!Z4,calculs!$I$69,calculs!$I$70,calculs!$I$71)</f>
        <v>#DIV/0!</v>
      </c>
    </row>
    <row r="24" spans="2:8" x14ac:dyDescent="0.25">
      <c r="D24" s="22"/>
    </row>
    <row r="25" spans="2:8" ht="18" x14ac:dyDescent="0.25">
      <c r="B25" s="637"/>
      <c r="C25" s="637"/>
      <c r="G25" s="74"/>
    </row>
    <row r="27" spans="2:8" x14ac:dyDescent="0.25">
      <c r="B27" s="85" t="s">
        <v>70</v>
      </c>
    </row>
    <row r="28" spans="2:8" x14ac:dyDescent="0.25">
      <c r="F28" s="85"/>
      <c r="G28" s="74"/>
    </row>
    <row r="30" spans="2:8" x14ac:dyDescent="0.25">
      <c r="B30" s="85" t="s">
        <v>69</v>
      </c>
      <c r="F30" s="74"/>
    </row>
    <row r="33" spans="2:9" ht="18" customHeight="1" x14ac:dyDescent="0.25">
      <c r="B33" s="463"/>
      <c r="C33" s="74"/>
      <c r="F33" s="74"/>
    </row>
    <row r="34" spans="2:9" ht="15" customHeight="1" x14ac:dyDescent="0.25">
      <c r="B34" s="35"/>
      <c r="C34" s="875" t="s">
        <v>110</v>
      </c>
      <c r="D34" s="875"/>
      <c r="E34" s="33"/>
      <c r="F34" s="33"/>
      <c r="G34" s="33"/>
      <c r="H34" s="33"/>
      <c r="I34" s="33"/>
    </row>
    <row r="35" spans="2:9" ht="15" customHeight="1" x14ac:dyDescent="0.25">
      <c r="B35" s="822" t="str">
        <f>C10</f>
        <v>Mars</v>
      </c>
      <c r="D35" s="636" t="e">
        <f ca="1">CHOOSE(calculs!E91,calculs!$I$69,calculs!$I$70,calculs!$I$71)</f>
        <v>#DIV/0!</v>
      </c>
    </row>
    <row r="36" spans="2:9" ht="16.5" customHeight="1" x14ac:dyDescent="0.25"/>
    <row r="37" spans="2:9" ht="16.5" customHeight="1" x14ac:dyDescent="0.25"/>
    <row r="38" spans="2:9" ht="16.5" customHeight="1" x14ac:dyDescent="0.25">
      <c r="D38" s="72"/>
      <c r="E38" s="72"/>
    </row>
    <row r="39" spans="2:9" ht="16.5" customHeight="1" x14ac:dyDescent="0.25"/>
    <row r="40" spans="2:9" ht="16.5" customHeight="1" x14ac:dyDescent="0.25"/>
    <row r="41" spans="2:9" ht="16.5" customHeight="1" x14ac:dyDescent="0.25"/>
    <row r="42" spans="2:9" ht="16.5" customHeight="1" x14ac:dyDescent="0.25"/>
    <row r="43" spans="2:9" ht="16.5" customHeight="1" x14ac:dyDescent="0.25"/>
    <row r="44" spans="2:9" ht="16.5" customHeight="1" x14ac:dyDescent="0.25"/>
    <row r="45" spans="2:9" ht="15.75" customHeight="1" x14ac:dyDescent="0.25"/>
    <row r="46" spans="2:9" ht="25.5" customHeight="1" x14ac:dyDescent="0.25">
      <c r="C46" s="33"/>
      <c r="D46" s="33"/>
      <c r="E46" s="33"/>
      <c r="F46" s="33"/>
      <c r="G46" s="33"/>
      <c r="H46" s="33"/>
      <c r="I46" s="33"/>
    </row>
    <row r="47" spans="2:9" x14ac:dyDescent="0.25">
      <c r="B47" s="31"/>
      <c r="C47" s="31"/>
    </row>
    <row r="50" spans="2:7" ht="15" customHeight="1" x14ac:dyDescent="0.25">
      <c r="B50" s="31"/>
      <c r="C50" s="31"/>
    </row>
    <row r="53" spans="2:7" ht="24.95" customHeight="1" x14ac:dyDescent="0.25">
      <c r="B53" s="35"/>
      <c r="C53" s="35"/>
    </row>
    <row r="57" spans="2:7" x14ac:dyDescent="0.25">
      <c r="B57" s="31"/>
      <c r="C57" s="31"/>
      <c r="F57" s="31"/>
      <c r="G57" s="31"/>
    </row>
    <row r="58" spans="2:7" x14ac:dyDescent="0.25">
      <c r="B58" s="31"/>
      <c r="C58" s="31"/>
      <c r="F58" s="31"/>
      <c r="G58" s="31"/>
    </row>
    <row r="59" spans="2:7" x14ac:dyDescent="0.25">
      <c r="B59" s="31"/>
      <c r="C59" s="31"/>
      <c r="F59" s="31"/>
      <c r="G59" s="31"/>
    </row>
    <row r="61" spans="2:7" x14ac:dyDescent="0.25">
      <c r="B61" s="31"/>
      <c r="C61" s="31"/>
      <c r="F61" s="31"/>
      <c r="G61" s="31"/>
    </row>
    <row r="62" spans="2:7" x14ac:dyDescent="0.25">
      <c r="B62" s="31"/>
      <c r="C62" s="31"/>
      <c r="F62" s="31"/>
      <c r="G62" s="31"/>
    </row>
    <row r="83" spans="2:9" ht="25.5" customHeight="1" x14ac:dyDescent="0.25">
      <c r="C83" s="33"/>
      <c r="D83" s="33"/>
      <c r="E83" s="33"/>
      <c r="F83" s="33"/>
      <c r="G83" s="33"/>
      <c r="H83" s="33"/>
      <c r="I83" s="33"/>
    </row>
    <row r="84" spans="2:9" x14ac:dyDescent="0.25">
      <c r="B84" s="31"/>
      <c r="C84" s="31"/>
    </row>
    <row r="87" spans="2:9" ht="15" customHeight="1" x14ac:dyDescent="0.25">
      <c r="B87" s="31"/>
      <c r="C87" s="31"/>
    </row>
    <row r="90" spans="2:9" ht="24.95" customHeight="1" x14ac:dyDescent="0.25">
      <c r="B90" s="35"/>
      <c r="C90" s="35"/>
    </row>
    <row r="94" spans="2:9" x14ac:dyDescent="0.25">
      <c r="B94" s="31"/>
      <c r="C94" s="31"/>
      <c r="F94" s="31"/>
      <c r="G94" s="31"/>
    </row>
    <row r="95" spans="2:9" x14ac:dyDescent="0.25">
      <c r="B95" s="31"/>
      <c r="C95" s="31"/>
      <c r="F95" s="31"/>
      <c r="G95" s="31"/>
    </row>
    <row r="96" spans="2:9" x14ac:dyDescent="0.25">
      <c r="B96" s="31"/>
      <c r="C96" s="31"/>
      <c r="F96" s="31"/>
      <c r="G96" s="31"/>
    </row>
    <row r="98" spans="2:7" x14ac:dyDescent="0.25">
      <c r="B98" s="31"/>
      <c r="C98" s="31"/>
      <c r="F98" s="31"/>
      <c r="G98" s="31"/>
    </row>
    <row r="99" spans="2:7" x14ac:dyDescent="0.25">
      <c r="B99" s="31"/>
      <c r="C99" s="31"/>
      <c r="F99" s="31"/>
      <c r="G99" s="31"/>
    </row>
  </sheetData>
  <mergeCells count="7">
    <mergeCell ref="C34:D34"/>
    <mergeCell ref="M1:N1"/>
    <mergeCell ref="B16:C16"/>
    <mergeCell ref="C12:H12"/>
    <mergeCell ref="B22:C22"/>
    <mergeCell ref="B14:C14"/>
    <mergeCell ref="B19:C19"/>
  </mergeCells>
  <conditionalFormatting sqref="C23">
    <cfRule type="cellIs" dxfId="347" priority="4" operator="equal">
      <formula>"L"</formula>
    </cfRule>
    <cfRule type="cellIs" dxfId="346" priority="5" operator="equal">
      <formula>"J"</formula>
    </cfRule>
    <cfRule type="cellIs" dxfId="345" priority="6" operator="equal">
      <formula>"K"</formula>
    </cfRule>
  </conditionalFormatting>
  <conditionalFormatting sqref="D35">
    <cfRule type="cellIs" dxfId="344" priority="1" operator="equal">
      <formula>"k"</formula>
    </cfRule>
    <cfRule type="cellIs" dxfId="343" priority="2" operator="equal">
      <formula>"J"</formula>
    </cfRule>
    <cfRule type="cellIs" dxfId="342" priority="3" operator="equal">
      <formula>"L"</formula>
    </cfRule>
  </conditionalFormatting>
  <printOptions horizontalCentered="1" verticalCentered="1"/>
  <pageMargins left="0" right="0" top="0" bottom="0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'Saisie CA'!$A$33:$A$44</xm:f>
          </x14:formula1>
          <xm:sqref>C10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1:V31"/>
  <sheetViews>
    <sheetView zoomScaleNormal="100" workbookViewId="0">
      <pane ySplit="7" topLeftCell="A8" activePane="bottomLeft" state="frozen"/>
      <selection pane="bottomLeft" activeCell="E26" sqref="E26"/>
    </sheetView>
  </sheetViews>
  <sheetFormatPr baseColWidth="10" defaultRowHeight="15" x14ac:dyDescent="0.25"/>
  <cols>
    <col min="1" max="1" width="5.7109375" style="36" customWidth="1"/>
    <col min="2" max="2" width="12.7109375" style="204" customWidth="1"/>
    <col min="3" max="3" width="14.7109375" style="205" customWidth="1"/>
    <col min="4" max="4" width="14.7109375" style="206" customWidth="1"/>
    <col min="5" max="6" width="14.7109375" style="36" customWidth="1"/>
    <col min="7" max="7" width="16.7109375" style="36" customWidth="1"/>
    <col min="8" max="9" width="22.7109375" style="36" customWidth="1"/>
    <col min="10" max="10" width="15.28515625" style="36" customWidth="1"/>
    <col min="11" max="11" width="5.7109375" style="207" customWidth="1"/>
    <col min="12" max="14" width="5.7109375" style="36" customWidth="1"/>
    <col min="15" max="15" width="8.28515625" style="123" bestFit="1" customWidth="1"/>
    <col min="16" max="16" width="13.7109375" style="123" bestFit="1" customWidth="1"/>
    <col min="17" max="17" width="14.42578125" style="123" bestFit="1" customWidth="1"/>
    <col min="18" max="18" width="8.85546875" style="123" bestFit="1" customWidth="1"/>
    <col min="19" max="19" width="7.85546875" style="123" bestFit="1" customWidth="1"/>
    <col min="20" max="20" width="6.7109375" style="123" bestFit="1" customWidth="1"/>
    <col min="21" max="21" width="7.28515625" style="123" bestFit="1" customWidth="1"/>
    <col min="22" max="22" width="6.7109375" style="123" bestFit="1" customWidth="1"/>
    <col min="23" max="16384" width="11.42578125" style="36"/>
  </cols>
  <sheetData>
    <row r="1" spans="2:22" ht="15" customHeight="1" x14ac:dyDescent="0.25"/>
    <row r="2" spans="2:22" ht="15" customHeight="1" x14ac:dyDescent="0.25">
      <c r="B2" s="36"/>
      <c r="P2" s="208"/>
      <c r="Q2" s="209"/>
    </row>
    <row r="3" spans="2:22" ht="15.75" customHeight="1" x14ac:dyDescent="0.25">
      <c r="P3" s="208"/>
      <c r="Q3" s="210"/>
    </row>
    <row r="5" spans="2:22" x14ac:dyDescent="0.25">
      <c r="P5" s="32"/>
      <c r="Q5" s="880"/>
      <c r="R5" s="880"/>
      <c r="S5" s="32"/>
    </row>
    <row r="6" spans="2:22" x14ac:dyDescent="0.25">
      <c r="P6" s="116"/>
      <c r="Q6" s="116"/>
      <c r="R6" s="116"/>
      <c r="S6" s="211"/>
    </row>
    <row r="7" spans="2:22" ht="15" customHeight="1" x14ac:dyDescent="0.25">
      <c r="O7" s="32"/>
      <c r="P7" s="212"/>
      <c r="Q7" s="213"/>
      <c r="S7" s="211"/>
    </row>
    <row r="8" spans="2:22" ht="12.95" customHeight="1" thickBot="1" x14ac:dyDescent="0.3">
      <c r="P8" s="116"/>
      <c r="Q8" s="116"/>
      <c r="R8" s="116"/>
      <c r="S8" s="211"/>
    </row>
    <row r="9" spans="2:22" ht="15" customHeight="1" thickBot="1" x14ac:dyDescent="0.3">
      <c r="D9" s="887" t="s">
        <v>19</v>
      </c>
      <c r="E9" s="888"/>
      <c r="F9" s="888"/>
      <c r="G9" s="888"/>
      <c r="H9" s="889"/>
      <c r="I9" s="890"/>
      <c r="J9" s="25"/>
    </row>
    <row r="10" spans="2:22" ht="16.5" thickTop="1" thickBot="1" x14ac:dyDescent="0.3">
      <c r="B10" s="236" t="s">
        <v>0</v>
      </c>
      <c r="D10" s="704" t="s">
        <v>14</v>
      </c>
      <c r="E10" s="705" t="s">
        <v>15</v>
      </c>
      <c r="F10" s="709" t="s">
        <v>16</v>
      </c>
      <c r="G10" s="706" t="s">
        <v>109</v>
      </c>
      <c r="H10" s="674" t="s">
        <v>61</v>
      </c>
      <c r="I10" s="642" t="s">
        <v>65</v>
      </c>
      <c r="L10" s="24"/>
    </row>
    <row r="11" spans="2:22" ht="15" customHeight="1" thickBot="1" x14ac:dyDescent="0.3">
      <c r="D11" s="746">
        <f ca="1">C19</f>
        <v>0</v>
      </c>
      <c r="E11" s="747">
        <f ca="1">D19</f>
        <v>0</v>
      </c>
      <c r="F11" s="748">
        <f ca="1">E19</f>
        <v>0</v>
      </c>
      <c r="G11" s="700">
        <f ca="1">G19</f>
        <v>0</v>
      </c>
      <c r="H11" s="649">
        <f ca="1">H19</f>
        <v>0</v>
      </c>
      <c r="I11" s="235">
        <f ca="1">I19</f>
        <v>0</v>
      </c>
      <c r="K11" s="214"/>
    </row>
    <row r="12" spans="2:22" ht="12.95" customHeight="1" thickTop="1" thickBot="1" x14ac:dyDescent="0.3">
      <c r="B12" s="215"/>
      <c r="E12" s="216"/>
      <c r="F12" s="82"/>
      <c r="G12" s="24"/>
      <c r="H12" s="24"/>
    </row>
    <row r="13" spans="2:22" ht="15.75" thickBot="1" x14ac:dyDescent="0.3">
      <c r="B13" s="236" t="s">
        <v>18</v>
      </c>
      <c r="D13" s="887" t="s">
        <v>21</v>
      </c>
      <c r="E13" s="888"/>
      <c r="F13" s="888"/>
      <c r="G13" s="888"/>
      <c r="H13" s="889"/>
      <c r="I13" s="890"/>
      <c r="J13" s="25"/>
      <c r="Q13" s="32"/>
      <c r="R13" s="32"/>
    </row>
    <row r="14" spans="2:22" ht="15" customHeight="1" thickTop="1" thickBot="1" x14ac:dyDescent="0.3">
      <c r="B14" s="237" t="s">
        <v>11</v>
      </c>
      <c r="D14" s="704" t="s">
        <v>14</v>
      </c>
      <c r="E14" s="705" t="s">
        <v>15</v>
      </c>
      <c r="F14" s="709" t="s">
        <v>16</v>
      </c>
      <c r="G14" s="706" t="s">
        <v>109</v>
      </c>
      <c r="H14" s="674" t="s">
        <v>61</v>
      </c>
      <c r="I14" s="642" t="s">
        <v>65</v>
      </c>
      <c r="P14" s="32"/>
      <c r="Q14" s="116"/>
      <c r="R14" s="116"/>
    </row>
    <row r="15" spans="2:22" ht="15.75" customHeight="1" thickBot="1" x14ac:dyDescent="0.3">
      <c r="B15" s="215"/>
      <c r="D15" s="746">
        <f>IFERROR(VLOOKUP(B14,B17:E31,2,FALSE),"")</f>
        <v>0</v>
      </c>
      <c r="E15" s="749">
        <f>IFERROR(VLOOKUP(B14,B17:E31,3,FALSE),"")</f>
        <v>0</v>
      </c>
      <c r="F15" s="748">
        <f>IFERROR(VLOOKUP(B14,B17:E31,4,FALSE),"")</f>
        <v>0</v>
      </c>
      <c r="G15" s="700">
        <f>IFERROR(VLOOKUP(B14,B17:G31,6,FALSE),"")</f>
        <v>0</v>
      </c>
      <c r="H15" s="649">
        <f>IFERROR(VLOOKUP(B14,B17:I31,7,FALSE),"")</f>
        <v>0</v>
      </c>
      <c r="I15" s="235">
        <f>IFERROR(VLOOKUP(B14,B17:I31,8,FALSE),"")</f>
        <v>0</v>
      </c>
      <c r="P15" s="32"/>
      <c r="Q15" s="116"/>
      <c r="R15" s="116"/>
    </row>
    <row r="16" spans="2:22" ht="12.95" customHeight="1" thickTop="1" thickBot="1" x14ac:dyDescent="0.3">
      <c r="P16" s="217"/>
      <c r="U16" s="73"/>
      <c r="V16" s="73"/>
    </row>
    <row r="17" spans="2:22" ht="15.75" thickTop="1" x14ac:dyDescent="0.25">
      <c r="B17" s="73"/>
      <c r="C17" s="659" t="s">
        <v>14</v>
      </c>
      <c r="D17" s="660" t="s">
        <v>15</v>
      </c>
      <c r="E17" s="661" t="s">
        <v>16</v>
      </c>
      <c r="F17" s="881" t="s">
        <v>20</v>
      </c>
      <c r="G17" s="882"/>
      <c r="H17" s="883" t="s">
        <v>62</v>
      </c>
      <c r="I17" s="885" t="s">
        <v>65</v>
      </c>
      <c r="M17" s="32"/>
      <c r="N17" s="116"/>
      <c r="P17" s="218"/>
      <c r="Q17" s="219"/>
      <c r="R17" s="219"/>
      <c r="T17" s="218"/>
      <c r="U17" s="219"/>
      <c r="V17" s="219"/>
    </row>
    <row r="18" spans="2:22" ht="15.75" thickBot="1" x14ac:dyDescent="0.3">
      <c r="B18" s="9"/>
      <c r="C18" s="662" t="s">
        <v>59</v>
      </c>
      <c r="D18" s="663" t="s">
        <v>59</v>
      </c>
      <c r="E18" s="664" t="s">
        <v>59</v>
      </c>
      <c r="F18" s="665" t="s">
        <v>17</v>
      </c>
      <c r="G18" s="666" t="s">
        <v>59</v>
      </c>
      <c r="H18" s="884"/>
      <c r="I18" s="886"/>
      <c r="M18" s="32"/>
      <c r="N18" s="116"/>
      <c r="P18" s="218"/>
      <c r="Q18" s="220"/>
      <c r="R18" s="220"/>
      <c r="T18" s="218"/>
      <c r="U18" s="220"/>
      <c r="V18" s="220"/>
    </row>
    <row r="19" spans="2:22" s="221" customFormat="1" ht="15" customHeight="1" thickBot="1" x14ac:dyDescent="0.3">
      <c r="B19" s="260"/>
      <c r="C19" s="667">
        <f ca="1">SUM(OFFSET(C20,0,0,MATCH(B14,B20:B31,0)))</f>
        <v>0</v>
      </c>
      <c r="D19" s="668">
        <f ca="1">SUM(OFFSET(D20,0,0,MATCH(B14,B20:B31,0)))</f>
        <v>0</v>
      </c>
      <c r="E19" s="669">
        <f ca="1">SUM(OFFSET(E20,0,0,MATCH(B14,B20:B31,0)))</f>
        <v>0</v>
      </c>
      <c r="F19" s="670" t="e">
        <f t="shared" ref="F19" ca="1" si="0">SUM((E19-D19)/D19)</f>
        <v>#DIV/0!</v>
      </c>
      <c r="G19" s="671">
        <f ca="1">SUM(OFFSET(G20,0,0,MATCH(B14,B20:B31,0)))</f>
        <v>0</v>
      </c>
      <c r="H19" s="672">
        <f ca="1">SUM(OFFSET(H20,0,0,MATCH(B14,B20:B31,0)))</f>
        <v>0</v>
      </c>
      <c r="I19" s="673">
        <f ca="1">SUM(OFFSET(I20,0,0,MATCH(B14,B20:B31,0)))</f>
        <v>0</v>
      </c>
      <c r="K19" s="222"/>
      <c r="O19" s="223"/>
      <c r="P19" s="223"/>
      <c r="Q19" s="223"/>
      <c r="R19" s="223"/>
      <c r="S19" s="223"/>
      <c r="T19" s="223"/>
      <c r="U19" s="223"/>
      <c r="V19" s="223"/>
    </row>
    <row r="20" spans="2:22" s="221" customFormat="1" ht="14.25" customHeight="1" x14ac:dyDescent="0.25">
      <c r="B20" s="224" t="s">
        <v>6</v>
      </c>
      <c r="C20" s="650">
        <v>0</v>
      </c>
      <c r="D20" s="651">
        <v>0</v>
      </c>
      <c r="E20" s="652">
        <v>0</v>
      </c>
      <c r="F20" s="304" t="e">
        <f>SUM((E20-D20)/D20)</f>
        <v>#DIV/0!</v>
      </c>
      <c r="G20" s="645">
        <f>SUM(E20-D20)</f>
        <v>0</v>
      </c>
      <c r="H20" s="685">
        <f>SUM(C20+D20)/2</f>
        <v>0</v>
      </c>
      <c r="I20" s="756">
        <f>SUM(E20-H20)</f>
        <v>0</v>
      </c>
      <c r="K20" s="222"/>
      <c r="O20" s="223"/>
      <c r="P20" s="225"/>
      <c r="Q20" s="226"/>
      <c r="R20" s="226"/>
      <c r="S20" s="223"/>
      <c r="T20" s="225"/>
      <c r="U20" s="226"/>
      <c r="V20" s="226"/>
    </row>
    <row r="21" spans="2:22" s="221" customFormat="1" ht="14.25" x14ac:dyDescent="0.25">
      <c r="B21" s="227" t="s">
        <v>7</v>
      </c>
      <c r="C21" s="653">
        <v>0</v>
      </c>
      <c r="D21" s="654">
        <v>0</v>
      </c>
      <c r="E21" s="655">
        <v>0</v>
      </c>
      <c r="F21" s="305" t="e">
        <f t="shared" ref="F21:F31" si="1">SUM((E21-D21)/D21)</f>
        <v>#DIV/0!</v>
      </c>
      <c r="G21" s="646">
        <f t="shared" ref="G21:G31" si="2">SUM(E21-D21)</f>
        <v>0</v>
      </c>
      <c r="H21" s="686">
        <f t="shared" ref="H21:H31" si="3">SUM(C21+D21)/2</f>
        <v>0</v>
      </c>
      <c r="I21" s="757">
        <f t="shared" ref="I21:I31" si="4">SUM(E21-H21)</f>
        <v>0</v>
      </c>
      <c r="K21" s="222"/>
      <c r="O21" s="223"/>
      <c r="P21" s="228"/>
      <c r="Q21" s="229"/>
      <c r="R21" s="229"/>
      <c r="S21" s="223"/>
      <c r="T21" s="228"/>
      <c r="U21" s="229"/>
      <c r="V21" s="229"/>
    </row>
    <row r="22" spans="2:22" s="221" customFormat="1" ht="14.25" x14ac:dyDescent="0.25">
      <c r="B22" s="227" t="s">
        <v>8</v>
      </c>
      <c r="C22" s="653">
        <v>0</v>
      </c>
      <c r="D22" s="654">
        <v>0</v>
      </c>
      <c r="E22" s="655">
        <v>0</v>
      </c>
      <c r="F22" s="305" t="e">
        <f t="shared" si="1"/>
        <v>#DIV/0!</v>
      </c>
      <c r="G22" s="646">
        <f t="shared" si="2"/>
        <v>0</v>
      </c>
      <c r="H22" s="686">
        <f t="shared" si="3"/>
        <v>0</v>
      </c>
      <c r="I22" s="757">
        <f t="shared" si="4"/>
        <v>0</v>
      </c>
      <c r="K22" s="222"/>
      <c r="O22" s="223"/>
      <c r="P22" s="228"/>
      <c r="Q22" s="230"/>
      <c r="R22" s="223"/>
      <c r="S22" s="223"/>
      <c r="T22" s="223"/>
      <c r="U22" s="223"/>
      <c r="V22" s="223"/>
    </row>
    <row r="23" spans="2:22" s="221" customFormat="1" ht="14.25" x14ac:dyDescent="0.25">
      <c r="B23" s="227" t="s">
        <v>9</v>
      </c>
      <c r="C23" s="653">
        <v>0</v>
      </c>
      <c r="D23" s="654">
        <v>0</v>
      </c>
      <c r="E23" s="655">
        <v>0</v>
      </c>
      <c r="F23" s="305" t="e">
        <f t="shared" si="1"/>
        <v>#DIV/0!</v>
      </c>
      <c r="G23" s="646">
        <f t="shared" si="2"/>
        <v>0</v>
      </c>
      <c r="H23" s="686">
        <f t="shared" si="3"/>
        <v>0</v>
      </c>
      <c r="I23" s="757">
        <f t="shared" si="4"/>
        <v>0</v>
      </c>
      <c r="K23" s="222"/>
      <c r="O23" s="223"/>
      <c r="P23" s="228"/>
      <c r="Q23" s="229"/>
      <c r="R23" s="229"/>
      <c r="S23" s="223"/>
      <c r="T23" s="223"/>
      <c r="U23" s="228"/>
      <c r="V23" s="228"/>
    </row>
    <row r="24" spans="2:22" s="221" customFormat="1" ht="14.25" x14ac:dyDescent="0.25">
      <c r="B24" s="227" t="s">
        <v>10</v>
      </c>
      <c r="C24" s="653">
        <v>0</v>
      </c>
      <c r="D24" s="654">
        <v>0</v>
      </c>
      <c r="E24" s="655">
        <v>0</v>
      </c>
      <c r="F24" s="305" t="e">
        <f t="shared" si="1"/>
        <v>#DIV/0!</v>
      </c>
      <c r="G24" s="646">
        <f t="shared" si="2"/>
        <v>0</v>
      </c>
      <c r="H24" s="686">
        <f t="shared" si="3"/>
        <v>0</v>
      </c>
      <c r="I24" s="757">
        <f t="shared" si="4"/>
        <v>0</v>
      </c>
      <c r="K24" s="222"/>
      <c r="O24" s="223"/>
      <c r="P24" s="228"/>
      <c r="Q24" s="229"/>
      <c r="R24" s="229"/>
      <c r="S24" s="223"/>
      <c r="T24" s="231"/>
      <c r="U24" s="232"/>
      <c r="V24" s="232"/>
    </row>
    <row r="25" spans="2:22" s="221" customFormat="1" ht="14.25" x14ac:dyDescent="0.25">
      <c r="B25" s="227" t="s">
        <v>11</v>
      </c>
      <c r="C25" s="653">
        <v>0</v>
      </c>
      <c r="D25" s="654">
        <v>0</v>
      </c>
      <c r="E25" s="827">
        <v>0</v>
      </c>
      <c r="F25" s="305" t="e">
        <f t="shared" si="1"/>
        <v>#DIV/0!</v>
      </c>
      <c r="G25" s="646">
        <f t="shared" si="2"/>
        <v>0</v>
      </c>
      <c r="H25" s="686">
        <f>SUM(C25+D25)/2</f>
        <v>0</v>
      </c>
      <c r="I25" s="757">
        <f t="shared" si="4"/>
        <v>0</v>
      </c>
      <c r="K25" s="222"/>
      <c r="O25" s="223"/>
      <c r="P25" s="228"/>
      <c r="Q25" s="229"/>
      <c r="R25" s="229"/>
      <c r="S25" s="223"/>
      <c r="T25" s="231"/>
      <c r="U25" s="226"/>
      <c r="V25" s="226"/>
    </row>
    <row r="26" spans="2:22" s="221" customFormat="1" ht="14.25" x14ac:dyDescent="0.25">
      <c r="B26" s="227" t="s">
        <v>12</v>
      </c>
      <c r="C26" s="653">
        <v>0</v>
      </c>
      <c r="D26" s="654">
        <v>0</v>
      </c>
      <c r="E26" s="655">
        <v>0</v>
      </c>
      <c r="F26" s="305" t="e">
        <f t="shared" si="1"/>
        <v>#DIV/0!</v>
      </c>
      <c r="G26" s="646">
        <f t="shared" si="2"/>
        <v>0</v>
      </c>
      <c r="H26" s="686">
        <f t="shared" si="3"/>
        <v>0</v>
      </c>
      <c r="I26" s="757">
        <f t="shared" si="4"/>
        <v>0</v>
      </c>
      <c r="K26" s="222"/>
      <c r="O26" s="223"/>
      <c r="P26" s="228"/>
      <c r="Q26" s="229"/>
      <c r="R26" s="229"/>
      <c r="S26" s="223"/>
      <c r="T26" s="225"/>
      <c r="U26" s="226"/>
      <c r="V26" s="226"/>
    </row>
    <row r="27" spans="2:22" s="221" customFormat="1" ht="14.25" x14ac:dyDescent="0.25">
      <c r="B27" s="227" t="s">
        <v>13</v>
      </c>
      <c r="C27" s="653">
        <v>0</v>
      </c>
      <c r="D27" s="654">
        <v>0</v>
      </c>
      <c r="E27" s="655">
        <v>0</v>
      </c>
      <c r="F27" s="305" t="e">
        <f t="shared" si="1"/>
        <v>#DIV/0!</v>
      </c>
      <c r="G27" s="646">
        <f t="shared" si="2"/>
        <v>0</v>
      </c>
      <c r="H27" s="686">
        <f t="shared" si="3"/>
        <v>0</v>
      </c>
      <c r="I27" s="757">
        <f t="shared" si="4"/>
        <v>0</v>
      </c>
      <c r="K27" s="222"/>
      <c r="O27" s="223"/>
      <c r="P27" s="223"/>
      <c r="Q27" s="229"/>
      <c r="R27" s="223"/>
      <c r="S27" s="223"/>
      <c r="T27" s="228"/>
      <c r="U27" s="229"/>
      <c r="V27" s="229"/>
    </row>
    <row r="28" spans="2:22" s="221" customFormat="1" ht="14.25" x14ac:dyDescent="0.25">
      <c r="B28" s="227" t="s">
        <v>2</v>
      </c>
      <c r="C28" s="653">
        <v>0</v>
      </c>
      <c r="D28" s="654">
        <v>0</v>
      </c>
      <c r="E28" s="655">
        <v>0</v>
      </c>
      <c r="F28" s="305" t="e">
        <f t="shared" si="1"/>
        <v>#DIV/0!</v>
      </c>
      <c r="G28" s="646">
        <f t="shared" si="2"/>
        <v>0</v>
      </c>
      <c r="H28" s="686">
        <f t="shared" si="3"/>
        <v>0</v>
      </c>
      <c r="I28" s="757">
        <f t="shared" si="4"/>
        <v>0</v>
      </c>
      <c r="K28" s="222"/>
      <c r="O28" s="223"/>
      <c r="P28" s="223"/>
      <c r="Q28" s="229"/>
      <c r="R28" s="223"/>
      <c r="S28" s="223"/>
      <c r="T28" s="230"/>
      <c r="U28" s="223"/>
      <c r="V28" s="223"/>
    </row>
    <row r="29" spans="2:22" s="221" customFormat="1" ht="14.25" x14ac:dyDescent="0.25">
      <c r="B29" s="227" t="s">
        <v>3</v>
      </c>
      <c r="C29" s="653">
        <v>0</v>
      </c>
      <c r="D29" s="654">
        <v>0</v>
      </c>
      <c r="E29" s="655">
        <v>0</v>
      </c>
      <c r="F29" s="305" t="e">
        <f t="shared" si="1"/>
        <v>#DIV/0!</v>
      </c>
      <c r="G29" s="646">
        <f t="shared" si="2"/>
        <v>0</v>
      </c>
      <c r="H29" s="686">
        <f t="shared" si="3"/>
        <v>0</v>
      </c>
      <c r="I29" s="757">
        <f t="shared" si="4"/>
        <v>0</v>
      </c>
      <c r="K29" s="222"/>
      <c r="O29" s="223"/>
      <c r="P29" s="223"/>
      <c r="Q29" s="229"/>
      <c r="R29" s="223"/>
      <c r="S29" s="223"/>
      <c r="T29" s="230"/>
      <c r="U29" s="223"/>
      <c r="V29" s="223"/>
    </row>
    <row r="30" spans="2:22" s="221" customFormat="1" ht="14.25" x14ac:dyDescent="0.25">
      <c r="B30" s="227" t="s">
        <v>4</v>
      </c>
      <c r="C30" s="653">
        <v>0</v>
      </c>
      <c r="D30" s="654">
        <v>0</v>
      </c>
      <c r="E30" s="655">
        <v>0</v>
      </c>
      <c r="F30" s="305" t="e">
        <f t="shared" si="1"/>
        <v>#DIV/0!</v>
      </c>
      <c r="G30" s="646">
        <f t="shared" si="2"/>
        <v>0</v>
      </c>
      <c r="H30" s="686">
        <f t="shared" si="3"/>
        <v>0</v>
      </c>
      <c r="I30" s="757">
        <f t="shared" si="4"/>
        <v>0</v>
      </c>
      <c r="K30" s="222"/>
      <c r="O30" s="223"/>
      <c r="P30" s="223"/>
      <c r="Q30" s="233"/>
      <c r="R30" s="223"/>
      <c r="S30" s="223"/>
      <c r="T30" s="223"/>
      <c r="U30" s="223"/>
      <c r="V30" s="223"/>
    </row>
    <row r="31" spans="2:22" s="221" customFormat="1" thickBot="1" x14ac:dyDescent="0.3">
      <c r="B31" s="234" t="s">
        <v>5</v>
      </c>
      <c r="C31" s="656">
        <v>0</v>
      </c>
      <c r="D31" s="657">
        <v>0</v>
      </c>
      <c r="E31" s="658">
        <v>0</v>
      </c>
      <c r="F31" s="647" t="e">
        <f t="shared" si="1"/>
        <v>#DIV/0!</v>
      </c>
      <c r="G31" s="648">
        <f t="shared" si="2"/>
        <v>0</v>
      </c>
      <c r="H31" s="687">
        <f t="shared" si="3"/>
        <v>0</v>
      </c>
      <c r="I31" s="758">
        <f t="shared" si="4"/>
        <v>0</v>
      </c>
      <c r="K31" s="222"/>
      <c r="O31" s="223"/>
      <c r="P31" s="223"/>
      <c r="Q31" s="223"/>
      <c r="R31" s="223"/>
      <c r="S31" s="223"/>
      <c r="T31" s="223"/>
      <c r="U31" s="223"/>
      <c r="V31" s="223"/>
    </row>
  </sheetData>
  <mergeCells count="6">
    <mergeCell ref="Q5:R5"/>
    <mergeCell ref="F17:G17"/>
    <mergeCell ref="H17:H18"/>
    <mergeCell ref="I17:I18"/>
    <mergeCell ref="D9:I9"/>
    <mergeCell ref="D13:I13"/>
  </mergeCells>
  <conditionalFormatting sqref="P7">
    <cfRule type="cellIs" dxfId="341" priority="25" operator="lessThan">
      <formula>$Q$6&lt;$P$6</formula>
    </cfRule>
    <cfRule type="cellIs" dxfId="340" priority="26" operator="lessThan">
      <formula>0</formula>
    </cfRule>
  </conditionalFormatting>
  <conditionalFormatting sqref="S6">
    <cfRule type="cellIs" dxfId="339" priority="22" operator="lessThan">
      <formula>0</formula>
    </cfRule>
    <cfRule type="cellIs" dxfId="338" priority="23" operator="lessThan">
      <formula>0</formula>
    </cfRule>
    <cfRule type="cellIs" dxfId="337" priority="24" operator="lessThan">
      <formula>0</formula>
    </cfRule>
  </conditionalFormatting>
  <conditionalFormatting sqref="I11 I15">
    <cfRule type="cellIs" dxfId="336" priority="15" operator="lessThan">
      <formula>0</formula>
    </cfRule>
    <cfRule type="cellIs" dxfId="335" priority="16" operator="greaterThan">
      <formula>0</formula>
    </cfRule>
  </conditionalFormatting>
  <conditionalFormatting sqref="G11 G15">
    <cfRule type="cellIs" dxfId="334" priority="9" operator="lessThan">
      <formula>0</formula>
    </cfRule>
    <cfRule type="cellIs" dxfId="333" priority="10" operator="greaterThan">
      <formula>0</formula>
    </cfRule>
  </conditionalFormatting>
  <conditionalFormatting sqref="I20:I31">
    <cfRule type="cellIs" dxfId="332" priority="7" operator="lessThan">
      <formula>0</formula>
    </cfRule>
    <cfRule type="cellIs" dxfId="331" priority="8" operator="greaterThan">
      <formula>0</formula>
    </cfRule>
  </conditionalFormatting>
  <conditionalFormatting sqref="I19">
    <cfRule type="cellIs" dxfId="330" priority="5" operator="lessThan">
      <formula>0</formula>
    </cfRule>
    <cfRule type="cellIs" dxfId="329" priority="6" operator="greaterThan">
      <formula>0</formula>
    </cfRule>
  </conditionalFormatting>
  <conditionalFormatting sqref="F20:G31">
    <cfRule type="cellIs" dxfId="328" priority="3" operator="lessThan">
      <formula>0</formula>
    </cfRule>
    <cfRule type="cellIs" dxfId="327" priority="4" operator="greaterThan">
      <formula>0</formula>
    </cfRule>
  </conditionalFormatting>
  <conditionalFormatting sqref="F19:G19">
    <cfRule type="cellIs" dxfId="326" priority="1" operator="greaterThan">
      <formula>0</formula>
    </cfRule>
    <cfRule type="cellIs" dxfId="325" priority="2" operator="lessThan">
      <formula>0</formula>
    </cfRule>
  </conditionalFormatting>
  <dataValidations count="1">
    <dataValidation type="list" allowBlank="1" showInputMessage="1" showErrorMessage="1" sqref="B14">
      <formula1>$B$20:$B$31</formula1>
    </dataValidation>
  </dataValidations>
  <printOptions horizontalCentered="1"/>
  <pageMargins left="0" right="0" top="0" bottom="0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B1:T31"/>
  <sheetViews>
    <sheetView zoomScaleNormal="100" workbookViewId="0">
      <pane ySplit="7" topLeftCell="A14" activePane="bottomLeft" state="frozen"/>
      <selection pane="bottomLeft"/>
    </sheetView>
  </sheetViews>
  <sheetFormatPr baseColWidth="10" defaultRowHeight="14.25" x14ac:dyDescent="0.25"/>
  <cols>
    <col min="1" max="1" width="5.7109375" style="221" customWidth="1"/>
    <col min="2" max="2" width="15.7109375" style="241" customWidth="1"/>
    <col min="3" max="3" width="15.28515625" style="242" customWidth="1"/>
    <col min="4" max="4" width="15.28515625" style="243" customWidth="1"/>
    <col min="5" max="5" width="15.28515625" style="221" customWidth="1"/>
    <col min="6" max="6" width="14.7109375" style="221" customWidth="1"/>
    <col min="7" max="7" width="16.7109375" style="221" customWidth="1"/>
    <col min="8" max="9" width="22.7109375" style="221" customWidth="1"/>
    <col min="10" max="10" width="15.28515625" style="221" customWidth="1"/>
    <col min="11" max="11" width="5.7109375" style="222" customWidth="1"/>
    <col min="12" max="14" width="5.7109375" style="221" customWidth="1"/>
    <col min="15" max="15" width="8.28515625" style="221" bestFit="1" customWidth="1"/>
    <col min="16" max="16" width="11.42578125" style="221"/>
    <col min="17" max="17" width="7.85546875" style="221" bestFit="1" customWidth="1"/>
    <col min="18" max="18" width="6.7109375" style="221" bestFit="1" customWidth="1"/>
    <col min="19" max="19" width="7.7109375" style="221" bestFit="1" customWidth="1"/>
    <col min="20" max="20" width="6.7109375" style="221" bestFit="1" customWidth="1"/>
    <col min="21" max="16384" width="11.42578125" style="221"/>
  </cols>
  <sheetData>
    <row r="1" spans="2:20" ht="15" customHeight="1" x14ac:dyDescent="0.25"/>
    <row r="2" spans="2:20" ht="15" customHeight="1" x14ac:dyDescent="0.25">
      <c r="B2" s="221"/>
    </row>
    <row r="3" spans="2:20" ht="15" customHeight="1" x14ac:dyDescent="0.25">
      <c r="O3" s="223"/>
      <c r="P3" s="223"/>
      <c r="Q3" s="223"/>
    </row>
    <row r="4" spans="2:20" ht="15" customHeight="1" x14ac:dyDescent="0.25">
      <c r="O4" s="223"/>
      <c r="P4" s="223"/>
      <c r="Q4" s="223"/>
    </row>
    <row r="5" spans="2:20" ht="15" customHeight="1" x14ac:dyDescent="0.25">
      <c r="O5" s="223"/>
      <c r="P5" s="244"/>
      <c r="Q5" s="244"/>
      <c r="R5" s="223"/>
      <c r="S5" s="223"/>
      <c r="T5" s="223"/>
    </row>
    <row r="6" spans="2:20" ht="15" customHeight="1" x14ac:dyDescent="0.25">
      <c r="O6" s="223"/>
      <c r="P6" s="245"/>
      <c r="Q6" s="229"/>
      <c r="R6" s="223"/>
      <c r="S6" s="223"/>
      <c r="T6" s="223"/>
    </row>
    <row r="7" spans="2:20" ht="15" customHeight="1" x14ac:dyDescent="0.25">
      <c r="O7" s="244"/>
      <c r="P7" s="223"/>
      <c r="Q7" s="229"/>
      <c r="R7" s="223"/>
      <c r="S7" s="223"/>
      <c r="T7" s="223"/>
    </row>
    <row r="8" spans="2:20" ht="12.95" customHeight="1" thickBot="1" x14ac:dyDescent="0.3">
      <c r="O8" s="223"/>
      <c r="P8" s="245"/>
      <c r="Q8" s="229"/>
      <c r="R8" s="223"/>
      <c r="S8" s="223"/>
      <c r="T8" s="223"/>
    </row>
    <row r="9" spans="2:20" ht="15.75" customHeight="1" thickBot="1" x14ac:dyDescent="0.3">
      <c r="D9" s="887" t="s">
        <v>19</v>
      </c>
      <c r="E9" s="888"/>
      <c r="F9" s="888"/>
      <c r="G9" s="888"/>
      <c r="H9" s="889"/>
      <c r="I9" s="890"/>
      <c r="J9" s="246"/>
      <c r="O9" s="223"/>
      <c r="P9" s="223"/>
      <c r="Q9" s="223"/>
      <c r="R9" s="223"/>
      <c r="S9" s="223"/>
      <c r="T9" s="223"/>
    </row>
    <row r="10" spans="2:20" ht="15" customHeight="1" thickTop="1" thickBot="1" x14ac:dyDescent="0.3">
      <c r="B10" s="236" t="s">
        <v>39</v>
      </c>
      <c r="D10" s="704" t="s">
        <v>14</v>
      </c>
      <c r="E10" s="705" t="s">
        <v>15</v>
      </c>
      <c r="F10" s="705" t="s">
        <v>16</v>
      </c>
      <c r="G10" s="706" t="s">
        <v>109</v>
      </c>
      <c r="H10" s="713" t="s">
        <v>62</v>
      </c>
      <c r="I10" s="710" t="s">
        <v>65</v>
      </c>
      <c r="L10" s="247"/>
      <c r="O10" s="223"/>
      <c r="P10" s="223"/>
      <c r="Q10" s="223"/>
      <c r="R10" s="223"/>
      <c r="S10" s="223"/>
      <c r="T10" s="223"/>
    </row>
    <row r="11" spans="2:20" ht="15" customHeight="1" thickBot="1" x14ac:dyDescent="0.3">
      <c r="D11" s="750">
        <f ca="1">C19</f>
        <v>0</v>
      </c>
      <c r="E11" s="751">
        <f ca="1">D19</f>
        <v>0</v>
      </c>
      <c r="F11" s="752">
        <f ca="1">E19</f>
        <v>0</v>
      </c>
      <c r="G11" s="698">
        <f ca="1">G19</f>
        <v>0</v>
      </c>
      <c r="H11" s="697">
        <f ca="1">H19</f>
        <v>0</v>
      </c>
      <c r="I11" s="643">
        <f ca="1">I19</f>
        <v>0</v>
      </c>
      <c r="K11" s="248"/>
      <c r="O11" s="223"/>
      <c r="P11" s="223"/>
      <c r="Q11" s="223"/>
      <c r="R11" s="223"/>
      <c r="S11" s="223"/>
      <c r="T11" s="223"/>
    </row>
    <row r="12" spans="2:20" ht="12.95" customHeight="1" thickTop="1" thickBot="1" x14ac:dyDescent="0.3">
      <c r="B12" s="249"/>
      <c r="D12" s="296"/>
      <c r="E12" s="297"/>
      <c r="F12" s="251"/>
      <c r="G12" s="247"/>
      <c r="H12" s="247"/>
      <c r="O12" s="223"/>
      <c r="P12" s="223"/>
      <c r="Q12" s="223"/>
      <c r="R12" s="223"/>
      <c r="S12" s="223"/>
      <c r="T12" s="223"/>
    </row>
    <row r="13" spans="2:20" ht="15" customHeight="1" thickBot="1" x14ac:dyDescent="0.3">
      <c r="B13" s="236" t="s">
        <v>18</v>
      </c>
      <c r="D13" s="887" t="s">
        <v>21</v>
      </c>
      <c r="E13" s="888"/>
      <c r="F13" s="888"/>
      <c r="G13" s="888"/>
      <c r="H13" s="889"/>
      <c r="I13" s="890"/>
      <c r="J13" s="246"/>
      <c r="O13" s="223"/>
      <c r="P13" s="244"/>
      <c r="Q13" s="223"/>
      <c r="R13" s="223"/>
      <c r="S13" s="223"/>
      <c r="T13" s="223"/>
    </row>
    <row r="14" spans="2:20" ht="15" customHeight="1" thickTop="1" thickBot="1" x14ac:dyDescent="0.3">
      <c r="B14" s="237" t="s">
        <v>10</v>
      </c>
      <c r="D14" s="704" t="s">
        <v>14</v>
      </c>
      <c r="E14" s="705" t="s">
        <v>15</v>
      </c>
      <c r="F14" s="705" t="s">
        <v>16</v>
      </c>
      <c r="G14" s="706" t="s">
        <v>109</v>
      </c>
      <c r="H14" s="714" t="s">
        <v>62</v>
      </c>
      <c r="I14" s="710" t="s">
        <v>65</v>
      </c>
      <c r="O14" s="223"/>
      <c r="P14" s="245"/>
      <c r="Q14" s="223"/>
      <c r="R14" s="223"/>
      <c r="S14" s="223"/>
      <c r="T14" s="223"/>
    </row>
    <row r="15" spans="2:20" ht="15" thickBot="1" x14ac:dyDescent="0.3">
      <c r="B15" s="249"/>
      <c r="D15" s="746">
        <f>IFERROR(VLOOKUP(B14,B17:E31,2,FALSE),"")</f>
        <v>0</v>
      </c>
      <c r="E15" s="749">
        <f>IFERROR(VLOOKUP(B14,B17:E31,3,FALSE),"")</f>
        <v>0</v>
      </c>
      <c r="F15" s="749">
        <f>IFERROR(VLOOKUP(B14,B17:E31,4,FALSE),"")</f>
        <v>0</v>
      </c>
      <c r="G15" s="699">
        <f>IFERROR(VLOOKUP(B14,B17:G31,6,FALSE),"")</f>
        <v>0</v>
      </c>
      <c r="H15" s="697">
        <f>IFERROR(VLOOKUP(B14,B17:I31,7,FALSE),"")</f>
        <v>0</v>
      </c>
      <c r="I15" s="643">
        <f>IFERROR(VLOOKUP(B14,B17:I31,8,FALSE),"")</f>
        <v>0</v>
      </c>
      <c r="O15" s="223"/>
      <c r="P15" s="245"/>
      <c r="Q15" s="223"/>
      <c r="R15" s="223"/>
      <c r="S15" s="223"/>
      <c r="T15" s="223"/>
    </row>
    <row r="16" spans="2:20" ht="12.95" customHeight="1" thickTop="1" thickBot="1" x14ac:dyDescent="0.3">
      <c r="O16" s="223"/>
      <c r="P16" s="223"/>
      <c r="Q16" s="223"/>
      <c r="R16" s="223"/>
      <c r="S16" s="228"/>
      <c r="T16" s="228"/>
    </row>
    <row r="17" spans="2:20" ht="15" thickTop="1" x14ac:dyDescent="0.25">
      <c r="B17" s="228"/>
      <c r="C17" s="659" t="s">
        <v>14</v>
      </c>
      <c r="D17" s="660" t="s">
        <v>15</v>
      </c>
      <c r="E17" s="661" t="s">
        <v>16</v>
      </c>
      <c r="F17" s="881" t="s">
        <v>20</v>
      </c>
      <c r="G17" s="882"/>
      <c r="H17" s="883" t="s">
        <v>62</v>
      </c>
      <c r="I17" s="891" t="s">
        <v>65</v>
      </c>
      <c r="M17" s="244"/>
      <c r="N17" s="245"/>
      <c r="O17" s="223"/>
      <c r="P17" s="232"/>
      <c r="Q17" s="223"/>
      <c r="R17" s="231"/>
      <c r="S17" s="232"/>
      <c r="T17" s="232"/>
    </row>
    <row r="18" spans="2:20" ht="15" thickBot="1" x14ac:dyDescent="0.3">
      <c r="B18" s="252"/>
      <c r="C18" s="662" t="s">
        <v>59</v>
      </c>
      <c r="D18" s="663" t="s">
        <v>59</v>
      </c>
      <c r="E18" s="664" t="s">
        <v>59</v>
      </c>
      <c r="F18" s="665" t="s">
        <v>17</v>
      </c>
      <c r="G18" s="702" t="s">
        <v>59</v>
      </c>
      <c r="H18" s="884"/>
      <c r="I18" s="892"/>
      <c r="M18" s="244"/>
      <c r="N18" s="245"/>
      <c r="O18" s="223"/>
      <c r="P18" s="226"/>
      <c r="Q18" s="223"/>
      <c r="R18" s="231"/>
      <c r="S18" s="226"/>
      <c r="T18" s="226"/>
    </row>
    <row r="19" spans="2:20" ht="14.85" customHeight="1" thickBot="1" x14ac:dyDescent="0.3">
      <c r="B19" s="260"/>
      <c r="C19" s="667">
        <f ca="1">SUM(OFFSET(C20,0,0,MATCH(B14,B20:B31,0)))</f>
        <v>0</v>
      </c>
      <c r="D19" s="668">
        <f ca="1">SUM(OFFSET(D20,0,0,MATCH(B14,B20:B31,0)))</f>
        <v>0</v>
      </c>
      <c r="E19" s="669">
        <f ca="1">SUM(OFFSET(E20,0,0,MATCH(B14,B20:B31,0)))</f>
        <v>0</v>
      </c>
      <c r="F19" s="701" t="e">
        <f ca="1">SUM((E19-D19)/D19)</f>
        <v>#DIV/0!</v>
      </c>
      <c r="G19" s="739">
        <f ca="1">SUM(OFFSET(G20,0,0,MATCH(B14,B20:B31,0)))</f>
        <v>0</v>
      </c>
      <c r="H19" s="644">
        <f ca="1">SUM(OFFSET(H20,0,0,MATCH(B14,B20:B31,0)))</f>
        <v>0</v>
      </c>
      <c r="I19" s="740">
        <f ca="1">SUM(OFFSET(I20,0,0,MATCH(B14,B20:B31,0)))</f>
        <v>0</v>
      </c>
    </row>
    <row r="20" spans="2:20" ht="14.85" customHeight="1" x14ac:dyDescent="0.25">
      <c r="B20" s="682" t="s">
        <v>6</v>
      </c>
      <c r="C20" s="688">
        <f>'Saisie CA'!Q33</f>
        <v>0</v>
      </c>
      <c r="D20" s="677">
        <f>'Saisie CA'!R33</f>
        <v>0</v>
      </c>
      <c r="E20" s="678">
        <f>'Saisie CA'!S33</f>
        <v>0</v>
      </c>
      <c r="F20" s="238" t="e">
        <f t="shared" ref="F20:F31" si="0">SUM((E20-D20)/D20)</f>
        <v>#DIV/0!</v>
      </c>
      <c r="G20" s="689">
        <f t="shared" ref="G20:G31" si="1">SUM(E20-D20)</f>
        <v>0</v>
      </c>
      <c r="H20" s="685">
        <f t="shared" ref="H20:H31" si="2">SUM(C20+D20)/2</f>
        <v>0</v>
      </c>
      <c r="I20" s="753">
        <f t="shared" ref="I20:I28" si="3">SUM(E20-H20)</f>
        <v>0</v>
      </c>
      <c r="O20" s="223"/>
      <c r="P20" s="226"/>
      <c r="Q20" s="223"/>
      <c r="R20" s="225"/>
      <c r="S20" s="226"/>
      <c r="T20" s="226"/>
    </row>
    <row r="21" spans="2:20" ht="14.85" customHeight="1" x14ac:dyDescent="0.25">
      <c r="B21" s="683" t="s">
        <v>7</v>
      </c>
      <c r="C21" s="690">
        <f>'Saisie CA'!Q34</f>
        <v>0</v>
      </c>
      <c r="D21" s="680">
        <f>'Saisie CA'!R34</f>
        <v>0</v>
      </c>
      <c r="E21" s="681">
        <f>'Saisie CA'!S34</f>
        <v>0</v>
      </c>
      <c r="F21" s="239" t="e">
        <f t="shared" si="0"/>
        <v>#DIV/0!</v>
      </c>
      <c r="G21" s="691">
        <f>SUM(E21-D21)</f>
        <v>0</v>
      </c>
      <c r="H21" s="686">
        <f t="shared" si="2"/>
        <v>0</v>
      </c>
      <c r="I21" s="754">
        <f t="shared" si="3"/>
        <v>0</v>
      </c>
      <c r="O21" s="223"/>
      <c r="P21" s="229"/>
      <c r="Q21" s="223"/>
      <c r="R21" s="228"/>
      <c r="S21" s="229"/>
      <c r="T21" s="229"/>
    </row>
    <row r="22" spans="2:20" ht="14.85" customHeight="1" x14ac:dyDescent="0.25">
      <c r="B22" s="683" t="s">
        <v>8</v>
      </c>
      <c r="C22" s="690">
        <f>'Saisie CA'!Q35</f>
        <v>0</v>
      </c>
      <c r="D22" s="680">
        <f>'Saisie CA'!R35</f>
        <v>0</v>
      </c>
      <c r="E22" s="681">
        <f>'Saisie CA'!S35</f>
        <v>0</v>
      </c>
      <c r="F22" s="239" t="e">
        <f t="shared" si="0"/>
        <v>#DIV/0!</v>
      </c>
      <c r="G22" s="691">
        <f t="shared" si="1"/>
        <v>0</v>
      </c>
      <c r="H22" s="686">
        <f t="shared" si="2"/>
        <v>0</v>
      </c>
      <c r="I22" s="754">
        <f t="shared" si="3"/>
        <v>0</v>
      </c>
      <c r="O22" s="223"/>
      <c r="P22" s="223"/>
      <c r="Q22" s="223"/>
      <c r="R22" s="223"/>
      <c r="S22" s="223"/>
      <c r="T22" s="223"/>
    </row>
    <row r="23" spans="2:20" ht="14.85" customHeight="1" x14ac:dyDescent="0.25">
      <c r="B23" s="683" t="s">
        <v>9</v>
      </c>
      <c r="C23" s="690">
        <f>'Saisie CA'!Q36</f>
        <v>0</v>
      </c>
      <c r="D23" s="680">
        <f>'Saisie CA'!R36</f>
        <v>0</v>
      </c>
      <c r="E23" s="681">
        <f>'Saisie CA'!S36</f>
        <v>0</v>
      </c>
      <c r="F23" s="239" t="e">
        <f t="shared" si="0"/>
        <v>#DIV/0!</v>
      </c>
      <c r="G23" s="691">
        <f t="shared" si="1"/>
        <v>0</v>
      </c>
      <c r="H23" s="686">
        <f t="shared" si="2"/>
        <v>0</v>
      </c>
      <c r="I23" s="754">
        <f t="shared" si="3"/>
        <v>0</v>
      </c>
      <c r="O23" s="223"/>
      <c r="P23" s="229"/>
      <c r="Q23" s="223"/>
      <c r="R23" s="223"/>
      <c r="S23" s="228"/>
      <c r="T23" s="228"/>
    </row>
    <row r="24" spans="2:20" ht="14.85" customHeight="1" x14ac:dyDescent="0.25">
      <c r="B24" s="683" t="s">
        <v>10</v>
      </c>
      <c r="C24" s="690">
        <f>'Saisie CA'!Q37</f>
        <v>0</v>
      </c>
      <c r="D24" s="680">
        <f>'Saisie CA'!R37</f>
        <v>0</v>
      </c>
      <c r="E24" s="681">
        <f>'Saisie CA'!S37</f>
        <v>0</v>
      </c>
      <c r="F24" s="239" t="e">
        <f t="shared" si="0"/>
        <v>#DIV/0!</v>
      </c>
      <c r="G24" s="691">
        <f t="shared" si="1"/>
        <v>0</v>
      </c>
      <c r="H24" s="686">
        <f t="shared" si="2"/>
        <v>0</v>
      </c>
      <c r="I24" s="754">
        <f t="shared" si="3"/>
        <v>0</v>
      </c>
      <c r="O24" s="223"/>
      <c r="P24" s="229"/>
      <c r="Q24" s="223"/>
      <c r="R24" s="231"/>
      <c r="S24" s="232"/>
      <c r="T24" s="232"/>
    </row>
    <row r="25" spans="2:20" ht="14.85" customHeight="1" x14ac:dyDescent="0.25">
      <c r="B25" s="683" t="s">
        <v>11</v>
      </c>
      <c r="C25" s="690">
        <f>'Saisie CA'!Q38</f>
        <v>0</v>
      </c>
      <c r="D25" s="680">
        <f>'Saisie CA'!R38</f>
        <v>0</v>
      </c>
      <c r="E25" s="681">
        <f>'Saisie CA'!S38</f>
        <v>0</v>
      </c>
      <c r="F25" s="239" t="e">
        <f t="shared" si="0"/>
        <v>#DIV/0!</v>
      </c>
      <c r="G25" s="691">
        <f t="shared" si="1"/>
        <v>0</v>
      </c>
      <c r="H25" s="686">
        <f t="shared" si="2"/>
        <v>0</v>
      </c>
      <c r="I25" s="754">
        <f t="shared" si="3"/>
        <v>0</v>
      </c>
      <c r="O25" s="223"/>
      <c r="P25" s="229"/>
      <c r="Q25" s="223"/>
      <c r="R25" s="231"/>
      <c r="S25" s="226"/>
      <c r="T25" s="226"/>
    </row>
    <row r="26" spans="2:20" ht="14.85" customHeight="1" x14ac:dyDescent="0.25">
      <c r="B26" s="683" t="s">
        <v>12</v>
      </c>
      <c r="C26" s="690">
        <f>'Saisie CA'!Q39</f>
        <v>0</v>
      </c>
      <c r="D26" s="680">
        <f>'Saisie CA'!R39</f>
        <v>0</v>
      </c>
      <c r="E26" s="681">
        <f>'Saisie CA'!S39</f>
        <v>0</v>
      </c>
      <c r="F26" s="239" t="e">
        <f t="shared" si="0"/>
        <v>#DIV/0!</v>
      </c>
      <c r="G26" s="691">
        <f t="shared" si="1"/>
        <v>0</v>
      </c>
      <c r="H26" s="686">
        <f t="shared" si="2"/>
        <v>0</v>
      </c>
      <c r="I26" s="754">
        <f t="shared" si="3"/>
        <v>0</v>
      </c>
      <c r="O26" s="223"/>
      <c r="P26" s="229"/>
      <c r="Q26" s="223"/>
      <c r="R26" s="225"/>
      <c r="S26" s="226"/>
      <c r="T26" s="226"/>
    </row>
    <row r="27" spans="2:20" ht="14.85" customHeight="1" x14ac:dyDescent="0.25">
      <c r="B27" s="683" t="s">
        <v>13</v>
      </c>
      <c r="C27" s="690">
        <f>'Saisie CA'!Q40</f>
        <v>0</v>
      </c>
      <c r="D27" s="680">
        <f>'Saisie CA'!R40</f>
        <v>0</v>
      </c>
      <c r="E27" s="681">
        <f>'Saisie CA'!S40</f>
        <v>0</v>
      </c>
      <c r="F27" s="239" t="e">
        <f t="shared" si="0"/>
        <v>#DIV/0!</v>
      </c>
      <c r="G27" s="691">
        <f t="shared" si="1"/>
        <v>0</v>
      </c>
      <c r="H27" s="686">
        <f t="shared" si="2"/>
        <v>0</v>
      </c>
      <c r="I27" s="754">
        <f t="shared" si="3"/>
        <v>0</v>
      </c>
      <c r="O27" s="223"/>
      <c r="P27" s="223"/>
      <c r="Q27" s="223"/>
      <c r="R27" s="228"/>
      <c r="S27" s="229"/>
      <c r="T27" s="229"/>
    </row>
    <row r="28" spans="2:20" ht="14.85" customHeight="1" x14ac:dyDescent="0.25">
      <c r="B28" s="683" t="s">
        <v>2</v>
      </c>
      <c r="C28" s="690">
        <f>'Saisie CA'!Q41</f>
        <v>0</v>
      </c>
      <c r="D28" s="680">
        <f>'Saisie CA'!R41</f>
        <v>0</v>
      </c>
      <c r="E28" s="681">
        <f>'Saisie CA'!S41</f>
        <v>0</v>
      </c>
      <c r="F28" s="239" t="e">
        <f t="shared" si="0"/>
        <v>#DIV/0!</v>
      </c>
      <c r="G28" s="691">
        <f t="shared" si="1"/>
        <v>0</v>
      </c>
      <c r="H28" s="686">
        <f t="shared" si="2"/>
        <v>0</v>
      </c>
      <c r="I28" s="754">
        <f t="shared" si="3"/>
        <v>0</v>
      </c>
      <c r="R28" s="253"/>
    </row>
    <row r="29" spans="2:20" ht="14.85" customHeight="1" x14ac:dyDescent="0.25">
      <c r="B29" s="683" t="s">
        <v>3</v>
      </c>
      <c r="C29" s="690">
        <f>'Saisie CA'!Q42</f>
        <v>0</v>
      </c>
      <c r="D29" s="680">
        <f>'Saisie CA'!R42</f>
        <v>0</v>
      </c>
      <c r="E29" s="681">
        <f>'Saisie CA'!S42</f>
        <v>0</v>
      </c>
      <c r="F29" s="239" t="e">
        <f t="shared" si="0"/>
        <v>#DIV/0!</v>
      </c>
      <c r="G29" s="691">
        <f t="shared" si="1"/>
        <v>0</v>
      </c>
      <c r="H29" s="686">
        <f t="shared" si="2"/>
        <v>0</v>
      </c>
      <c r="I29" s="754">
        <f>SUM(E29-H29)</f>
        <v>0</v>
      </c>
      <c r="R29" s="253"/>
    </row>
    <row r="30" spans="2:20" ht="14.85" customHeight="1" x14ac:dyDescent="0.25">
      <c r="B30" s="683" t="s">
        <v>4</v>
      </c>
      <c r="C30" s="690">
        <f>'Saisie CA'!Q43</f>
        <v>0</v>
      </c>
      <c r="D30" s="680">
        <f>'Saisie CA'!R43</f>
        <v>0</v>
      </c>
      <c r="E30" s="681">
        <f>'Saisie CA'!S43</f>
        <v>0</v>
      </c>
      <c r="F30" s="239" t="e">
        <f t="shared" si="0"/>
        <v>#DIV/0!</v>
      </c>
      <c r="G30" s="691">
        <f t="shared" si="1"/>
        <v>0</v>
      </c>
      <c r="H30" s="686">
        <f t="shared" si="2"/>
        <v>0</v>
      </c>
      <c r="I30" s="754">
        <f>SUM(E30-H30)</f>
        <v>0</v>
      </c>
    </row>
    <row r="31" spans="2:20" ht="14.85" customHeight="1" thickBot="1" x14ac:dyDescent="0.3">
      <c r="B31" s="684" t="s">
        <v>5</v>
      </c>
      <c r="C31" s="692">
        <f>'Saisie CA'!Q44</f>
        <v>0</v>
      </c>
      <c r="D31" s="693">
        <f>'Saisie CA'!R44</f>
        <v>0</v>
      </c>
      <c r="E31" s="694">
        <f>'Saisie CA'!S44</f>
        <v>0</v>
      </c>
      <c r="F31" s="695" t="e">
        <f t="shared" si="0"/>
        <v>#DIV/0!</v>
      </c>
      <c r="G31" s="696">
        <f t="shared" si="1"/>
        <v>0</v>
      </c>
      <c r="H31" s="687">
        <f t="shared" si="2"/>
        <v>0</v>
      </c>
      <c r="I31" s="755">
        <f>SUM(E31-H31)</f>
        <v>0</v>
      </c>
    </row>
  </sheetData>
  <mergeCells count="5">
    <mergeCell ref="F17:G17"/>
    <mergeCell ref="H17:H18"/>
    <mergeCell ref="I17:I18"/>
    <mergeCell ref="D13:I13"/>
    <mergeCell ref="D9:I9"/>
  </mergeCells>
  <conditionalFormatting sqref="Q6">
    <cfRule type="cellIs" dxfId="324" priority="15" operator="lessThan">
      <formula>0</formula>
    </cfRule>
    <cfRule type="cellIs" dxfId="323" priority="16" operator="lessThan">
      <formula>0</formula>
    </cfRule>
    <cfRule type="cellIs" dxfId="322" priority="17" operator="lessThan">
      <formula>0</formula>
    </cfRule>
  </conditionalFormatting>
  <conditionalFormatting sqref="F19:G31">
    <cfRule type="cellIs" dxfId="321" priority="11" operator="lessThan">
      <formula>0</formula>
    </cfRule>
    <cfRule type="cellIs" dxfId="320" priority="12" operator="greaterThan">
      <formula>0</formula>
    </cfRule>
  </conditionalFormatting>
  <conditionalFormatting sqref="I11">
    <cfRule type="cellIs" dxfId="319" priority="7" operator="lessThan">
      <formula>0</formula>
    </cfRule>
    <cfRule type="cellIs" dxfId="318" priority="8" operator="greaterThan">
      <formula>0</formula>
    </cfRule>
  </conditionalFormatting>
  <conditionalFormatting sqref="I15">
    <cfRule type="cellIs" dxfId="317" priority="5" operator="lessThan">
      <formula>0</formula>
    </cfRule>
    <cfRule type="cellIs" dxfId="316" priority="6" operator="greaterThan">
      <formula>0</formula>
    </cfRule>
  </conditionalFormatting>
  <conditionalFormatting sqref="I19">
    <cfRule type="cellIs" dxfId="315" priority="9" operator="lessThan">
      <formula>0</formula>
    </cfRule>
    <cfRule type="cellIs" dxfId="314" priority="10" operator="greaterThan">
      <formula>0</formula>
    </cfRule>
  </conditionalFormatting>
  <conditionalFormatting sqref="I20:I31">
    <cfRule type="cellIs" dxfId="313" priority="3" operator="lessThan">
      <formula>0</formula>
    </cfRule>
    <cfRule type="cellIs" dxfId="312" priority="4" operator="greaterThan">
      <formula>0</formula>
    </cfRule>
  </conditionalFormatting>
  <conditionalFormatting sqref="G15 G11">
    <cfRule type="cellIs" dxfId="311" priority="1" operator="lessThan">
      <formula>0</formula>
    </cfRule>
    <cfRule type="cellIs" dxfId="310" priority="2" operator="greaterThan">
      <formula>0</formula>
    </cfRule>
  </conditionalFormatting>
  <dataValidations count="1">
    <dataValidation type="list" allowBlank="1" showInputMessage="1" showErrorMessage="1" sqref="B14">
      <formula1>$B$20:$B$31</formula1>
    </dataValidation>
  </dataValidations>
  <printOptions horizontalCentered="1"/>
  <pageMargins left="0" right="0" top="0" bottom="0" header="0" footer="0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B1:V31"/>
  <sheetViews>
    <sheetView workbookViewId="0">
      <pane ySplit="7" topLeftCell="A14" activePane="bottomLeft" state="frozen"/>
      <selection pane="bottomLeft"/>
    </sheetView>
  </sheetViews>
  <sheetFormatPr baseColWidth="10" defaultRowHeight="15" x14ac:dyDescent="0.25"/>
  <cols>
    <col min="1" max="1" width="5.7109375" style="36" customWidth="1"/>
    <col min="2" max="2" width="12.7109375" style="204" customWidth="1"/>
    <col min="3" max="3" width="14.7109375" style="205" customWidth="1"/>
    <col min="4" max="4" width="14.7109375" style="206" customWidth="1"/>
    <col min="5" max="6" width="14.7109375" style="36" customWidth="1"/>
    <col min="7" max="7" width="16.7109375" style="36" customWidth="1"/>
    <col min="8" max="9" width="22.7109375" style="36" customWidth="1"/>
    <col min="10" max="10" width="15.28515625" style="36" customWidth="1"/>
    <col min="11" max="11" width="5.7109375" style="207" customWidth="1"/>
    <col min="12" max="14" width="5.7109375" style="36" customWidth="1"/>
    <col min="15" max="15" width="8.28515625" style="123" bestFit="1" customWidth="1"/>
    <col min="16" max="16" width="13.7109375" style="123" bestFit="1" customWidth="1"/>
    <col min="17" max="17" width="14.42578125" style="123" bestFit="1" customWidth="1"/>
    <col min="18" max="18" width="8.85546875" style="123" bestFit="1" customWidth="1"/>
    <col min="19" max="19" width="7.85546875" style="123" bestFit="1" customWidth="1"/>
    <col min="20" max="20" width="6.7109375" style="123" bestFit="1" customWidth="1"/>
    <col min="21" max="21" width="7.28515625" style="123" bestFit="1" customWidth="1"/>
    <col min="22" max="22" width="6.7109375" style="123" bestFit="1" customWidth="1"/>
    <col min="23" max="16384" width="11.42578125" style="36"/>
  </cols>
  <sheetData>
    <row r="1" spans="2:22" ht="15" customHeight="1" x14ac:dyDescent="0.25"/>
    <row r="2" spans="2:22" ht="15" customHeight="1" x14ac:dyDescent="0.25">
      <c r="B2" s="36"/>
      <c r="P2" s="208"/>
      <c r="Q2" s="209"/>
    </row>
    <row r="3" spans="2:22" ht="15.75" customHeight="1" x14ac:dyDescent="0.25">
      <c r="P3" s="208"/>
      <c r="Q3" s="210"/>
    </row>
    <row r="5" spans="2:22" x14ac:dyDescent="0.25">
      <c r="P5" s="32"/>
      <c r="Q5" s="880"/>
      <c r="R5" s="880"/>
      <c r="S5" s="32"/>
    </row>
    <row r="6" spans="2:22" x14ac:dyDescent="0.25">
      <c r="P6" s="116"/>
      <c r="Q6" s="116"/>
      <c r="R6" s="116"/>
      <c r="S6" s="211"/>
    </row>
    <row r="7" spans="2:22" ht="15" customHeight="1" x14ac:dyDescent="0.25">
      <c r="O7" s="32"/>
      <c r="P7" s="212"/>
      <c r="Q7" s="213"/>
      <c r="S7" s="211"/>
    </row>
    <row r="8" spans="2:22" ht="12.95" customHeight="1" thickBot="1" x14ac:dyDescent="0.3">
      <c r="P8" s="116"/>
      <c r="Q8" s="116"/>
      <c r="R8" s="116"/>
      <c r="S8" s="211"/>
    </row>
    <row r="9" spans="2:22" ht="15" customHeight="1" thickBot="1" x14ac:dyDescent="0.3">
      <c r="D9" s="895" t="s">
        <v>19</v>
      </c>
      <c r="E9" s="889"/>
      <c r="F9" s="889"/>
      <c r="G9" s="889"/>
      <c r="H9" s="889"/>
      <c r="I9" s="890"/>
      <c r="J9" s="25"/>
    </row>
    <row r="10" spans="2:22" ht="15" customHeight="1" thickBot="1" x14ac:dyDescent="0.3">
      <c r="B10" s="236" t="s">
        <v>25</v>
      </c>
      <c r="D10" s="717" t="s">
        <v>14</v>
      </c>
      <c r="E10" s="707" t="s">
        <v>15</v>
      </c>
      <c r="F10" s="708" t="s">
        <v>16</v>
      </c>
      <c r="G10" s="708" t="s">
        <v>109</v>
      </c>
      <c r="H10" s="715" t="s">
        <v>61</v>
      </c>
      <c r="I10" s="716" t="s">
        <v>65</v>
      </c>
      <c r="L10" s="24"/>
    </row>
    <row r="11" spans="2:22" ht="15" customHeight="1" thickBot="1" x14ac:dyDescent="0.3">
      <c r="D11" s="746">
        <f ca="1">C19</f>
        <v>0</v>
      </c>
      <c r="E11" s="747">
        <f ca="1">D19</f>
        <v>0</v>
      </c>
      <c r="F11" s="748">
        <f ca="1">E19</f>
        <v>0</v>
      </c>
      <c r="G11" s="718">
        <f ca="1">G19</f>
        <v>0</v>
      </c>
      <c r="H11" s="721">
        <f ca="1">H19</f>
        <v>0</v>
      </c>
      <c r="I11" s="711">
        <f ca="1">I19</f>
        <v>0</v>
      </c>
      <c r="K11" s="214"/>
    </row>
    <row r="12" spans="2:22" ht="12.95" customHeight="1" thickTop="1" thickBot="1" x14ac:dyDescent="0.3">
      <c r="B12" s="215"/>
      <c r="E12" s="216"/>
      <c r="F12" s="82"/>
      <c r="G12" s="24"/>
      <c r="H12" s="24"/>
    </row>
    <row r="13" spans="2:22" ht="15" customHeight="1" thickBot="1" x14ac:dyDescent="0.3">
      <c r="B13" s="236" t="s">
        <v>18</v>
      </c>
      <c r="D13" s="887" t="s">
        <v>21</v>
      </c>
      <c r="E13" s="888"/>
      <c r="F13" s="888"/>
      <c r="G13" s="888"/>
      <c r="H13" s="889"/>
      <c r="I13" s="890"/>
      <c r="J13" s="25"/>
      <c r="Q13" s="32"/>
      <c r="R13" s="32"/>
    </row>
    <row r="14" spans="2:22" ht="15" customHeight="1" thickTop="1" thickBot="1" x14ac:dyDescent="0.3">
      <c r="B14" s="237" t="s">
        <v>10</v>
      </c>
      <c r="D14" s="704" t="s">
        <v>14</v>
      </c>
      <c r="E14" s="705" t="s">
        <v>15</v>
      </c>
      <c r="F14" s="709" t="s">
        <v>16</v>
      </c>
      <c r="G14" s="706" t="s">
        <v>109</v>
      </c>
      <c r="H14" s="720" t="s">
        <v>61</v>
      </c>
      <c r="I14" s="716" t="s">
        <v>65</v>
      </c>
      <c r="P14" s="32"/>
      <c r="Q14" s="116"/>
      <c r="R14" s="116"/>
    </row>
    <row r="15" spans="2:22" ht="15.75" customHeight="1" thickBot="1" x14ac:dyDescent="0.3">
      <c r="B15" s="215"/>
      <c r="D15" s="746">
        <f>IFERROR(VLOOKUP(B14,B17:E31,2,FALSE),"")</f>
        <v>0</v>
      </c>
      <c r="E15" s="749">
        <f>IFERROR(VLOOKUP(B14,B17:E31,3,FALSE),"")</f>
        <v>0</v>
      </c>
      <c r="F15" s="748">
        <f>IFERROR(VLOOKUP(B14,B17:E31,4,FALSE),"")</f>
        <v>0</v>
      </c>
      <c r="G15" s="700">
        <f>IFERROR(VLOOKUP(B14,B17:G31,6,FALSE),"")</f>
        <v>0</v>
      </c>
      <c r="H15" s="697">
        <f>IFERROR(VLOOKUP(B14,B17:I31,7,FALSE),"")</f>
        <v>0</v>
      </c>
      <c r="I15" s="712">
        <f>IFERROR(VLOOKUP(B14,B17:I31,8,FALSE),"")</f>
        <v>0</v>
      </c>
      <c r="P15" s="32"/>
      <c r="Q15" s="116"/>
      <c r="R15" s="116"/>
    </row>
    <row r="16" spans="2:22" ht="12.95" customHeight="1" thickTop="1" thickBot="1" x14ac:dyDescent="0.3">
      <c r="P16" s="217"/>
      <c r="U16" s="73"/>
      <c r="V16" s="73"/>
    </row>
    <row r="17" spans="2:22" ht="15" customHeight="1" thickTop="1" x14ac:dyDescent="0.25">
      <c r="B17" s="73"/>
      <c r="C17" s="659" t="s">
        <v>14</v>
      </c>
      <c r="D17" s="660" t="s">
        <v>15</v>
      </c>
      <c r="E17" s="661" t="s">
        <v>16</v>
      </c>
      <c r="F17" s="881" t="s">
        <v>20</v>
      </c>
      <c r="G17" s="882"/>
      <c r="H17" s="893" t="s">
        <v>62</v>
      </c>
      <c r="I17" s="885" t="s">
        <v>65</v>
      </c>
      <c r="M17" s="32"/>
      <c r="N17" s="116"/>
      <c r="P17" s="218"/>
      <c r="Q17" s="219"/>
      <c r="R17" s="219"/>
      <c r="T17" s="218"/>
      <c r="U17" s="219"/>
      <c r="V17" s="219"/>
    </row>
    <row r="18" spans="2:22" ht="15" customHeight="1" thickBot="1" x14ac:dyDescent="0.3">
      <c r="B18" s="9"/>
      <c r="C18" s="662" t="s">
        <v>59</v>
      </c>
      <c r="D18" s="663" t="s">
        <v>59</v>
      </c>
      <c r="E18" s="664" t="s">
        <v>59</v>
      </c>
      <c r="F18" s="665" t="s">
        <v>17</v>
      </c>
      <c r="G18" s="666" t="s">
        <v>59</v>
      </c>
      <c r="H18" s="894"/>
      <c r="I18" s="886"/>
      <c r="M18" s="32"/>
      <c r="N18" s="116"/>
      <c r="P18" s="218"/>
      <c r="Q18" s="220"/>
      <c r="R18" s="220"/>
      <c r="T18" s="218"/>
      <c r="U18" s="220"/>
      <c r="V18" s="220"/>
    </row>
    <row r="19" spans="2:22" s="221" customFormat="1" ht="15" customHeight="1" thickBot="1" x14ac:dyDescent="0.3">
      <c r="B19" s="260"/>
      <c r="C19" s="667">
        <f ca="1">SUM(OFFSET(C20,0,0,MATCH(B14,B20:B31,0)))</f>
        <v>0</v>
      </c>
      <c r="D19" s="668">
        <f ca="1">SUM(OFFSET(D20,0,0,MATCH(B14,B20:B31,0)))</f>
        <v>0</v>
      </c>
      <c r="E19" s="669">
        <f ca="1">SUM(OFFSET(E20,0,0,MATCH(B14,B20:B31,0)))</f>
        <v>0</v>
      </c>
      <c r="F19" s="701" t="e">
        <f t="shared" ref="F19:F31" ca="1" si="0">SUM((E19-D19)/D19)</f>
        <v>#DIV/0!</v>
      </c>
      <c r="G19" s="640">
        <f ca="1">SUM(OFFSET(G20,0,0,MATCH(B14,B20:B31,0)))</f>
        <v>0</v>
      </c>
      <c r="H19" s="641">
        <f ca="1">SUM(OFFSET(H20,0,0,MATCH(B14,B20:B31,0)))</f>
        <v>0</v>
      </c>
      <c r="I19" s="740">
        <f ca="1">SUM(OFFSET(I20,0,0,MATCH(B14,B20:B31,0)))</f>
        <v>0</v>
      </c>
      <c r="K19" s="222"/>
      <c r="O19" s="223"/>
      <c r="P19" s="223"/>
      <c r="Q19" s="223"/>
      <c r="R19" s="223"/>
      <c r="S19" s="223"/>
      <c r="T19" s="223"/>
      <c r="U19" s="223"/>
      <c r="V19" s="223"/>
    </row>
    <row r="20" spans="2:22" s="221" customFormat="1" ht="14.25" customHeight="1" x14ac:dyDescent="0.25">
      <c r="B20" s="224" t="s">
        <v>6</v>
      </c>
      <c r="C20" s="688">
        <f>'Saisie CA'!L33</f>
        <v>0</v>
      </c>
      <c r="D20" s="677">
        <f>'Saisie CA'!M33</f>
        <v>0</v>
      </c>
      <c r="E20" s="678">
        <f>'Saisie CA'!N33</f>
        <v>0</v>
      </c>
      <c r="F20" s="238" t="e">
        <f t="shared" si="0"/>
        <v>#DIV/0!</v>
      </c>
      <c r="G20" s="689">
        <f t="shared" ref="G20:G31" si="1">SUM(E20-D20)</f>
        <v>0</v>
      </c>
      <c r="H20" s="783">
        <f>SUM(C20+D20)/2</f>
        <v>0</v>
      </c>
      <c r="I20" s="784">
        <f t="shared" ref="I20:I31" si="2">SUM(E20-H20)</f>
        <v>0</v>
      </c>
      <c r="K20" s="222"/>
      <c r="O20" s="223"/>
      <c r="P20" s="225"/>
      <c r="Q20" s="226"/>
      <c r="R20" s="226"/>
      <c r="S20" s="223"/>
      <c r="T20" s="225"/>
      <c r="U20" s="226"/>
      <c r="V20" s="226"/>
    </row>
    <row r="21" spans="2:22" s="221" customFormat="1" ht="14.25" x14ac:dyDescent="0.25">
      <c r="B21" s="227" t="s">
        <v>7</v>
      </c>
      <c r="C21" s="690">
        <f>'Saisie CA'!L34</f>
        <v>0</v>
      </c>
      <c r="D21" s="680">
        <f>'Saisie CA'!M34</f>
        <v>0</v>
      </c>
      <c r="E21" s="681">
        <f>'Saisie CA'!N34</f>
        <v>0</v>
      </c>
      <c r="F21" s="239" t="e">
        <f t="shared" si="0"/>
        <v>#DIV/0!</v>
      </c>
      <c r="G21" s="691">
        <f t="shared" si="1"/>
        <v>0</v>
      </c>
      <c r="H21" s="785">
        <f t="shared" ref="H21:H31" si="3">SUM(C21+D21)/2</f>
        <v>0</v>
      </c>
      <c r="I21" s="754">
        <f t="shared" si="2"/>
        <v>0</v>
      </c>
      <c r="K21" s="222"/>
      <c r="O21" s="223"/>
      <c r="P21" s="228"/>
      <c r="Q21" s="229"/>
      <c r="R21" s="229"/>
      <c r="S21" s="223"/>
      <c r="T21" s="228"/>
      <c r="U21" s="229"/>
      <c r="V21" s="229"/>
    </row>
    <row r="22" spans="2:22" s="221" customFormat="1" ht="14.25" x14ac:dyDescent="0.25">
      <c r="B22" s="227" t="s">
        <v>8</v>
      </c>
      <c r="C22" s="690">
        <f>'Saisie CA'!L35</f>
        <v>0</v>
      </c>
      <c r="D22" s="680">
        <f>'Saisie CA'!M35</f>
        <v>0</v>
      </c>
      <c r="E22" s="681">
        <f>'Saisie CA'!N35</f>
        <v>0</v>
      </c>
      <c r="F22" s="239" t="e">
        <f t="shared" si="0"/>
        <v>#DIV/0!</v>
      </c>
      <c r="G22" s="691">
        <f t="shared" si="1"/>
        <v>0</v>
      </c>
      <c r="H22" s="785">
        <f t="shared" si="3"/>
        <v>0</v>
      </c>
      <c r="I22" s="754">
        <f t="shared" si="2"/>
        <v>0</v>
      </c>
      <c r="K22" s="222"/>
      <c r="O22" s="223"/>
      <c r="P22" s="228"/>
      <c r="Q22" s="230"/>
      <c r="R22" s="223"/>
      <c r="S22" s="223"/>
      <c r="T22" s="223"/>
      <c r="U22" s="223"/>
      <c r="V22" s="223"/>
    </row>
    <row r="23" spans="2:22" s="221" customFormat="1" ht="14.25" x14ac:dyDescent="0.25">
      <c r="B23" s="227" t="s">
        <v>9</v>
      </c>
      <c r="C23" s="690">
        <f>'Saisie CA'!L36</f>
        <v>0</v>
      </c>
      <c r="D23" s="680">
        <f>'Saisie CA'!M36</f>
        <v>0</v>
      </c>
      <c r="E23" s="681">
        <f>'Saisie CA'!N36</f>
        <v>0</v>
      </c>
      <c r="F23" s="239" t="e">
        <f t="shared" si="0"/>
        <v>#DIV/0!</v>
      </c>
      <c r="G23" s="691">
        <f t="shared" si="1"/>
        <v>0</v>
      </c>
      <c r="H23" s="785">
        <f t="shared" si="3"/>
        <v>0</v>
      </c>
      <c r="I23" s="754">
        <f t="shared" si="2"/>
        <v>0</v>
      </c>
      <c r="K23" s="222"/>
      <c r="O23" s="223"/>
      <c r="P23" s="228"/>
      <c r="Q23" s="229"/>
      <c r="R23" s="229"/>
      <c r="S23" s="223"/>
      <c r="T23" s="223"/>
      <c r="U23" s="228"/>
      <c r="V23" s="228"/>
    </row>
    <row r="24" spans="2:22" s="221" customFormat="1" ht="14.25" x14ac:dyDescent="0.25">
      <c r="B24" s="227" t="s">
        <v>10</v>
      </c>
      <c r="C24" s="690">
        <f>'Saisie CA'!L37</f>
        <v>0</v>
      </c>
      <c r="D24" s="680">
        <f>'Saisie CA'!M37</f>
        <v>0</v>
      </c>
      <c r="E24" s="681">
        <f>'Saisie CA'!N37</f>
        <v>0</v>
      </c>
      <c r="F24" s="239" t="e">
        <f t="shared" si="0"/>
        <v>#DIV/0!</v>
      </c>
      <c r="G24" s="691">
        <f t="shared" si="1"/>
        <v>0</v>
      </c>
      <c r="H24" s="785">
        <f t="shared" si="3"/>
        <v>0</v>
      </c>
      <c r="I24" s="754">
        <f t="shared" si="2"/>
        <v>0</v>
      </c>
      <c r="K24" s="222"/>
      <c r="O24" s="223"/>
      <c r="P24" s="228"/>
      <c r="Q24" s="229"/>
      <c r="R24" s="229"/>
      <c r="S24" s="223"/>
      <c r="T24" s="231"/>
      <c r="U24" s="232"/>
      <c r="V24" s="232"/>
    </row>
    <row r="25" spans="2:22" s="221" customFormat="1" ht="14.25" x14ac:dyDescent="0.25">
      <c r="B25" s="227" t="s">
        <v>11</v>
      </c>
      <c r="C25" s="690">
        <f>'Saisie CA'!L38</f>
        <v>0</v>
      </c>
      <c r="D25" s="680">
        <f>'Saisie CA'!M38</f>
        <v>0</v>
      </c>
      <c r="E25" s="681">
        <f>'Saisie CA'!N38</f>
        <v>0</v>
      </c>
      <c r="F25" s="239" t="e">
        <f t="shared" si="0"/>
        <v>#DIV/0!</v>
      </c>
      <c r="G25" s="691">
        <f t="shared" si="1"/>
        <v>0</v>
      </c>
      <c r="H25" s="785">
        <f t="shared" si="3"/>
        <v>0</v>
      </c>
      <c r="I25" s="754">
        <f t="shared" si="2"/>
        <v>0</v>
      </c>
      <c r="K25" s="222"/>
      <c r="O25" s="223"/>
      <c r="P25" s="228"/>
      <c r="Q25" s="229"/>
      <c r="R25" s="229"/>
      <c r="S25" s="223"/>
      <c r="T25" s="231"/>
      <c r="U25" s="226"/>
      <c r="V25" s="226"/>
    </row>
    <row r="26" spans="2:22" s="221" customFormat="1" ht="14.25" x14ac:dyDescent="0.25">
      <c r="B26" s="227" t="s">
        <v>12</v>
      </c>
      <c r="C26" s="690">
        <f>'Saisie CA'!L39</f>
        <v>0</v>
      </c>
      <c r="D26" s="680">
        <f>'Saisie CA'!M39</f>
        <v>0</v>
      </c>
      <c r="E26" s="681">
        <f>'Saisie CA'!N39</f>
        <v>0</v>
      </c>
      <c r="F26" s="239" t="e">
        <f t="shared" si="0"/>
        <v>#DIV/0!</v>
      </c>
      <c r="G26" s="691">
        <f t="shared" si="1"/>
        <v>0</v>
      </c>
      <c r="H26" s="785">
        <f t="shared" si="3"/>
        <v>0</v>
      </c>
      <c r="I26" s="754">
        <f t="shared" si="2"/>
        <v>0</v>
      </c>
      <c r="K26" s="222"/>
      <c r="O26" s="223"/>
      <c r="P26" s="228"/>
      <c r="Q26" s="229"/>
      <c r="R26" s="229"/>
      <c r="S26" s="223"/>
      <c r="T26" s="225"/>
      <c r="U26" s="226"/>
      <c r="V26" s="226"/>
    </row>
    <row r="27" spans="2:22" s="221" customFormat="1" ht="14.25" x14ac:dyDescent="0.25">
      <c r="B27" s="227" t="s">
        <v>13</v>
      </c>
      <c r="C27" s="690">
        <f>'Saisie CA'!L40</f>
        <v>0</v>
      </c>
      <c r="D27" s="680">
        <f>'Saisie CA'!M40</f>
        <v>0</v>
      </c>
      <c r="E27" s="681">
        <f>'Saisie CA'!N40</f>
        <v>0</v>
      </c>
      <c r="F27" s="239" t="e">
        <f t="shared" si="0"/>
        <v>#DIV/0!</v>
      </c>
      <c r="G27" s="691">
        <f t="shared" si="1"/>
        <v>0</v>
      </c>
      <c r="H27" s="785">
        <f t="shared" si="3"/>
        <v>0</v>
      </c>
      <c r="I27" s="754">
        <f t="shared" si="2"/>
        <v>0</v>
      </c>
      <c r="K27" s="222"/>
      <c r="O27" s="223"/>
      <c r="P27" s="223"/>
      <c r="Q27" s="229"/>
      <c r="R27" s="223"/>
      <c r="S27" s="223"/>
      <c r="T27" s="228"/>
      <c r="U27" s="229"/>
      <c r="V27" s="229"/>
    </row>
    <row r="28" spans="2:22" s="221" customFormat="1" ht="14.25" x14ac:dyDescent="0.25">
      <c r="B28" s="227" t="s">
        <v>2</v>
      </c>
      <c r="C28" s="690">
        <f>'Saisie CA'!L41</f>
        <v>0</v>
      </c>
      <c r="D28" s="680">
        <f>'Saisie CA'!M41</f>
        <v>0</v>
      </c>
      <c r="E28" s="681">
        <f>'Saisie CA'!N41</f>
        <v>0</v>
      </c>
      <c r="F28" s="239" t="e">
        <f t="shared" si="0"/>
        <v>#DIV/0!</v>
      </c>
      <c r="G28" s="691">
        <f t="shared" si="1"/>
        <v>0</v>
      </c>
      <c r="H28" s="785">
        <f t="shared" si="3"/>
        <v>0</v>
      </c>
      <c r="I28" s="754">
        <f t="shared" si="2"/>
        <v>0</v>
      </c>
      <c r="K28" s="222"/>
      <c r="O28" s="223"/>
      <c r="P28" s="223"/>
      <c r="Q28" s="229"/>
      <c r="R28" s="223"/>
      <c r="S28" s="223"/>
      <c r="T28" s="230"/>
      <c r="U28" s="223"/>
      <c r="V28" s="223"/>
    </row>
    <row r="29" spans="2:22" s="221" customFormat="1" ht="14.25" x14ac:dyDescent="0.25">
      <c r="B29" s="227" t="s">
        <v>3</v>
      </c>
      <c r="C29" s="690">
        <f>'Saisie CA'!L42</f>
        <v>0</v>
      </c>
      <c r="D29" s="680">
        <f>'Saisie CA'!M42</f>
        <v>0</v>
      </c>
      <c r="E29" s="681">
        <f>'Saisie CA'!N42</f>
        <v>0</v>
      </c>
      <c r="F29" s="239" t="e">
        <f t="shared" si="0"/>
        <v>#DIV/0!</v>
      </c>
      <c r="G29" s="691">
        <f t="shared" si="1"/>
        <v>0</v>
      </c>
      <c r="H29" s="785">
        <f t="shared" si="3"/>
        <v>0</v>
      </c>
      <c r="I29" s="754">
        <f t="shared" si="2"/>
        <v>0</v>
      </c>
      <c r="K29" s="222"/>
      <c r="O29" s="223"/>
      <c r="P29" s="223"/>
      <c r="Q29" s="229"/>
      <c r="R29" s="223"/>
      <c r="S29" s="223"/>
      <c r="T29" s="230"/>
      <c r="U29" s="223"/>
      <c r="V29" s="223"/>
    </row>
    <row r="30" spans="2:22" s="221" customFormat="1" ht="14.25" x14ac:dyDescent="0.25">
      <c r="B30" s="227" t="s">
        <v>4</v>
      </c>
      <c r="C30" s="690">
        <f>'Saisie CA'!L43</f>
        <v>0</v>
      </c>
      <c r="D30" s="680">
        <f>'Saisie CA'!M43</f>
        <v>0</v>
      </c>
      <c r="E30" s="681">
        <f>'Saisie CA'!N43</f>
        <v>0</v>
      </c>
      <c r="F30" s="239" t="e">
        <f t="shared" si="0"/>
        <v>#DIV/0!</v>
      </c>
      <c r="G30" s="691">
        <f t="shared" si="1"/>
        <v>0</v>
      </c>
      <c r="H30" s="785">
        <f t="shared" si="3"/>
        <v>0</v>
      </c>
      <c r="I30" s="754">
        <f t="shared" si="2"/>
        <v>0</v>
      </c>
      <c r="K30" s="222"/>
      <c r="O30" s="223"/>
      <c r="P30" s="223"/>
      <c r="Q30" s="233"/>
      <c r="R30" s="223"/>
      <c r="S30" s="223"/>
      <c r="T30" s="223"/>
      <c r="U30" s="223"/>
      <c r="V30" s="223"/>
    </row>
    <row r="31" spans="2:22" s="221" customFormat="1" thickBot="1" x14ac:dyDescent="0.3">
      <c r="B31" s="234" t="s">
        <v>5</v>
      </c>
      <c r="C31" s="692">
        <f>'Saisie CA'!L44</f>
        <v>0</v>
      </c>
      <c r="D31" s="693">
        <f>'Saisie CA'!M44</f>
        <v>0</v>
      </c>
      <c r="E31" s="694">
        <f>'Saisie CA'!N44</f>
        <v>0</v>
      </c>
      <c r="F31" s="695" t="e">
        <f t="shared" si="0"/>
        <v>#DIV/0!</v>
      </c>
      <c r="G31" s="696">
        <f t="shared" si="1"/>
        <v>0</v>
      </c>
      <c r="H31" s="786">
        <f t="shared" si="3"/>
        <v>0</v>
      </c>
      <c r="I31" s="755">
        <f t="shared" si="2"/>
        <v>0</v>
      </c>
      <c r="K31" s="222"/>
      <c r="O31" s="223"/>
      <c r="P31" s="223"/>
      <c r="Q31" s="223"/>
      <c r="R31" s="223"/>
      <c r="S31" s="223"/>
      <c r="T31" s="223"/>
      <c r="U31" s="223"/>
      <c r="V31" s="223"/>
    </row>
  </sheetData>
  <mergeCells count="6">
    <mergeCell ref="Q5:R5"/>
    <mergeCell ref="F17:G17"/>
    <mergeCell ref="H17:H18"/>
    <mergeCell ref="I17:I18"/>
    <mergeCell ref="D13:I13"/>
    <mergeCell ref="D9:I9"/>
  </mergeCells>
  <conditionalFormatting sqref="P7">
    <cfRule type="cellIs" dxfId="309" priority="21" operator="lessThan">
      <formula>$Q$6&lt;$P$6</formula>
    </cfRule>
    <cfRule type="cellIs" dxfId="308" priority="22" operator="lessThan">
      <formula>0</formula>
    </cfRule>
  </conditionalFormatting>
  <conditionalFormatting sqref="S6">
    <cfRule type="cellIs" dxfId="307" priority="18" operator="lessThan">
      <formula>0</formula>
    </cfRule>
    <cfRule type="cellIs" dxfId="306" priority="19" operator="lessThan">
      <formula>0</formula>
    </cfRule>
    <cfRule type="cellIs" dxfId="305" priority="20" operator="lessThan">
      <formula>0</formula>
    </cfRule>
  </conditionalFormatting>
  <conditionalFormatting sqref="I11 I15">
    <cfRule type="cellIs" dxfId="304" priority="7" operator="greaterThan">
      <formula>0</formula>
    </cfRule>
    <cfRule type="cellIs" dxfId="303" priority="8" operator="lessThan">
      <formula>0</formula>
    </cfRule>
  </conditionalFormatting>
  <conditionalFormatting sqref="G11 G15">
    <cfRule type="cellIs" dxfId="302" priority="5" operator="lessThan">
      <formula>0</formula>
    </cfRule>
    <cfRule type="cellIs" dxfId="301" priority="6" operator="greaterThan">
      <formula>0</formula>
    </cfRule>
  </conditionalFormatting>
  <conditionalFormatting sqref="I20:I31">
    <cfRule type="cellIs" dxfId="300" priority="9" operator="lessThan">
      <formula>0</formula>
    </cfRule>
    <cfRule type="cellIs" dxfId="299" priority="10" operator="greaterThan">
      <formula>0</formula>
    </cfRule>
  </conditionalFormatting>
  <conditionalFormatting sqref="F20:G31">
    <cfRule type="cellIs" dxfId="298" priority="11" operator="lessThan">
      <formula>0</formula>
    </cfRule>
    <cfRule type="cellIs" dxfId="297" priority="12" operator="greaterThan">
      <formula>0</formula>
    </cfRule>
  </conditionalFormatting>
  <conditionalFormatting sqref="I19">
    <cfRule type="cellIs" dxfId="296" priority="3" operator="lessThan">
      <formula>0</formula>
    </cfRule>
    <cfRule type="cellIs" dxfId="295" priority="4" operator="greaterThan">
      <formula>0</formula>
    </cfRule>
  </conditionalFormatting>
  <conditionalFormatting sqref="F19:G19">
    <cfRule type="cellIs" dxfId="294" priority="1" operator="lessThan">
      <formula>0</formula>
    </cfRule>
    <cfRule type="cellIs" dxfId="293" priority="2" operator="greaterThan">
      <formula>0</formula>
    </cfRule>
  </conditionalFormatting>
  <dataValidations count="1">
    <dataValidation type="list" allowBlank="1" showInputMessage="1" showErrorMessage="1" sqref="B14">
      <formula1>$B$20:$B$31</formula1>
    </dataValidation>
  </dataValidations>
  <printOptions horizontalCentered="1"/>
  <pageMargins left="0" right="0" top="0" bottom="0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B1:O109"/>
  <sheetViews>
    <sheetView zoomScaleNormal="100" workbookViewId="0">
      <pane ySplit="8" topLeftCell="A9" activePane="bottomLeft" state="frozen"/>
      <selection pane="bottomLeft"/>
    </sheetView>
  </sheetViews>
  <sheetFormatPr baseColWidth="10" defaultRowHeight="15" x14ac:dyDescent="0.25"/>
  <cols>
    <col min="1" max="1" width="5.7109375" customWidth="1"/>
    <col min="2" max="2" width="18.7109375" bestFit="1" customWidth="1"/>
    <col min="3" max="3" width="15.28515625" customWidth="1"/>
    <col min="4" max="4" width="15.7109375" customWidth="1"/>
    <col min="5" max="5" width="15.28515625" customWidth="1"/>
    <col min="6" max="6" width="21.85546875" bestFit="1" customWidth="1"/>
    <col min="7" max="10" width="15.28515625" customWidth="1"/>
  </cols>
  <sheetData>
    <row r="1" spans="2:15" ht="15" customHeight="1" x14ac:dyDescent="0.25">
      <c r="M1" s="876"/>
      <c r="N1" s="876"/>
    </row>
    <row r="2" spans="2:15" ht="1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ht="15" customHeight="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15" ht="15" customHeight="1" x14ac:dyDescent="0.25"/>
    <row r="5" spans="2:15" ht="15" customHeight="1" x14ac:dyDescent="0.25"/>
    <row r="6" spans="2:15" ht="15" customHeight="1" x14ac:dyDescent="0.25"/>
    <row r="7" spans="2:15" ht="15" customHeight="1" x14ac:dyDescent="0.25"/>
    <row r="8" spans="2:15" ht="15" customHeight="1" x14ac:dyDescent="0.25"/>
    <row r="9" spans="2:15" ht="15.75" customHeight="1" thickBot="1" x14ac:dyDescent="0.3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ht="16.5" customHeight="1" thickBot="1" x14ac:dyDescent="0.3">
      <c r="B10" s="83" t="s">
        <v>18</v>
      </c>
      <c r="C10" s="18" t="s">
        <v>11</v>
      </c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15" ht="15.75" customHeight="1" x14ac:dyDescent="0.25">
      <c r="B11" s="15"/>
      <c r="C11" s="12"/>
      <c r="D11" s="17"/>
      <c r="E11" s="16"/>
      <c r="F11" s="12"/>
      <c r="G11" s="12"/>
      <c r="H11" s="12"/>
      <c r="I11" s="17"/>
      <c r="J11" s="12"/>
      <c r="K11" s="12"/>
      <c r="L11" s="12"/>
      <c r="M11" s="12"/>
      <c r="N11" s="12"/>
      <c r="O11" s="12"/>
    </row>
    <row r="12" spans="2:15" ht="15" customHeight="1" x14ac:dyDescent="0.25">
      <c r="B12" s="33"/>
      <c r="C12" s="878" t="s">
        <v>0</v>
      </c>
      <c r="D12" s="878"/>
      <c r="E12" s="878"/>
      <c r="F12" s="878"/>
      <c r="G12" s="878"/>
      <c r="H12" s="878"/>
      <c r="I12" s="84"/>
      <c r="J12" s="33"/>
      <c r="K12" s="12"/>
      <c r="L12" s="12"/>
      <c r="M12" s="12"/>
      <c r="N12" s="12"/>
      <c r="O12" s="12"/>
    </row>
    <row r="13" spans="2:15" ht="15.75" x14ac:dyDescent="0.25">
      <c r="B13" s="896" t="str">
        <f>C10</f>
        <v>Juillet</v>
      </c>
      <c r="C13" s="896"/>
      <c r="D13" s="19"/>
      <c r="E13" s="19"/>
      <c r="F13" s="19"/>
      <c r="G13" s="19"/>
      <c r="H13" s="19"/>
      <c r="I13" s="19"/>
      <c r="J13" s="12"/>
      <c r="K13" s="12"/>
      <c r="L13" s="12"/>
      <c r="M13" s="12"/>
      <c r="N13" s="12"/>
      <c r="O13" s="12"/>
    </row>
    <row r="14" spans="2:15" x14ac:dyDescent="0.25">
      <c r="D14" s="12"/>
      <c r="E14" s="12"/>
      <c r="F14" s="12"/>
      <c r="G14" s="12"/>
      <c r="H14" s="12"/>
      <c r="I14" s="20"/>
      <c r="J14" s="12"/>
      <c r="K14" s="12"/>
      <c r="L14" s="12"/>
      <c r="M14" s="12"/>
      <c r="N14" s="12"/>
      <c r="O14" s="12"/>
    </row>
    <row r="15" spans="2:15" x14ac:dyDescent="0.25">
      <c r="B15" s="877" t="s">
        <v>34</v>
      </c>
      <c r="C15" s="877"/>
      <c r="D15" s="12"/>
      <c r="E15" s="12"/>
      <c r="F15" s="12"/>
      <c r="G15" s="12"/>
      <c r="H15" s="12"/>
      <c r="I15" s="20"/>
      <c r="J15" s="12"/>
      <c r="K15" s="12"/>
      <c r="L15" s="12"/>
      <c r="M15" s="12"/>
      <c r="N15" s="12"/>
      <c r="O15" s="12"/>
    </row>
    <row r="16" spans="2:15" ht="15" customHeight="1" x14ac:dyDescent="0.25"/>
    <row r="17" spans="2:8" ht="15" customHeight="1" x14ac:dyDescent="0.25">
      <c r="D17" s="12"/>
      <c r="E17" s="12"/>
      <c r="F17" s="12"/>
      <c r="G17" s="11"/>
      <c r="H17" s="10"/>
    </row>
    <row r="18" spans="2:8" ht="15" customHeight="1" x14ac:dyDescent="0.25">
      <c r="B18" s="877" t="s">
        <v>107</v>
      </c>
      <c r="C18" s="877"/>
      <c r="D18" s="12"/>
      <c r="E18" s="12"/>
      <c r="F18" s="12"/>
    </row>
    <row r="19" spans="2:8" ht="15" customHeight="1" x14ac:dyDescent="0.25">
      <c r="D19" s="12"/>
      <c r="E19" s="12"/>
      <c r="F19" s="12"/>
    </row>
    <row r="20" spans="2:8" x14ac:dyDescent="0.25">
      <c r="B20" s="31"/>
      <c r="C20" s="31"/>
      <c r="D20" s="12"/>
      <c r="E20" s="12"/>
      <c r="F20" s="12"/>
    </row>
    <row r="21" spans="2:8" ht="24.95" customHeight="1" x14ac:dyDescent="0.25">
      <c r="B21" s="876" t="s">
        <v>35</v>
      </c>
      <c r="C21" s="876"/>
    </row>
    <row r="22" spans="2:8" ht="15" customHeight="1" x14ac:dyDescent="0.25">
      <c r="B22" s="12"/>
      <c r="C22" s="636" t="e">
        <f>CHOOSE(calculs!G58,calculs!$I$69,calculs!$I$70,calculs!$I$71)</f>
        <v>#DIV/0!</v>
      </c>
      <c r="D22" s="12"/>
      <c r="E22" s="12"/>
      <c r="F22" s="12"/>
    </row>
    <row r="23" spans="2:8" x14ac:dyDescent="0.25">
      <c r="C23" s="75"/>
      <c r="F23" s="75"/>
    </row>
    <row r="24" spans="2:8" x14ac:dyDescent="0.25">
      <c r="D24" s="13"/>
    </row>
    <row r="25" spans="2:8" x14ac:dyDescent="0.25">
      <c r="B25" s="75" t="s">
        <v>70</v>
      </c>
    </row>
    <row r="26" spans="2:8" x14ac:dyDescent="0.25">
      <c r="F26" s="75"/>
      <c r="G26" s="75"/>
    </row>
    <row r="28" spans="2:8" x14ac:dyDescent="0.25">
      <c r="B28" s="75" t="s">
        <v>69</v>
      </c>
    </row>
    <row r="30" spans="2:8" x14ac:dyDescent="0.25">
      <c r="G30" s="74"/>
    </row>
    <row r="31" spans="2:8" ht="18" customHeight="1" x14ac:dyDescent="0.25">
      <c r="B31" s="463"/>
    </row>
    <row r="32" spans="2:8" s="21" customFormat="1" ht="15.75" thickBot="1" x14ac:dyDescent="0.3">
      <c r="B32" s="875" t="s">
        <v>110</v>
      </c>
      <c r="C32" s="875"/>
    </row>
    <row r="33" spans="2:13" ht="16.5" thickBot="1" x14ac:dyDescent="0.3">
      <c r="B33" s="822" t="str">
        <f>C10</f>
        <v>Juillet</v>
      </c>
      <c r="C33" s="823"/>
      <c r="D33" s="897" t="s">
        <v>100</v>
      </c>
      <c r="E33" s="898"/>
      <c r="F33" s="898"/>
      <c r="G33" s="898"/>
      <c r="H33" s="899"/>
      <c r="K33" s="308"/>
      <c r="L33" s="308"/>
      <c r="M33" s="308"/>
    </row>
    <row r="34" spans="2:13" ht="15.75" customHeight="1" thickBot="1" x14ac:dyDescent="0.3">
      <c r="B34" s="21"/>
      <c r="C34" s="824" t="e">
        <f ca="1">CHOOSE(calculs!D87,calculs!$I$69,calculs!$I$70,calculs!$I$71)</f>
        <v>#DIV/0!</v>
      </c>
      <c r="D34" s="419"/>
      <c r="E34" s="421" t="s">
        <v>99</v>
      </c>
      <c r="F34" s="53" t="s">
        <v>97</v>
      </c>
      <c r="G34" s="422" t="s">
        <v>98</v>
      </c>
      <c r="H34" s="53" t="s">
        <v>96</v>
      </c>
      <c r="I34" s="33"/>
      <c r="J34" s="21"/>
      <c r="K34" s="414"/>
      <c r="L34" s="415"/>
      <c r="M34" s="415"/>
    </row>
    <row r="35" spans="2:13" ht="16.5" customHeight="1" x14ac:dyDescent="0.25">
      <c r="B35" s="72"/>
      <c r="C35" s="21"/>
      <c r="D35" s="420" t="s">
        <v>39</v>
      </c>
      <c r="E35" s="423" t="str">
        <f>calculs!B117</f>
        <v/>
      </c>
      <c r="F35" s="424" t="e">
        <f ca="1">calculs!B118</f>
        <v>#DIV/0!</v>
      </c>
      <c r="G35" s="423" t="str">
        <f>calculs!C117</f>
        <v/>
      </c>
      <c r="H35" s="424" t="e">
        <f ca="1">calculs!C118</f>
        <v>#DIV/0!</v>
      </c>
      <c r="I35" s="21"/>
      <c r="J35" s="21"/>
      <c r="K35" s="5"/>
      <c r="L35" s="416"/>
      <c r="M35" s="5"/>
    </row>
    <row r="36" spans="2:13" s="21" customFormat="1" ht="16.5" customHeight="1" thickBot="1" x14ac:dyDescent="0.3">
      <c r="D36" s="168" t="s">
        <v>25</v>
      </c>
      <c r="E36" s="425" t="str">
        <f>calculs!E117</f>
        <v/>
      </c>
      <c r="F36" s="426" t="e">
        <f ca="1">calculs!E118</f>
        <v>#DIV/0!</v>
      </c>
      <c r="G36" s="425" t="str">
        <f>calculs!F117</f>
        <v/>
      </c>
      <c r="H36" s="426" t="e">
        <f ca="1">calculs!F118</f>
        <v>#DIV/0!</v>
      </c>
      <c r="K36" s="5"/>
      <c r="L36" s="416"/>
      <c r="M36" s="416"/>
    </row>
    <row r="37" spans="2:13" s="21" customFormat="1" ht="16.5" customHeight="1" x14ac:dyDescent="0.25"/>
    <row r="38" spans="2:13" s="21" customFormat="1" ht="16.5" customHeight="1" x14ac:dyDescent="0.25"/>
    <row r="39" spans="2:13" s="21" customFormat="1" ht="16.5" customHeight="1" x14ac:dyDescent="0.25">
      <c r="C39" s="878" t="s">
        <v>39</v>
      </c>
      <c r="D39" s="878"/>
      <c r="E39" s="878"/>
      <c r="F39" s="878"/>
      <c r="G39" s="878"/>
      <c r="H39" s="878"/>
    </row>
    <row r="40" spans="2:13" s="21" customFormat="1" ht="16.5" customHeight="1" x14ac:dyDescent="0.25">
      <c r="B40" s="896" t="str">
        <f>C10</f>
        <v>Juillet</v>
      </c>
      <c r="C40" s="896"/>
    </row>
    <row r="41" spans="2:13" s="21" customFormat="1" ht="16.5" customHeight="1" x14ac:dyDescent="0.25"/>
    <row r="42" spans="2:13" s="21" customFormat="1" ht="16.5" customHeight="1" x14ac:dyDescent="0.25">
      <c r="B42" s="877" t="s">
        <v>34</v>
      </c>
      <c r="C42" s="877"/>
    </row>
    <row r="43" spans="2:13" s="21" customFormat="1" ht="16.5" customHeight="1" x14ac:dyDescent="0.25"/>
    <row r="44" spans="2:13" s="21" customFormat="1" ht="15" customHeight="1" x14ac:dyDescent="0.25"/>
    <row r="45" spans="2:13" ht="15" customHeight="1" x14ac:dyDescent="0.25">
      <c r="B45" s="877" t="s">
        <v>107</v>
      </c>
      <c r="C45" s="877"/>
      <c r="D45" s="21"/>
      <c r="E45" s="21"/>
      <c r="F45" s="21"/>
      <c r="G45" s="21"/>
      <c r="H45" s="21"/>
      <c r="I45" s="21"/>
      <c r="J45" s="21"/>
    </row>
    <row r="46" spans="2:13" ht="15" customHeight="1" x14ac:dyDescent="0.25">
      <c r="B46" s="21"/>
      <c r="D46" s="77"/>
      <c r="E46" s="77"/>
      <c r="F46" s="77"/>
      <c r="G46" s="77"/>
      <c r="H46" s="77"/>
      <c r="I46" s="77"/>
      <c r="J46" s="21"/>
    </row>
    <row r="47" spans="2:13" x14ac:dyDescent="0.25">
      <c r="B47" s="31"/>
      <c r="C47" s="31"/>
      <c r="D47" s="21"/>
      <c r="E47" s="21"/>
      <c r="F47" s="21"/>
      <c r="G47" s="21"/>
      <c r="H47" s="21"/>
      <c r="I47" s="21"/>
      <c r="J47" s="21"/>
    </row>
    <row r="48" spans="2:13" ht="24.95" customHeight="1" x14ac:dyDescent="0.25">
      <c r="B48" s="876" t="s">
        <v>35</v>
      </c>
      <c r="C48" s="876"/>
      <c r="D48" s="21"/>
      <c r="E48" s="21"/>
      <c r="F48" s="21"/>
      <c r="G48" s="21"/>
      <c r="H48" s="21"/>
      <c r="I48" s="21"/>
      <c r="J48" s="21"/>
    </row>
    <row r="49" spans="2:10" ht="19.5" x14ac:dyDescent="0.25">
      <c r="B49" s="21"/>
      <c r="C49" s="636" t="e">
        <f>CHOOSE(calculs!G31,calculs!$I$69,calculs!$I$70,calculs!$I$71)</f>
        <v>#DIV/0!</v>
      </c>
      <c r="D49" s="21"/>
      <c r="E49" s="21"/>
      <c r="F49" s="21"/>
      <c r="G49" s="21"/>
      <c r="H49" s="21"/>
      <c r="I49" s="21"/>
      <c r="J49" s="21"/>
    </row>
    <row r="50" spans="2:10" ht="15" customHeight="1" x14ac:dyDescent="0.25">
      <c r="D50" s="21"/>
      <c r="E50" s="21"/>
      <c r="F50" s="81"/>
      <c r="G50" s="21"/>
      <c r="H50" s="21"/>
      <c r="I50" s="21"/>
      <c r="J50" s="21"/>
    </row>
    <row r="51" spans="2:10" x14ac:dyDescent="0.25">
      <c r="B51" s="21"/>
      <c r="C51" s="21"/>
      <c r="D51" s="21"/>
      <c r="E51" s="21"/>
      <c r="F51" s="21"/>
      <c r="G51" s="21"/>
      <c r="H51" s="21"/>
      <c r="I51" s="21"/>
      <c r="J51" s="21"/>
    </row>
    <row r="52" spans="2:10" x14ac:dyDescent="0.25">
      <c r="B52" s="21"/>
      <c r="C52" s="21"/>
      <c r="D52" s="21"/>
      <c r="E52" s="21"/>
      <c r="F52" s="21"/>
      <c r="G52" s="21"/>
      <c r="H52" s="21"/>
      <c r="I52" s="21"/>
      <c r="J52" s="21"/>
    </row>
    <row r="53" spans="2:10" ht="15" customHeight="1" x14ac:dyDescent="0.25">
      <c r="B53" s="81" t="s">
        <v>70</v>
      </c>
      <c r="D53" s="21"/>
      <c r="E53" s="21"/>
      <c r="F53" s="8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  <row r="56" spans="2:10" x14ac:dyDescent="0.25">
      <c r="B56" s="81" t="s">
        <v>69</v>
      </c>
      <c r="C56" s="21"/>
      <c r="D56" s="21"/>
      <c r="E56" s="21"/>
      <c r="F56" s="21"/>
      <c r="G56" s="21"/>
      <c r="H56" s="21"/>
      <c r="I56" s="21"/>
      <c r="J56" s="21"/>
    </row>
    <row r="57" spans="2:10" ht="15" customHeight="1" x14ac:dyDescent="0.25">
      <c r="B57" s="31"/>
      <c r="C57" s="84"/>
      <c r="D57" s="84"/>
      <c r="E57" s="84"/>
      <c r="F57" s="84"/>
      <c r="G57" s="84"/>
      <c r="H57" s="84"/>
      <c r="I57" s="21"/>
      <c r="J57" s="21"/>
    </row>
    <row r="58" spans="2:10" s="21" customFormat="1" x14ac:dyDescent="0.25">
      <c r="F58" s="31"/>
      <c r="G58" s="31"/>
    </row>
    <row r="59" spans="2:10" ht="18" customHeight="1" x14ac:dyDescent="0.25">
      <c r="B59" s="462"/>
      <c r="D59" s="21"/>
      <c r="E59" s="21"/>
      <c r="H59" s="21"/>
      <c r="I59" s="21"/>
      <c r="J59" s="21"/>
    </row>
    <row r="60" spans="2:10" x14ac:dyDescent="0.25">
      <c r="D60" s="21"/>
      <c r="E60" s="21"/>
      <c r="F60" s="21"/>
      <c r="G60" s="21"/>
      <c r="H60" s="21"/>
      <c r="I60" s="21"/>
      <c r="J60" s="21"/>
    </row>
    <row r="61" spans="2:10" s="72" customFormat="1" ht="15" customHeight="1" x14ac:dyDescent="0.25">
      <c r="B61" s="35"/>
      <c r="C61" s="875" t="s">
        <v>110</v>
      </c>
      <c r="D61" s="875"/>
      <c r="E61" s="77"/>
      <c r="F61" s="77"/>
      <c r="G61" s="77"/>
      <c r="H61" s="77"/>
      <c r="I61" s="77"/>
    </row>
    <row r="62" spans="2:10" s="72" customFormat="1" ht="15" customHeight="1" x14ac:dyDescent="0.25">
      <c r="B62" s="822" t="str">
        <f>C10</f>
        <v>Juillet</v>
      </c>
      <c r="D62" s="636" t="e">
        <f ca="1">CHOOSE(calculs!I88,calculs!$I$69,calculs!$I$70,calculs!$I$71)</f>
        <v>#DIV/0!</v>
      </c>
    </row>
    <row r="63" spans="2:10" ht="15" customHeight="1" x14ac:dyDescent="0.25"/>
    <row r="64" spans="2:10" x14ac:dyDescent="0.25">
      <c r="C64" s="74"/>
      <c r="G64" s="74"/>
    </row>
    <row r="67" spans="2:8" x14ac:dyDescent="0.25">
      <c r="C67" s="74"/>
      <c r="G67" s="74"/>
    </row>
    <row r="68" spans="2:8" x14ac:dyDescent="0.25">
      <c r="B68" s="81"/>
      <c r="F68" s="81"/>
    </row>
    <row r="71" spans="2:8" x14ac:dyDescent="0.25">
      <c r="B71" s="81"/>
      <c r="F71" s="81"/>
    </row>
    <row r="76" spans="2:8" s="72" customFormat="1" x14ac:dyDescent="0.25"/>
    <row r="77" spans="2:8" ht="20.25" x14ac:dyDescent="0.25">
      <c r="C77" s="878" t="s">
        <v>25</v>
      </c>
      <c r="D77" s="878"/>
      <c r="E77" s="878"/>
      <c r="F77" s="878"/>
      <c r="G77" s="878"/>
      <c r="H77" s="878"/>
    </row>
    <row r="78" spans="2:8" ht="15.75" x14ac:dyDescent="0.25">
      <c r="B78" s="896" t="str">
        <f>C10</f>
        <v>Juillet</v>
      </c>
      <c r="C78" s="896"/>
    </row>
    <row r="80" spans="2:8" x14ac:dyDescent="0.25">
      <c r="B80" s="877" t="s">
        <v>34</v>
      </c>
      <c r="C80" s="877"/>
    </row>
    <row r="83" spans="2:9" ht="15" customHeight="1" x14ac:dyDescent="0.25">
      <c r="B83" s="877" t="s">
        <v>107</v>
      </c>
      <c r="C83" s="877"/>
    </row>
    <row r="84" spans="2:9" s="21" customFormat="1" ht="15" customHeight="1" x14ac:dyDescent="0.25">
      <c r="C84" s="84"/>
      <c r="D84" s="84"/>
      <c r="E84" s="84"/>
      <c r="F84" s="84"/>
      <c r="G84" s="84"/>
      <c r="H84" s="84"/>
      <c r="I84" s="84"/>
    </row>
    <row r="85" spans="2:9" s="21" customFormat="1" x14ac:dyDescent="0.25">
      <c r="B85" s="31"/>
      <c r="C85" s="31"/>
    </row>
    <row r="86" spans="2:9" s="21" customFormat="1" ht="24.95" customHeight="1" x14ac:dyDescent="0.25">
      <c r="B86" s="876" t="s">
        <v>35</v>
      </c>
      <c r="C86" s="876"/>
    </row>
    <row r="87" spans="2:9" s="21" customFormat="1" ht="19.5" x14ac:dyDescent="0.25">
      <c r="C87" s="636" t="e">
        <f>CHOOSE(calculs!G4,calculs!$I$69,calculs!$I$70,calculs!$I$71)</f>
        <v>#DIV/0!</v>
      </c>
    </row>
    <row r="88" spans="2:9" s="21" customFormat="1" ht="15" customHeight="1" x14ac:dyDescent="0.25"/>
    <row r="89" spans="2:9" s="21" customFormat="1" x14ac:dyDescent="0.25"/>
    <row r="90" spans="2:9" s="21" customFormat="1" x14ac:dyDescent="0.25"/>
    <row r="91" spans="2:9" s="21" customFormat="1" ht="15" customHeight="1" x14ac:dyDescent="0.25"/>
    <row r="92" spans="2:9" s="21" customFormat="1" x14ac:dyDescent="0.25">
      <c r="B92" s="404" t="s">
        <v>70</v>
      </c>
    </row>
    <row r="93" spans="2:9" s="21" customFormat="1" x14ac:dyDescent="0.25"/>
    <row r="94" spans="2:9" s="21" customFormat="1" x14ac:dyDescent="0.25"/>
    <row r="95" spans="2:9" s="21" customFormat="1" x14ac:dyDescent="0.25">
      <c r="B95" s="404" t="s">
        <v>69</v>
      </c>
      <c r="C95" s="31"/>
      <c r="F95" s="31"/>
      <c r="G95" s="31"/>
    </row>
    <row r="96" spans="2:9" s="21" customFormat="1" x14ac:dyDescent="0.25">
      <c r="C96" s="31"/>
      <c r="F96" s="31"/>
      <c r="G96" s="31"/>
    </row>
    <row r="97" spans="2:9" s="21" customFormat="1" x14ac:dyDescent="0.25"/>
    <row r="98" spans="2:9" s="21" customFormat="1" ht="18" customHeight="1" x14ac:dyDescent="0.25">
      <c r="B98" s="462"/>
    </row>
    <row r="99" spans="2:9" s="72" customFormat="1" ht="15" customHeight="1" x14ac:dyDescent="0.25">
      <c r="B99" s="35"/>
      <c r="C99" s="875" t="s">
        <v>110</v>
      </c>
      <c r="D99" s="875"/>
      <c r="E99" s="77"/>
      <c r="F99" s="77"/>
      <c r="G99" s="77"/>
      <c r="H99" s="77"/>
      <c r="I99" s="77"/>
    </row>
    <row r="100" spans="2:9" s="72" customFormat="1" ht="15" customHeight="1" x14ac:dyDescent="0.25">
      <c r="B100" s="822" t="str">
        <f>C10</f>
        <v>Juillet</v>
      </c>
      <c r="D100" s="636" t="e">
        <f ca="1">CHOOSE(calculs!F88,calculs!$I$69,calculs!$I$70,calculs!$I$71)</f>
        <v>#DIV/0!</v>
      </c>
    </row>
    <row r="101" spans="2:9" s="21" customFormat="1" x14ac:dyDescent="0.25"/>
    <row r="102" spans="2:9" s="21" customFormat="1" x14ac:dyDescent="0.25">
      <c r="B102" s="74"/>
      <c r="C102" s="74"/>
      <c r="G102" s="74"/>
    </row>
    <row r="103" spans="2:9" s="21" customFormat="1" x14ac:dyDescent="0.25"/>
    <row r="104" spans="2:9" s="21" customFormat="1" x14ac:dyDescent="0.25"/>
    <row r="105" spans="2:9" s="21" customFormat="1" x14ac:dyDescent="0.25">
      <c r="B105" s="74"/>
      <c r="C105" s="74"/>
      <c r="G105" s="74"/>
    </row>
    <row r="106" spans="2:9" s="21" customFormat="1" x14ac:dyDescent="0.25"/>
    <row r="107" spans="2:9" s="21" customFormat="1" x14ac:dyDescent="0.25"/>
    <row r="108" spans="2:9" s="21" customFormat="1" x14ac:dyDescent="0.25"/>
    <row r="109" spans="2:9" s="21" customFormat="1" x14ac:dyDescent="0.25"/>
  </sheetData>
  <mergeCells count="20">
    <mergeCell ref="M1:N1"/>
    <mergeCell ref="B48:C48"/>
    <mergeCell ref="B42:C42"/>
    <mergeCell ref="C12:H12"/>
    <mergeCell ref="C39:H39"/>
    <mergeCell ref="B13:C13"/>
    <mergeCell ref="B40:C40"/>
    <mergeCell ref="D33:H33"/>
    <mergeCell ref="C99:D99"/>
    <mergeCell ref="B32:C32"/>
    <mergeCell ref="B86:C86"/>
    <mergeCell ref="B15:C15"/>
    <mergeCell ref="B21:C21"/>
    <mergeCell ref="B78:C78"/>
    <mergeCell ref="B83:C83"/>
    <mergeCell ref="B45:C45"/>
    <mergeCell ref="B18:C18"/>
    <mergeCell ref="C77:H77"/>
    <mergeCell ref="B80:C80"/>
    <mergeCell ref="C61:D61"/>
  </mergeCells>
  <conditionalFormatting sqref="E35:H36">
    <cfRule type="cellIs" dxfId="292" priority="20" operator="lessThan">
      <formula>0</formula>
    </cfRule>
  </conditionalFormatting>
  <conditionalFormatting sqref="C499">
    <cfRule type="cellIs" dxfId="291" priority="14" operator="equal">
      <formula>"L"</formula>
    </cfRule>
  </conditionalFormatting>
  <conditionalFormatting sqref="C49">
    <cfRule type="cellIs" dxfId="290" priority="10" operator="equal">
      <formula>"L"</formula>
    </cfRule>
    <cfRule type="cellIs" dxfId="289" priority="15" operator="equal">
      <formula>"K"</formula>
    </cfRule>
    <cfRule type="cellIs" dxfId="288" priority="16" operator="equal">
      <formula>"J"</formula>
    </cfRule>
  </conditionalFormatting>
  <conditionalFormatting sqref="C22">
    <cfRule type="cellIs" dxfId="287" priority="11" operator="equal">
      <formula>"L"</formula>
    </cfRule>
    <cfRule type="cellIs" dxfId="286" priority="12" operator="equal">
      <formula>"K"</formula>
    </cfRule>
    <cfRule type="cellIs" dxfId="285" priority="13" operator="equal">
      <formula>"J"</formula>
    </cfRule>
  </conditionalFormatting>
  <conditionalFormatting sqref="C87">
    <cfRule type="cellIs" dxfId="284" priority="17" operator="equal">
      <formula>"L"</formula>
    </cfRule>
    <cfRule type="cellIs" dxfId="283" priority="18" operator="equal">
      <formula>"J"</formula>
    </cfRule>
    <cfRule type="cellIs" dxfId="282" priority="19" operator="equal">
      <formula>"K"</formula>
    </cfRule>
  </conditionalFormatting>
  <conditionalFormatting sqref="D62">
    <cfRule type="cellIs" dxfId="281" priority="7" operator="equal">
      <formula>"k"</formula>
    </cfRule>
    <cfRule type="cellIs" dxfId="280" priority="8" operator="equal">
      <formula>"J"</formula>
    </cfRule>
    <cfRule type="cellIs" dxfId="279" priority="9" operator="equal">
      <formula>"L"</formula>
    </cfRule>
  </conditionalFormatting>
  <conditionalFormatting sqref="D100">
    <cfRule type="cellIs" dxfId="278" priority="4" operator="equal">
      <formula>"k"</formula>
    </cfRule>
    <cfRule type="cellIs" dxfId="277" priority="5" operator="equal">
      <formula>"J"</formula>
    </cfRule>
    <cfRule type="cellIs" dxfId="276" priority="6" operator="equal">
      <formula>"L"</formula>
    </cfRule>
  </conditionalFormatting>
  <conditionalFormatting sqref="C34">
    <cfRule type="cellIs" dxfId="275" priority="1" operator="equal">
      <formula>"k"</formula>
    </cfRule>
    <cfRule type="cellIs" dxfId="274" priority="2" operator="equal">
      <formula>"J"</formula>
    </cfRule>
    <cfRule type="cellIs" dxfId="273" priority="3" operator="equal">
      <formula>"L"</formula>
    </cfRule>
  </conditionalFormatting>
  <printOptions horizontalCentered="1" verticalCentered="1"/>
  <pageMargins left="0" right="0" top="0" bottom="0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NEGOCE!$B$20:$B$31</xm:f>
          </x14:formula1>
          <xm:sqref>C10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B1:V31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4.25" x14ac:dyDescent="0.25"/>
  <cols>
    <col min="1" max="1" width="5.7109375" style="221" customWidth="1"/>
    <col min="2" max="2" width="15.7109375" style="241" customWidth="1"/>
    <col min="3" max="3" width="15.28515625" style="242" customWidth="1"/>
    <col min="4" max="4" width="15.28515625" style="243" customWidth="1"/>
    <col min="5" max="5" width="15.28515625" style="221" customWidth="1"/>
    <col min="6" max="6" width="14.7109375" style="221" customWidth="1"/>
    <col min="7" max="7" width="16.7109375" style="221" customWidth="1"/>
    <col min="8" max="9" width="22.7109375" style="221" customWidth="1"/>
    <col min="10" max="10" width="15.28515625" style="221" customWidth="1"/>
    <col min="11" max="11" width="5.7109375" style="222" customWidth="1"/>
    <col min="12" max="14" width="5.7109375" style="221" customWidth="1"/>
    <col min="15" max="15" width="8.28515625" style="223" bestFit="1" customWidth="1"/>
    <col min="16" max="16" width="13.7109375" style="223" bestFit="1" customWidth="1"/>
    <col min="17" max="17" width="14.42578125" style="223" bestFit="1" customWidth="1"/>
    <col min="18" max="18" width="8.85546875" style="223" bestFit="1" customWidth="1"/>
    <col min="19" max="19" width="7.85546875" style="223" bestFit="1" customWidth="1"/>
    <col min="20" max="20" width="6.7109375" style="223" bestFit="1" customWidth="1"/>
    <col min="21" max="21" width="7.7109375" style="223" bestFit="1" customWidth="1"/>
    <col min="22" max="22" width="6.7109375" style="223" bestFit="1" customWidth="1"/>
    <col min="23" max="16384" width="11.42578125" style="221"/>
  </cols>
  <sheetData>
    <row r="1" spans="2:22" ht="15" customHeight="1" x14ac:dyDescent="0.25"/>
    <row r="2" spans="2:22" ht="15" customHeight="1" x14ac:dyDescent="0.25">
      <c r="B2" s="221"/>
      <c r="P2" s="254"/>
      <c r="Q2" s="255"/>
    </row>
    <row r="3" spans="2:22" ht="15" customHeight="1" x14ac:dyDescent="0.25">
      <c r="P3" s="254"/>
      <c r="Q3" s="256"/>
    </row>
    <row r="4" spans="2:22" ht="15" customHeight="1" x14ac:dyDescent="0.25"/>
    <row r="5" spans="2:22" ht="15" customHeight="1" x14ac:dyDescent="0.25">
      <c r="P5" s="244"/>
      <c r="Q5" s="900"/>
      <c r="R5" s="900"/>
      <c r="S5" s="244"/>
    </row>
    <row r="6" spans="2:22" ht="15" customHeight="1" x14ac:dyDescent="0.25">
      <c r="P6" s="245"/>
      <c r="Q6" s="245"/>
      <c r="R6" s="245"/>
      <c r="S6" s="229"/>
    </row>
    <row r="7" spans="2:22" ht="15" customHeight="1" x14ac:dyDescent="0.25">
      <c r="O7" s="244"/>
      <c r="P7" s="257"/>
      <c r="Q7" s="258"/>
      <c r="S7" s="229"/>
    </row>
    <row r="8" spans="2:22" ht="12.95" customHeight="1" thickBot="1" x14ac:dyDescent="0.3">
      <c r="P8" s="245"/>
      <c r="Q8" s="245"/>
      <c r="R8" s="245"/>
      <c r="S8" s="229"/>
    </row>
    <row r="9" spans="2:22" ht="15" customHeight="1" thickBot="1" x14ac:dyDescent="0.3">
      <c r="D9" s="887" t="s">
        <v>19</v>
      </c>
      <c r="E9" s="888"/>
      <c r="F9" s="888"/>
      <c r="G9" s="888"/>
      <c r="H9" s="889"/>
      <c r="I9" s="890"/>
      <c r="J9" s="246"/>
    </row>
    <row r="10" spans="2:22" ht="15" customHeight="1" thickTop="1" thickBot="1" x14ac:dyDescent="0.3">
      <c r="B10" s="236" t="s">
        <v>1</v>
      </c>
      <c r="D10" s="704" t="s">
        <v>14</v>
      </c>
      <c r="E10" s="705" t="s">
        <v>15</v>
      </c>
      <c r="F10" s="709" t="s">
        <v>16</v>
      </c>
      <c r="G10" s="706" t="s">
        <v>109</v>
      </c>
      <c r="H10" s="674" t="s">
        <v>62</v>
      </c>
      <c r="I10" s="642" t="s">
        <v>65</v>
      </c>
      <c r="L10" s="247"/>
    </row>
    <row r="11" spans="2:22" ht="15" customHeight="1" thickBot="1" x14ac:dyDescent="0.3">
      <c r="D11" s="746">
        <f ca="1">C19</f>
        <v>0</v>
      </c>
      <c r="E11" s="747">
        <f ca="1">D19</f>
        <v>0</v>
      </c>
      <c r="F11" s="748">
        <f ca="1">E19</f>
        <v>0</v>
      </c>
      <c r="G11" s="726">
        <f ca="1">G19</f>
        <v>0</v>
      </c>
      <c r="H11" s="649">
        <f ca="1">H19</f>
        <v>0</v>
      </c>
      <c r="I11" s="240">
        <f ca="1">I19</f>
        <v>0</v>
      </c>
      <c r="K11" s="248"/>
    </row>
    <row r="12" spans="2:22" ht="12.95" customHeight="1" thickTop="1" thickBot="1" x14ac:dyDescent="0.3">
      <c r="B12" s="249"/>
      <c r="E12" s="250"/>
      <c r="F12" s="251"/>
      <c r="G12" s="247"/>
      <c r="H12" s="247"/>
    </row>
    <row r="13" spans="2:22" ht="15" customHeight="1" thickBot="1" x14ac:dyDescent="0.3">
      <c r="B13" s="236" t="s">
        <v>18</v>
      </c>
      <c r="D13" s="887" t="s">
        <v>21</v>
      </c>
      <c r="E13" s="888"/>
      <c r="F13" s="888"/>
      <c r="G13" s="888"/>
      <c r="H13" s="889"/>
      <c r="I13" s="890"/>
      <c r="J13" s="246"/>
      <c r="Q13" s="244"/>
      <c r="R13" s="244"/>
    </row>
    <row r="14" spans="2:22" ht="15" customHeight="1" thickTop="1" thickBot="1" x14ac:dyDescent="0.3">
      <c r="B14" s="237" t="s">
        <v>11</v>
      </c>
      <c r="D14" s="704" t="s">
        <v>14</v>
      </c>
      <c r="E14" s="705" t="s">
        <v>15</v>
      </c>
      <c r="F14" s="709" t="s">
        <v>16</v>
      </c>
      <c r="G14" s="706" t="s">
        <v>109</v>
      </c>
      <c r="H14" s="674" t="s">
        <v>62</v>
      </c>
      <c r="I14" s="642" t="s">
        <v>65</v>
      </c>
      <c r="P14" s="244"/>
      <c r="Q14" s="245"/>
      <c r="R14" s="245"/>
    </row>
    <row r="15" spans="2:22" ht="15" customHeight="1" thickBot="1" x14ac:dyDescent="0.3">
      <c r="B15" s="249"/>
      <c r="D15" s="746">
        <f>IFERROR(VLOOKUP(B14,B17:E31,2,FALSE),"")</f>
        <v>0</v>
      </c>
      <c r="E15" s="749">
        <f>IFERROR(VLOOKUP(B14,B17:E31,3,FALSE),"")</f>
        <v>0</v>
      </c>
      <c r="F15" s="748">
        <f>IFERROR(VLOOKUP(B14,B17:E31,4,FALSE),"")</f>
        <v>0</v>
      </c>
      <c r="G15" s="726">
        <f>IFERROR(VLOOKUP(B14,B17:G31,6,FALSE),"")</f>
        <v>0</v>
      </c>
      <c r="H15" s="649">
        <f>IFERROR(VLOOKUP(B14,B17:I31,7,FALSE),"")</f>
        <v>0</v>
      </c>
      <c r="I15" s="240">
        <f>IFERROR(VLOOKUP(B14,B17:I31,8,FALSE),"")</f>
        <v>0</v>
      </c>
      <c r="P15" s="244"/>
      <c r="Q15" s="245"/>
      <c r="R15" s="245"/>
    </row>
    <row r="16" spans="2:22" ht="12.95" customHeight="1" thickTop="1" thickBot="1" x14ac:dyDescent="0.3">
      <c r="P16" s="259"/>
      <c r="U16" s="228"/>
      <c r="V16" s="228"/>
    </row>
    <row r="17" spans="2:22" ht="15" customHeight="1" thickTop="1" x14ac:dyDescent="0.25">
      <c r="B17" s="228"/>
      <c r="C17" s="659" t="s">
        <v>14</v>
      </c>
      <c r="D17" s="660" t="s">
        <v>15</v>
      </c>
      <c r="E17" s="661" t="s">
        <v>16</v>
      </c>
      <c r="F17" s="881" t="s">
        <v>20</v>
      </c>
      <c r="G17" s="882"/>
      <c r="H17" s="893" t="s">
        <v>62</v>
      </c>
      <c r="I17" s="885" t="s">
        <v>65</v>
      </c>
      <c r="M17" s="244"/>
      <c r="N17" s="245"/>
      <c r="P17" s="231"/>
      <c r="Q17" s="232"/>
      <c r="R17" s="232"/>
      <c r="T17" s="231"/>
      <c r="U17" s="232"/>
      <c r="V17" s="232"/>
    </row>
    <row r="18" spans="2:22" ht="15" customHeight="1" thickBot="1" x14ac:dyDescent="0.3">
      <c r="B18" s="252"/>
      <c r="C18" s="727" t="s">
        <v>59</v>
      </c>
      <c r="D18" s="722" t="s">
        <v>59</v>
      </c>
      <c r="E18" s="723" t="s">
        <v>59</v>
      </c>
      <c r="F18" s="724" t="s">
        <v>17</v>
      </c>
      <c r="G18" s="702" t="s">
        <v>59</v>
      </c>
      <c r="H18" s="894"/>
      <c r="I18" s="886"/>
      <c r="M18" s="244"/>
      <c r="N18" s="245"/>
      <c r="P18" s="231"/>
      <c r="Q18" s="226"/>
      <c r="R18" s="226"/>
      <c r="T18" s="231"/>
      <c r="U18" s="226"/>
      <c r="V18" s="226"/>
    </row>
    <row r="19" spans="2:22" ht="15" customHeight="1" thickBot="1" x14ac:dyDescent="0.3">
      <c r="B19" s="260"/>
      <c r="C19" s="732">
        <f ca="1">SUM(OFFSET(C20,0,0,MATCH(B14,B20:B31,0)))</f>
        <v>0</v>
      </c>
      <c r="D19" s="733">
        <f ca="1">SUM(OFFSET(D20,0,0,MATCH(B14,B20:B31,0)))</f>
        <v>0</v>
      </c>
      <c r="E19" s="734">
        <f ca="1">SUM(OFFSET(E20,0,0,MATCH(B14,B20:B31,0)))</f>
        <v>0</v>
      </c>
      <c r="F19" s="670" t="e">
        <f ca="1">SUM((E19-D19)/D19)</f>
        <v>#DIV/0!</v>
      </c>
      <c r="G19" s="725">
        <f ca="1">SUM(OFFSET(G20,0,0,MATCH(B14,B20:B31,0)))</f>
        <v>0</v>
      </c>
      <c r="H19" s="641">
        <f ca="1">SUM(OFFSET(H20,0,0,MATCH(B14,B20:B31,0)))</f>
        <v>0</v>
      </c>
      <c r="I19" s="740">
        <f ca="1">SUM(OFFSET(I20,0,0,MATCH(B14,B20:B31,0)))</f>
        <v>0</v>
      </c>
    </row>
    <row r="20" spans="2:22" ht="14.85" customHeight="1" x14ac:dyDescent="0.25">
      <c r="B20" s="682" t="s">
        <v>6</v>
      </c>
      <c r="C20" s="735">
        <f>SUM('Boutique 1'!C20+'Boutique 2'!C20)</f>
        <v>0</v>
      </c>
      <c r="D20" s="678">
        <f>SUM('Boutique 1'!D20+'Boutique 2'!D20)</f>
        <v>0</v>
      </c>
      <c r="E20" s="677">
        <f>SUM('Boutique 1'!E20+'Boutique 2'!E20)</f>
        <v>0</v>
      </c>
      <c r="F20" s="261" t="e">
        <f t="shared" ref="F20:F31" si="0">SUM((E20-D20)/D20)</f>
        <v>#DIV/0!</v>
      </c>
      <c r="G20" s="728">
        <f t="shared" ref="G20:G31" si="1">SUM(E20-D20)</f>
        <v>0</v>
      </c>
      <c r="H20" s="783">
        <f>SUM(C20+D20)/2</f>
        <v>0</v>
      </c>
      <c r="I20" s="784">
        <f t="shared" ref="I20:I31" si="2">SUM(E20-H20)</f>
        <v>0</v>
      </c>
      <c r="P20" s="225"/>
      <c r="Q20" s="226"/>
      <c r="R20" s="226"/>
      <c r="T20" s="225"/>
      <c r="U20" s="226"/>
      <c r="V20" s="226"/>
    </row>
    <row r="21" spans="2:22" ht="14.85" customHeight="1" x14ac:dyDescent="0.25">
      <c r="B21" s="683" t="s">
        <v>7</v>
      </c>
      <c r="C21" s="736">
        <f>SUM('Boutique 1'!C21+'Boutique 2'!C21)</f>
        <v>0</v>
      </c>
      <c r="D21" s="681">
        <f>SUM('Boutique 1'!D21+'Boutique 2'!D21)</f>
        <v>0</v>
      </c>
      <c r="E21" s="680">
        <f>SUM('Boutique 1'!E21+'Boutique 2'!E21)</f>
        <v>0</v>
      </c>
      <c r="F21" s="262" t="e">
        <f t="shared" si="0"/>
        <v>#DIV/0!</v>
      </c>
      <c r="G21" s="729">
        <f t="shared" si="1"/>
        <v>0</v>
      </c>
      <c r="H21" s="785">
        <f t="shared" ref="H21:H31" si="3">SUM(C21+D21)/2</f>
        <v>0</v>
      </c>
      <c r="I21" s="754">
        <f t="shared" si="2"/>
        <v>0</v>
      </c>
      <c r="P21" s="228"/>
      <c r="Q21" s="229"/>
      <c r="R21" s="229"/>
      <c r="T21" s="228"/>
      <c r="U21" s="229"/>
      <c r="V21" s="229"/>
    </row>
    <row r="22" spans="2:22" ht="14.85" customHeight="1" x14ac:dyDescent="0.25">
      <c r="B22" s="683" t="s">
        <v>8</v>
      </c>
      <c r="C22" s="736">
        <f>SUM('Boutique 1'!C22+'Boutique 2'!C22)</f>
        <v>0</v>
      </c>
      <c r="D22" s="681">
        <f>SUM('Boutique 1'!D22+'Boutique 2'!D22)</f>
        <v>0</v>
      </c>
      <c r="E22" s="680">
        <f>SUM('Boutique 1'!E22+'Boutique 2'!E22)</f>
        <v>0</v>
      </c>
      <c r="F22" s="262" t="e">
        <f t="shared" si="0"/>
        <v>#DIV/0!</v>
      </c>
      <c r="G22" s="729">
        <f t="shared" si="1"/>
        <v>0</v>
      </c>
      <c r="H22" s="785">
        <f t="shared" si="3"/>
        <v>0</v>
      </c>
      <c r="I22" s="754">
        <f t="shared" si="2"/>
        <v>0</v>
      </c>
      <c r="P22" s="228"/>
      <c r="Q22" s="230"/>
    </row>
    <row r="23" spans="2:22" ht="14.85" customHeight="1" x14ac:dyDescent="0.25">
      <c r="B23" s="683" t="s">
        <v>9</v>
      </c>
      <c r="C23" s="736">
        <f>SUM('Boutique 1'!C23+'Boutique 2'!C23)</f>
        <v>0</v>
      </c>
      <c r="D23" s="681">
        <f>SUM('Boutique 1'!D23+'Boutique 2'!D23)</f>
        <v>0</v>
      </c>
      <c r="E23" s="680">
        <f>SUM('Boutique 1'!E23+'Boutique 2'!E23)</f>
        <v>0</v>
      </c>
      <c r="F23" s="262" t="e">
        <f t="shared" si="0"/>
        <v>#DIV/0!</v>
      </c>
      <c r="G23" s="729">
        <f t="shared" si="1"/>
        <v>0</v>
      </c>
      <c r="H23" s="785">
        <f t="shared" si="3"/>
        <v>0</v>
      </c>
      <c r="I23" s="754">
        <f t="shared" si="2"/>
        <v>0</v>
      </c>
      <c r="P23" s="228"/>
      <c r="Q23" s="229"/>
      <c r="R23" s="229"/>
      <c r="U23" s="228"/>
      <c r="V23" s="228"/>
    </row>
    <row r="24" spans="2:22" ht="14.85" customHeight="1" x14ac:dyDescent="0.25">
      <c r="B24" s="683" t="s">
        <v>10</v>
      </c>
      <c r="C24" s="736">
        <f>SUM('Boutique 1'!C24+'Boutique 2'!C24)</f>
        <v>0</v>
      </c>
      <c r="D24" s="681">
        <f>SUM('Boutique 1'!D24+'Boutique 2'!D24)</f>
        <v>0</v>
      </c>
      <c r="E24" s="680">
        <f>SUM('Boutique 1'!E24+'Boutique 2'!E24)</f>
        <v>0</v>
      </c>
      <c r="F24" s="262" t="e">
        <f t="shared" si="0"/>
        <v>#DIV/0!</v>
      </c>
      <c r="G24" s="729">
        <f t="shared" si="1"/>
        <v>0</v>
      </c>
      <c r="H24" s="785">
        <f t="shared" si="3"/>
        <v>0</v>
      </c>
      <c r="I24" s="754">
        <f t="shared" si="2"/>
        <v>0</v>
      </c>
      <c r="P24" s="228"/>
      <c r="Q24" s="229"/>
      <c r="R24" s="229"/>
      <c r="T24" s="231"/>
      <c r="U24" s="232"/>
      <c r="V24" s="232"/>
    </row>
    <row r="25" spans="2:22" ht="14.85" customHeight="1" x14ac:dyDescent="0.25">
      <c r="B25" s="683" t="s">
        <v>11</v>
      </c>
      <c r="C25" s="736">
        <f>SUM('Boutique 1'!C25+'Boutique 2'!C25)</f>
        <v>0</v>
      </c>
      <c r="D25" s="681">
        <f>SUM('Boutique 1'!D25+'Boutique 2'!D25)</f>
        <v>0</v>
      </c>
      <c r="E25" s="680">
        <f>SUM('Boutique 1'!E25+'Boutique 2'!E25)</f>
        <v>0</v>
      </c>
      <c r="F25" s="262" t="e">
        <f t="shared" si="0"/>
        <v>#DIV/0!</v>
      </c>
      <c r="G25" s="729">
        <f t="shared" si="1"/>
        <v>0</v>
      </c>
      <c r="H25" s="785">
        <f t="shared" si="3"/>
        <v>0</v>
      </c>
      <c r="I25" s="754">
        <f t="shared" si="2"/>
        <v>0</v>
      </c>
      <c r="P25" s="228"/>
      <c r="Q25" s="229"/>
      <c r="R25" s="229"/>
      <c r="T25" s="231"/>
      <c r="U25" s="226"/>
      <c r="V25" s="226"/>
    </row>
    <row r="26" spans="2:22" ht="14.85" customHeight="1" x14ac:dyDescent="0.25">
      <c r="B26" s="683" t="s">
        <v>12</v>
      </c>
      <c r="C26" s="736">
        <f>SUM('Boutique 1'!C26+'Boutique 2'!C26)</f>
        <v>0</v>
      </c>
      <c r="D26" s="681">
        <f>SUM('Boutique 1'!D26+'Boutique 2'!D26)</f>
        <v>0</v>
      </c>
      <c r="E26" s="680">
        <f>SUM('Boutique 1'!E26+'Boutique 2'!E26)</f>
        <v>0</v>
      </c>
      <c r="F26" s="262" t="e">
        <f t="shared" si="0"/>
        <v>#DIV/0!</v>
      </c>
      <c r="G26" s="729">
        <f t="shared" si="1"/>
        <v>0</v>
      </c>
      <c r="H26" s="785">
        <f t="shared" si="3"/>
        <v>0</v>
      </c>
      <c r="I26" s="754">
        <f t="shared" si="2"/>
        <v>0</v>
      </c>
      <c r="P26" s="228"/>
      <c r="Q26" s="229"/>
      <c r="R26" s="229"/>
      <c r="T26" s="225"/>
      <c r="U26" s="226"/>
      <c r="V26" s="226"/>
    </row>
    <row r="27" spans="2:22" ht="14.85" customHeight="1" x14ac:dyDescent="0.25">
      <c r="B27" s="683" t="s">
        <v>13</v>
      </c>
      <c r="C27" s="736">
        <f>SUM('Boutique 1'!C27+'Boutique 2'!C27)</f>
        <v>0</v>
      </c>
      <c r="D27" s="681">
        <f>SUM('Boutique 1'!D27+'Boutique 2'!D27)</f>
        <v>0</v>
      </c>
      <c r="E27" s="680">
        <f>SUM('Boutique 1'!E27+'Boutique 2'!E27)</f>
        <v>0</v>
      </c>
      <c r="F27" s="262" t="e">
        <f t="shared" si="0"/>
        <v>#DIV/0!</v>
      </c>
      <c r="G27" s="729">
        <f t="shared" si="1"/>
        <v>0</v>
      </c>
      <c r="H27" s="785">
        <f t="shared" si="3"/>
        <v>0</v>
      </c>
      <c r="I27" s="754">
        <f t="shared" si="2"/>
        <v>0</v>
      </c>
      <c r="Q27" s="229"/>
      <c r="T27" s="228"/>
      <c r="U27" s="229"/>
      <c r="V27" s="229"/>
    </row>
    <row r="28" spans="2:22" ht="14.85" customHeight="1" x14ac:dyDescent="0.25">
      <c r="B28" s="683" t="s">
        <v>2</v>
      </c>
      <c r="C28" s="736">
        <f>SUM('Boutique 1'!C28+'Boutique 2'!C28)</f>
        <v>0</v>
      </c>
      <c r="D28" s="681">
        <f>SUM('Boutique 1'!D28+'Boutique 2'!D28)</f>
        <v>0</v>
      </c>
      <c r="E28" s="680">
        <f>SUM('Boutique 1'!E28+'Boutique 2'!E28)</f>
        <v>0</v>
      </c>
      <c r="F28" s="262" t="e">
        <f t="shared" si="0"/>
        <v>#DIV/0!</v>
      </c>
      <c r="G28" s="729">
        <f t="shared" si="1"/>
        <v>0</v>
      </c>
      <c r="H28" s="785">
        <f t="shared" si="3"/>
        <v>0</v>
      </c>
      <c r="I28" s="754">
        <f t="shared" si="2"/>
        <v>0</v>
      </c>
      <c r="Q28" s="229"/>
      <c r="T28" s="230"/>
    </row>
    <row r="29" spans="2:22" ht="14.85" customHeight="1" x14ac:dyDescent="0.25">
      <c r="B29" s="683" t="s">
        <v>3</v>
      </c>
      <c r="C29" s="736">
        <f>SUM('Boutique 1'!C29+'Boutique 2'!C29)</f>
        <v>0</v>
      </c>
      <c r="D29" s="681">
        <f>SUM('Boutique 1'!D29+'Boutique 2'!D29)</f>
        <v>0</v>
      </c>
      <c r="E29" s="680">
        <f>SUM('Boutique 1'!E29+'Boutique 2'!E29)</f>
        <v>0</v>
      </c>
      <c r="F29" s="262" t="e">
        <f t="shared" si="0"/>
        <v>#DIV/0!</v>
      </c>
      <c r="G29" s="729">
        <f t="shared" si="1"/>
        <v>0</v>
      </c>
      <c r="H29" s="785">
        <f t="shared" si="3"/>
        <v>0</v>
      </c>
      <c r="I29" s="754">
        <f t="shared" si="2"/>
        <v>0</v>
      </c>
      <c r="Q29" s="229"/>
      <c r="T29" s="230"/>
    </row>
    <row r="30" spans="2:22" ht="14.85" customHeight="1" x14ac:dyDescent="0.25">
      <c r="B30" s="683" t="s">
        <v>4</v>
      </c>
      <c r="C30" s="736">
        <f>SUM('Boutique 1'!C30+'Boutique 2'!C30)</f>
        <v>0</v>
      </c>
      <c r="D30" s="681">
        <f>SUM('Boutique 1'!D30+'Boutique 2'!D30)</f>
        <v>0</v>
      </c>
      <c r="E30" s="680">
        <f>SUM('Boutique 1'!E30+'Boutique 2'!E30)</f>
        <v>0</v>
      </c>
      <c r="F30" s="262" t="e">
        <f t="shared" si="0"/>
        <v>#DIV/0!</v>
      </c>
      <c r="G30" s="729">
        <f t="shared" si="1"/>
        <v>0</v>
      </c>
      <c r="H30" s="785">
        <f t="shared" si="3"/>
        <v>0</v>
      </c>
      <c r="I30" s="754">
        <f t="shared" si="2"/>
        <v>0</v>
      </c>
      <c r="Q30" s="233"/>
    </row>
    <row r="31" spans="2:22" ht="14.85" customHeight="1" thickBot="1" x14ac:dyDescent="0.3">
      <c r="B31" s="684" t="s">
        <v>5</v>
      </c>
      <c r="C31" s="737">
        <f>SUM('Boutique 1'!C31+'Boutique 2'!C31)</f>
        <v>0</v>
      </c>
      <c r="D31" s="694">
        <f>SUM('Boutique 1'!D31+'Boutique 2'!D31)</f>
        <v>0</v>
      </c>
      <c r="E31" s="693">
        <f>SUM('Boutique 1'!E31+'Boutique 2'!E31)</f>
        <v>0</v>
      </c>
      <c r="F31" s="730" t="e">
        <f t="shared" si="0"/>
        <v>#DIV/0!</v>
      </c>
      <c r="G31" s="731">
        <f t="shared" si="1"/>
        <v>0</v>
      </c>
      <c r="H31" s="786">
        <f t="shared" si="3"/>
        <v>0</v>
      </c>
      <c r="I31" s="755">
        <f t="shared" si="2"/>
        <v>0</v>
      </c>
    </row>
  </sheetData>
  <mergeCells count="6">
    <mergeCell ref="Q5:R5"/>
    <mergeCell ref="H17:H18"/>
    <mergeCell ref="I17:I18"/>
    <mergeCell ref="F17:G17"/>
    <mergeCell ref="D9:I9"/>
    <mergeCell ref="D13:I13"/>
  </mergeCells>
  <conditionalFormatting sqref="P7">
    <cfRule type="cellIs" dxfId="272" priority="16" operator="lessThan">
      <formula>$Q$6&lt;$P$6</formula>
    </cfRule>
    <cfRule type="cellIs" dxfId="271" priority="17" operator="lessThan">
      <formula>0</formula>
    </cfRule>
  </conditionalFormatting>
  <conditionalFormatting sqref="S6">
    <cfRule type="cellIs" dxfId="270" priority="13" operator="lessThan">
      <formula>0</formula>
    </cfRule>
    <cfRule type="cellIs" dxfId="269" priority="14" operator="lessThan">
      <formula>0</formula>
    </cfRule>
    <cfRule type="cellIs" dxfId="268" priority="15" operator="lessThan">
      <formula>0</formula>
    </cfRule>
  </conditionalFormatting>
  <conditionalFormatting sqref="I11 I15">
    <cfRule type="cellIs" dxfId="267" priority="7" operator="lessThan">
      <formula>0</formula>
    </cfRule>
    <cfRule type="cellIs" dxfId="266" priority="8" operator="greaterThan">
      <formula>0</formula>
    </cfRule>
  </conditionalFormatting>
  <conditionalFormatting sqref="F19:G19">
    <cfRule type="cellIs" dxfId="265" priority="11" operator="lessThan">
      <formula>0</formula>
    </cfRule>
    <cfRule type="cellIs" dxfId="264" priority="12" operator="greaterThan">
      <formula>0</formula>
    </cfRule>
  </conditionalFormatting>
  <conditionalFormatting sqref="F20:G31">
    <cfRule type="cellIs" dxfId="263" priority="5" operator="lessThan">
      <formula>0</formula>
    </cfRule>
    <cfRule type="cellIs" dxfId="262" priority="6" operator="greaterThan">
      <formula>0</formula>
    </cfRule>
  </conditionalFormatting>
  <conditionalFormatting sqref="I20:I31">
    <cfRule type="cellIs" dxfId="261" priority="9" operator="lessThan">
      <formula>0</formula>
    </cfRule>
    <cfRule type="cellIs" dxfId="260" priority="10" operator="greaterThan">
      <formula>0</formula>
    </cfRule>
  </conditionalFormatting>
  <conditionalFormatting sqref="I19">
    <cfRule type="cellIs" dxfId="259" priority="3" operator="lessThan">
      <formula>0</formula>
    </cfRule>
    <cfRule type="cellIs" dxfId="258" priority="4" operator="greaterThan">
      <formula>0</formula>
    </cfRule>
  </conditionalFormatting>
  <conditionalFormatting sqref="G11 G15">
    <cfRule type="cellIs" dxfId="257" priority="1" operator="lessThan">
      <formula>0</formula>
    </cfRule>
    <cfRule type="cellIs" dxfId="256" priority="2" operator="greaterThan">
      <formula>0</formula>
    </cfRule>
  </conditionalFormatting>
  <dataValidations count="1">
    <dataValidation type="list" allowBlank="1" showInputMessage="1" showErrorMessage="1" sqref="B14">
      <formula1>$B$20:$B$31</formula1>
    </dataValidation>
  </dataValidations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14</vt:i4>
      </vt:variant>
    </vt:vector>
  </HeadingPairs>
  <TitlesOfParts>
    <vt:vector size="29" baseType="lpstr">
      <vt:lpstr>Sommaire</vt:lpstr>
      <vt:lpstr>Saisie CA</vt:lpstr>
      <vt:lpstr>Objectifs Entreprise</vt:lpstr>
      <vt:lpstr>TDB entreprise</vt:lpstr>
      <vt:lpstr>ATELIER</vt:lpstr>
      <vt:lpstr>PRODUCTION</vt:lpstr>
      <vt:lpstr>NEGOCE</vt:lpstr>
      <vt:lpstr>TABLEAU DE BORD ATELIER</vt:lpstr>
      <vt:lpstr>MAGASINS</vt:lpstr>
      <vt:lpstr>Boutique 1</vt:lpstr>
      <vt:lpstr>Boutique 2</vt:lpstr>
      <vt:lpstr>TABLEAU DE BORD MAGASINS</vt:lpstr>
      <vt:lpstr>Saisie Commerciaux</vt:lpstr>
      <vt:lpstr>Tableau de Bord commerciaux</vt:lpstr>
      <vt:lpstr>calculs</vt:lpstr>
      <vt:lpstr>controlcourbe</vt:lpstr>
      <vt:lpstr>liste</vt:lpstr>
      <vt:lpstr>ATELIER!Zone_d_impression</vt:lpstr>
      <vt:lpstr>'Boutique 1'!Zone_d_impression</vt:lpstr>
      <vt:lpstr>'Boutique 2'!Zone_d_impression</vt:lpstr>
      <vt:lpstr>MAGASINS!Zone_d_impression</vt:lpstr>
      <vt:lpstr>NEGOCE!Zone_d_impression</vt:lpstr>
      <vt:lpstr>'Objectifs Entreprise'!Zone_d_impression</vt:lpstr>
      <vt:lpstr>PRODUCTION!Zone_d_impression</vt:lpstr>
      <vt:lpstr>'Saisie CA'!Zone_d_impression</vt:lpstr>
      <vt:lpstr>'TABLEAU DE BORD ATELIER'!Zone_d_impression</vt:lpstr>
      <vt:lpstr>'Tableau de Bord commerciaux'!Zone_d_impression</vt:lpstr>
      <vt:lpstr>'TABLEAU DE BORD MAGASINS'!Zone_d_impression</vt:lpstr>
      <vt:lpstr>'TDB entreprise'!Zone_d_impression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</dc:creator>
  <cp:lastModifiedBy>julie vaissier</cp:lastModifiedBy>
  <cp:lastPrinted>2016-08-10T08:10:34Z</cp:lastPrinted>
  <dcterms:created xsi:type="dcterms:W3CDTF">2016-05-31T14:10:07Z</dcterms:created>
  <dcterms:modified xsi:type="dcterms:W3CDTF">2016-08-17T19:13:37Z</dcterms:modified>
</cp:coreProperties>
</file>