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61" windowWidth="15420" windowHeight="2820" activeTab="0"/>
  </bookViews>
  <sheets>
    <sheet name="Juillet" sheetId="1" r:id="rId1"/>
    <sheet name="Calculs" sheetId="2" r:id="rId2"/>
  </sheets>
  <definedNames>
    <definedName name="An">'Juillet'!$B$2</definedName>
    <definedName name="dixhuit">'Juillet'!#REF!</definedName>
    <definedName name="Fer">'Calculs'!$A$4:$A$14</definedName>
    <definedName name="sept">'Juillet'!$U$1</definedName>
    <definedName name="vingtdeux">'Juillet'!$T$1</definedName>
    <definedName name="vingtetun">'Juillet'!#REF!</definedName>
  </definedNames>
  <calcPr fullCalcOnLoad="1"/>
</workbook>
</file>

<file path=xl/sharedStrings.xml><?xml version="1.0" encoding="utf-8"?>
<sst xmlns="http://schemas.openxmlformats.org/spreadsheetml/2006/main" count="82" uniqueCount="40">
  <si>
    <t>Fériés</t>
  </si>
  <si>
    <t>Plage nommée Fer A4:A14</t>
  </si>
  <si>
    <t>Total</t>
  </si>
  <si>
    <t>Début</t>
  </si>
  <si>
    <t>Fin</t>
  </si>
  <si>
    <t>Code</t>
  </si>
  <si>
    <t>Durée totale intervention</t>
  </si>
  <si>
    <t>Durée intervention sur temps de travail</t>
  </si>
  <si>
    <t>Durée intervention hors temps de travail</t>
  </si>
  <si>
    <t xml:space="preserve">Horaires de travail habituels : </t>
  </si>
  <si>
    <t>Horaires hors temps de travail soir :</t>
  </si>
  <si>
    <t>Matin</t>
  </si>
  <si>
    <t>Horaires hors temps de travail matin :</t>
  </si>
  <si>
    <t>Après midi</t>
  </si>
  <si>
    <t>Horaires hors temps de travail midi :</t>
  </si>
  <si>
    <t>Type</t>
  </si>
  <si>
    <t>Date début astreinte</t>
  </si>
  <si>
    <t>Date fin astreinte</t>
  </si>
  <si>
    <t>Durée</t>
  </si>
  <si>
    <t>Heure début intervention</t>
  </si>
  <si>
    <t>Heure fin intervention</t>
  </si>
  <si>
    <t>Astreinte</t>
  </si>
  <si>
    <t>Intervention</t>
  </si>
  <si>
    <t>Sans Objet</t>
  </si>
  <si>
    <t>Date début intervention</t>
  </si>
  <si>
    <t>Jour début intervention</t>
  </si>
  <si>
    <t>Date fin intervention</t>
  </si>
  <si>
    <t>Jour fin intervention</t>
  </si>
  <si>
    <t>à</t>
  </si>
  <si>
    <t>Heure fin rectifiée</t>
  </si>
  <si>
    <t>Durée intervention de</t>
  </si>
  <si>
    <t>et</t>
  </si>
  <si>
    <t>Durée intervention le samedi entre</t>
  </si>
  <si>
    <t>Durée interventions les dimanches</t>
  </si>
  <si>
    <t>Duréee interventions jours fériés</t>
  </si>
  <si>
    <t xml:space="preserve">Année : </t>
  </si>
  <si>
    <t xml:space="preserve">Calculs heures de nuit (22H à 7H): </t>
  </si>
  <si>
    <t>Semaine complète</t>
  </si>
  <si>
    <t>Vendredi soir à lundi matin</t>
  </si>
  <si>
    <t xml:space="preserve">TOTAUX :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</si>
</sst>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"/>
    <numFmt numFmtId="165" formatCode="[$-40C]dddd\ d\ mmmm\ yyyy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  <numFmt numFmtId="170" formatCode="[hh]:mm;;"/>
    <numFmt numFmtId="171" formatCode="ddd* dd\-mm\-yy"/>
    <numFmt numFmtId="172" formatCode="&quot;Vrai&quot;;&quot;Vrai&quot;;&quot;Faux&quot;"/>
    <numFmt numFmtId="173" formatCode="&quot;Actif&quot;;&quot;Actif&quot;;&quot;Inactif&quot;"/>
    <numFmt numFmtId="174" formatCode="h:mm;@"/>
    <numFmt numFmtId="175" formatCode="###########"/>
    <numFmt numFmtId="176" formatCode="mmm\-yyyy"/>
    <numFmt numFmtId="177" formatCode="[h]:mm:ss;@"/>
    <numFmt numFmtId="178" formatCode="[$-F400]h:mm:ss\ AM/PM"/>
    <numFmt numFmtId="179" formatCode="0.0000000000"/>
    <numFmt numFmtId="180" formatCode="ddd\ dd\-mmm\-yy"/>
    <numFmt numFmtId="181" formatCode="hh:mm;;\-"/>
    <numFmt numFmtId="182" formatCode="dd/mm/yy;@"/>
    <numFmt numFmtId="18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1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0" fontId="0" fillId="0" borderId="0" xfId="0" applyNumberFormat="1" applyFont="1" applyFill="1" applyAlignment="1">
      <alignment horizont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 vertical="center"/>
    </xf>
    <xf numFmtId="20" fontId="0" fillId="35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0" fillId="0" borderId="13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36" borderId="13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81" fontId="7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auto="1"/>
      </font>
      <fill>
        <patternFill>
          <bgColor indexed="47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3239750" y="7953375"/>
          <a:ext cx="0" cy="0"/>
        </a:xfrm>
        <a:prstGeom prst="line">
          <a:avLst/>
        </a:prstGeom>
        <a:noFill/>
        <a:ln w="158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95" zoomScaleNormal="95" zoomScalePageLayoutView="0" workbookViewId="0" topLeftCell="A27">
      <selection activeCell="H58" sqref="H58"/>
    </sheetView>
  </sheetViews>
  <sheetFormatPr defaultColWidth="11.421875" defaultRowHeight="12.75"/>
  <cols>
    <col min="1" max="1" width="10.28125" style="0" bestFit="1" customWidth="1"/>
    <col min="2" max="2" width="11.7109375" style="0" bestFit="1" customWidth="1"/>
    <col min="3" max="4" width="11.00390625" style="0" bestFit="1" customWidth="1"/>
    <col min="5" max="5" width="6.57421875" style="13" hidden="1" customWidth="1"/>
    <col min="6" max="6" width="10.28125" style="0" customWidth="1"/>
    <col min="7" max="7" width="10.7109375" style="0" bestFit="1" customWidth="1"/>
    <col min="8" max="8" width="10.8515625" style="0" customWidth="1"/>
    <col min="9" max="9" width="8.140625" style="13" hidden="1" customWidth="1"/>
    <col min="10" max="10" width="10.28125" style="0" customWidth="1"/>
    <col min="11" max="11" width="10.7109375" style="0" bestFit="1" customWidth="1"/>
    <col min="12" max="12" width="10.140625" style="0" customWidth="1"/>
    <col min="13" max="13" width="10.57421875" style="0" bestFit="1" customWidth="1"/>
    <col min="14" max="14" width="8.57421875" style="13" hidden="1" customWidth="1"/>
    <col min="15" max="16" width="11.57421875" style="0" bestFit="1" customWidth="1"/>
    <col min="17" max="18" width="11.57421875" style="16" bestFit="1" customWidth="1"/>
    <col min="19" max="20" width="11.57421875" style="0" bestFit="1" customWidth="1"/>
    <col min="21" max="21" width="11.57421875" style="16" bestFit="1" customWidth="1"/>
  </cols>
  <sheetData>
    <row r="1" spans="6:21" ht="15">
      <c r="F1" s="32" t="s">
        <v>9</v>
      </c>
      <c r="G1" s="6" t="s">
        <v>3</v>
      </c>
      <c r="H1" s="6" t="s">
        <v>4</v>
      </c>
      <c r="J1" s="6" t="s">
        <v>2</v>
      </c>
      <c r="O1" s="7" t="s">
        <v>10</v>
      </c>
      <c r="P1" s="8">
        <f>H3</f>
        <v>0.7395833333333334</v>
      </c>
      <c r="S1" s="19" t="s">
        <v>36</v>
      </c>
      <c r="T1" s="31">
        <v>0.9166666666666666</v>
      </c>
      <c r="U1" s="31">
        <v>0.2916666666666667</v>
      </c>
    </row>
    <row r="2" spans="1:21" ht="12.75">
      <c r="A2" s="19" t="s">
        <v>35</v>
      </c>
      <c r="B2" s="5">
        <v>2016</v>
      </c>
      <c r="F2" s="33" t="s">
        <v>11</v>
      </c>
      <c r="G2" s="39">
        <v>0.34722222222222227</v>
      </c>
      <c r="H2" s="39">
        <v>0.513888888888889</v>
      </c>
      <c r="J2" s="34">
        <f>H2-G2</f>
        <v>0.16666666666666669</v>
      </c>
      <c r="O2" s="7" t="s">
        <v>12</v>
      </c>
      <c r="P2" s="8">
        <v>0.2916666666666667</v>
      </c>
      <c r="U2" s="36"/>
    </row>
    <row r="3" spans="6:16" ht="12.75">
      <c r="F3" s="33" t="s">
        <v>13</v>
      </c>
      <c r="G3" s="39">
        <v>0.5729166666666666</v>
      </c>
      <c r="H3" s="39">
        <v>0.7395833333333334</v>
      </c>
      <c r="J3" s="34">
        <f>H3-G3</f>
        <v>0.16666666666666674</v>
      </c>
      <c r="O3" s="7" t="s">
        <v>14</v>
      </c>
      <c r="P3" s="8">
        <f>H2</f>
        <v>0.513888888888889</v>
      </c>
    </row>
    <row r="4" spans="10:20" ht="12.75">
      <c r="J4" s="16"/>
      <c r="L4" s="4"/>
      <c r="S4" s="16"/>
      <c r="T4" s="16"/>
    </row>
    <row r="5" spans="10:20" ht="12.75">
      <c r="J5" s="16"/>
      <c r="S5" s="16"/>
      <c r="T5" s="16"/>
    </row>
    <row r="6" spans="1:21" ht="60" customHeight="1">
      <c r="A6" s="52" t="s">
        <v>15</v>
      </c>
      <c r="B6" s="52" t="s">
        <v>18</v>
      </c>
      <c r="C6" s="46" t="s">
        <v>16</v>
      </c>
      <c r="D6" s="46" t="s">
        <v>17</v>
      </c>
      <c r="E6" s="51" t="s">
        <v>5</v>
      </c>
      <c r="F6" s="47" t="s">
        <v>25</v>
      </c>
      <c r="G6" s="46" t="s">
        <v>24</v>
      </c>
      <c r="H6" s="47" t="s">
        <v>19</v>
      </c>
      <c r="I6" s="51" t="s">
        <v>5</v>
      </c>
      <c r="J6" s="47" t="s">
        <v>27</v>
      </c>
      <c r="K6" s="46" t="s">
        <v>26</v>
      </c>
      <c r="L6" s="47" t="s">
        <v>20</v>
      </c>
      <c r="M6" s="46" t="s">
        <v>6</v>
      </c>
      <c r="N6" s="51" t="s">
        <v>29</v>
      </c>
      <c r="O6" s="48" t="s">
        <v>7</v>
      </c>
      <c r="P6" s="49" t="s">
        <v>8</v>
      </c>
      <c r="Q6" s="23" t="s">
        <v>30</v>
      </c>
      <c r="R6" s="24" t="s">
        <v>32</v>
      </c>
      <c r="S6" s="50" t="str">
        <f>"Total heures de nuit"&amp;CHAR(10)&amp;"(de "&amp;TEXT(vingtdeux,"h")&amp;"h à "&amp;TEXT(sept,"h")&amp;"h)"</f>
        <v>Total heures de nuit
(de 22h à 7h)</v>
      </c>
      <c r="T6" s="46" t="s">
        <v>34</v>
      </c>
      <c r="U6" s="47" t="s">
        <v>33</v>
      </c>
    </row>
    <row r="7" spans="1:21" ht="12.75">
      <c r="A7" s="52"/>
      <c r="B7" s="52"/>
      <c r="C7" s="46"/>
      <c r="D7" s="46"/>
      <c r="E7" s="51"/>
      <c r="F7" s="47"/>
      <c r="G7" s="46"/>
      <c r="H7" s="47"/>
      <c r="I7" s="51"/>
      <c r="J7" s="47"/>
      <c r="K7" s="46"/>
      <c r="L7" s="47"/>
      <c r="M7" s="46"/>
      <c r="N7" s="51"/>
      <c r="O7" s="48"/>
      <c r="P7" s="49"/>
      <c r="Q7" s="25">
        <v>0.75</v>
      </c>
      <c r="R7" s="26">
        <v>0.2916666666666667</v>
      </c>
      <c r="S7" s="50"/>
      <c r="T7" s="46"/>
      <c r="U7" s="47"/>
    </row>
    <row r="8" spans="1:21" ht="12.75">
      <c r="A8" s="52"/>
      <c r="B8" s="52"/>
      <c r="C8" s="46"/>
      <c r="D8" s="46"/>
      <c r="E8" s="51"/>
      <c r="F8" s="47"/>
      <c r="G8" s="46"/>
      <c r="H8" s="47"/>
      <c r="I8" s="51"/>
      <c r="J8" s="47"/>
      <c r="K8" s="46"/>
      <c r="L8" s="47"/>
      <c r="M8" s="46"/>
      <c r="N8" s="51"/>
      <c r="O8" s="48"/>
      <c r="P8" s="49"/>
      <c r="Q8" s="27" t="s">
        <v>28</v>
      </c>
      <c r="R8" s="28" t="s">
        <v>31</v>
      </c>
      <c r="S8" s="50"/>
      <c r="T8" s="46"/>
      <c r="U8" s="47"/>
    </row>
    <row r="9" spans="1:21" ht="12.75">
      <c r="A9" s="52"/>
      <c r="B9" s="52"/>
      <c r="C9" s="46"/>
      <c r="D9" s="46"/>
      <c r="E9" s="51"/>
      <c r="F9" s="47"/>
      <c r="G9" s="46"/>
      <c r="H9" s="47"/>
      <c r="I9" s="51"/>
      <c r="J9" s="47"/>
      <c r="K9" s="46"/>
      <c r="L9" s="47"/>
      <c r="M9" s="46"/>
      <c r="N9" s="51"/>
      <c r="O9" s="48"/>
      <c r="P9" s="49"/>
      <c r="Q9" s="29">
        <v>0.9166666666666666</v>
      </c>
      <c r="R9" s="30">
        <v>0.9166666666666666</v>
      </c>
      <c r="S9" s="50"/>
      <c r="T9" s="46"/>
      <c r="U9" s="47"/>
    </row>
    <row r="10" spans="1:21" s="16" customFormat="1" ht="38.25">
      <c r="A10" s="9" t="s">
        <v>21</v>
      </c>
      <c r="B10" s="10" t="s">
        <v>38</v>
      </c>
      <c r="C10" s="35">
        <v>42551</v>
      </c>
      <c r="D10" s="35">
        <v>42552</v>
      </c>
      <c r="E10" s="11" t="e">
        <f>IF(#REF!="Astreinte","-",IF(#REF!="","",TEXT(F10,"jjj")))</f>
        <v>#REF!</v>
      </c>
      <c r="F10" s="11" t="str">
        <f aca="true" t="shared" si="0" ref="F10:F39">IF(A10="Astreinte","-",IF(A10="","",TEXT(G10,"jjj")))</f>
        <v>-</v>
      </c>
      <c r="G10" s="12" t="str">
        <f>IF(A10="","",IF(A10="Intervention","Date ?","-"))</f>
        <v>-</v>
      </c>
      <c r="H10" s="12" t="str">
        <f>IF(A10="","",IF(A10="Intervention","Heure ?","-"))</f>
        <v>-</v>
      </c>
      <c r="I10" s="12" t="str">
        <f>IF(A10="Astreinte","-","")</f>
        <v>-</v>
      </c>
      <c r="J10" s="11" t="str">
        <f aca="true" t="shared" si="1" ref="J10:J32">IF(A10="Astreinte","-",IF(A10="","",TEXT(K10,"jjj")))</f>
        <v>-</v>
      </c>
      <c r="K10" s="12" t="str">
        <f>IF(A10="","",IF(A10="Intervention","Date ?","-"))</f>
        <v>-</v>
      </c>
      <c r="L10" s="12" t="str">
        <f>IF(A10="","",IF(A10="Intervention","Date ?","-"))</f>
        <v>-</v>
      </c>
      <c r="M10" s="12" t="str">
        <f>IF(A10="Astreinte","-",IF(A10="Intervention",N10-H10,""))</f>
        <v>-</v>
      </c>
      <c r="N10" s="12" t="str">
        <f>IF(A10="Astreinte","-","")</f>
        <v>-</v>
      </c>
      <c r="O10" s="40" t="str">
        <f>IF(A10="","",IF(A10="Astreinte","-",IF(E10&lt;&gt;"Se","-",IF(F10="sam","-",IF(OR(E10="",A$10=""),"",((MAX(,MIN(H$2,$N10)-MAX(G$2,$H10))+((MAX(,MIN(H$3,$N10)-MAX(G$3,$H10)))))))))))</f>
        <v>-</v>
      </c>
      <c r="P10" s="41" t="str">
        <f>IF(A10="Astreinte","-",IF(OR(F10="sam",F10="dim"),"-",IF(OR(E10="",G$2=""),"",((MAX(,MIN(G$2,$N10)-MAX(R$7,$H10))+((MAX(,MIN(G$3,$N10)-MAX(H$2,$H10))+((MAX(,MIN(Q$7,$N10)-MAX(H$3,$H10)))))))))))</f>
        <v>-</v>
      </c>
      <c r="Q10" s="40" t="str">
        <f>IF(A10="Astreinte","-",IF(A10="","",IF(OR(G10="",Q$9="",I10&lt;&gt;"Se"),"",MAX(,MIN(Q$9,$N10)-MAX(Q$7,$H10)))))</f>
        <v>-</v>
      </c>
      <c r="R10" s="40" t="str">
        <f>IF(A10="Astreinte","-",IF(A10="","",IF(A10="Astreinte","-",IF(A10="","",IF(F10&lt;&gt;"sam","-",IF(OR(G10="",R$9=""),"",MAX(,MIN(R$9,$N10)-MAX(R$7,$H10))))))))</f>
        <v>-</v>
      </c>
      <c r="S10" s="40" t="str">
        <f aca="true" t="shared" si="2" ref="S10:S39">IF(A10="Astreinte","-",IF(A10="","",IF(G10&lt;&gt;K10,IF(E10="Se",MIN(1-H10,1-vingtdeux),0)+IF(I10="Se",MIN(L10,sept),0),IF(E10="Se",IF(H10&lt;sept,MIN(sept-H10,L10-H10),IF(L10&gt;=vingtdeux,MIN(L10-H10,L10-vingtdeux),0)),0))))</f>
        <v>-</v>
      </c>
      <c r="T10" s="40" t="str">
        <f>IF(A10="Astreinte","-",IF(A10="","",IF(AND(E10="Férié",I10="Férié"),L10-H10,IF(E10="Férié",$Q$9+2/24-H10,IF(I10="Férié",L10,)))))</f>
        <v>-</v>
      </c>
      <c r="U10" s="40" t="str">
        <f>IF(A10="Astreinte","-",IF(A10="","",(H10&gt;L10)*((WEEKDAY(G10)=7)*L10+(WEEKDAY(G10)=1)*(1-H10))+(H10&lt;L10)*(WEEKDAY(G10)=1)*(L10-H10)))</f>
        <v>-</v>
      </c>
    </row>
    <row r="11" spans="1:21" s="16" customFormat="1" ht="12.75">
      <c r="A11" s="9" t="s">
        <v>22</v>
      </c>
      <c r="B11" s="10" t="s">
        <v>23</v>
      </c>
      <c r="C11" s="21" t="str">
        <f aca="true" t="shared" si="3" ref="C11:C39">IF(A11="","",IF(A11="Intervention","-","Date ?"))</f>
        <v>-</v>
      </c>
      <c r="D11" s="21" t="str">
        <f aca="true" t="shared" si="4" ref="D11:D39">IF(A11="","",IF(A11="Intervention","-","Date ?"))</f>
        <v>-</v>
      </c>
      <c r="E11" s="14" t="str">
        <f aca="true" t="shared" si="5" ref="E11:E39">IF(A11="Astreinte","-",IF(G11="","",IF(COUNTIF(Fer,G11)&gt;0,"Férié",IF(WEEKDAY(G11,2)&lt;=6,"Se","Dim"))))</f>
        <v>Dim</v>
      </c>
      <c r="F11" s="11" t="str">
        <f t="shared" si="0"/>
        <v>dim</v>
      </c>
      <c r="G11" s="12">
        <v>42568</v>
      </c>
      <c r="H11" s="38">
        <v>0.30625</v>
      </c>
      <c r="I11" s="14" t="str">
        <f>IF(K11="","",IF(COUNTIF(Fer,K11)&gt;0,"Férié",IF(WEEKDAY(K11,2)&lt;=6,"Se","Dim")))</f>
        <v>Se</v>
      </c>
      <c r="J11" s="11" t="str">
        <f t="shared" si="1"/>
        <v>ven</v>
      </c>
      <c r="K11" s="12">
        <v>42552</v>
      </c>
      <c r="L11" s="15">
        <v>0.3576388888888889</v>
      </c>
      <c r="M11" s="42">
        <f>IF(A11="Astreinte","-",IF(A11="Intervention",N11-H11,""))</f>
        <v>0.05138888888888887</v>
      </c>
      <c r="N11" s="43">
        <f>IF(OR(H11="",L11=""),"",IF(L11&lt;H11,L11+24/24,L11))</f>
        <v>0.3576388888888889</v>
      </c>
      <c r="O11" s="40" t="str">
        <f aca="true" t="shared" si="6" ref="O11:O39">IF(A11="","",IF(A11="Astreinte","-",IF(E11&lt;&gt;"Se","-",IF(F11="sam","-",IF(OR(E11="",A$10=""),"",((MAX(,MIN(H$2,$N11)-MAX(G$2,$H11))+((MAX(,MIN(H$3,$N11)-MAX(G$3,$H11)))))))))))</f>
        <v>-</v>
      </c>
      <c r="P11" s="41" t="str">
        <f aca="true" t="shared" si="7" ref="P11:P39">IF(A11="Astreinte","-",IF(OR(F11="sam",F11="dim"),"-",IF(OR(E11="",G$2=""),"",((MAX(,MIN(G$2,$N11)-MAX(R$7,$H11))+((MAX(,MIN(G$3,$N11)-MAX(H$2,$H11))+((MAX(,MIN(Q$7,$N11)-MAX(H$3,$H11)))))))))))</f>
        <v>-</v>
      </c>
      <c r="Q11" s="40">
        <f>IF(A11="Astreinte","-",IF(A11="","",IF(OR(G11="",Q$9="",I11&lt;&gt;"Se"),"",MAX(,MIN(Q$9,$N11)-MAX(Q$7,$H11)))))</f>
        <v>0</v>
      </c>
      <c r="R11" s="40" t="str">
        <f>IF(A11="Astreinte","-",IF(A11="","",IF(A11="Astreinte","-",IF(A11="","",IF(F11&lt;&gt;"sam","-",IF(OR(G11="",R$9=""),"",MAX(,MIN(R$9,$N11)-MAX(R$7,$H11))))))))</f>
        <v>-</v>
      </c>
      <c r="S11" s="40">
        <f t="shared" si="2"/>
        <v>0.2916666666666667</v>
      </c>
      <c r="T11" s="40">
        <f>IF(A11="Astreinte","-",IF(A11="","",IF(AND(E11="Férié",I11="Férié"),L11-H11,IF(E11="Férié",$Q$9+2/24-H11,IF(I11="Férié",L11,)))))</f>
        <v>0</v>
      </c>
      <c r="U11" s="40">
        <f>IF(A11="Astreinte","-",IF(A11="","",(H11&gt;L11)*((WEEKDAY(G11)=7)*L11+(WEEKDAY(G11)=1)*(1-H11))+(H11&lt;L11)*(WEEKDAY(G11)=1)*(L11-H11)))</f>
        <v>0.05138888888888887</v>
      </c>
    </row>
    <row r="12" spans="1:21" s="16" customFormat="1" ht="25.5">
      <c r="A12" s="9" t="s">
        <v>21</v>
      </c>
      <c r="B12" s="10" t="s">
        <v>37</v>
      </c>
      <c r="C12" s="35">
        <v>42552</v>
      </c>
      <c r="D12" s="35">
        <v>42558</v>
      </c>
      <c r="E12" s="14" t="str">
        <f t="shared" si="5"/>
        <v>-</v>
      </c>
      <c r="F12" s="11" t="str">
        <f t="shared" si="0"/>
        <v>-</v>
      </c>
      <c r="G12" s="12" t="str">
        <f>IF(A12="","",IF(A12="Intervention","Date ?","-"))</f>
        <v>-</v>
      </c>
      <c r="H12" s="12" t="str">
        <f>IF(A12="","",IF(A12="Intervention","Heure ?","-"))</f>
        <v>-</v>
      </c>
      <c r="I12" s="12" t="str">
        <f>IF(A12="Astreinte","-","")</f>
        <v>-</v>
      </c>
      <c r="J12" s="11" t="str">
        <f t="shared" si="1"/>
        <v>-</v>
      </c>
      <c r="K12" s="12" t="str">
        <f>IF(A12="","",IF(A12="Intervention","Date ?","-"))</f>
        <v>-</v>
      </c>
      <c r="L12" s="12" t="str">
        <f>IF(A12="","",IF(A12="Intervention","Date ?","-"))</f>
        <v>-</v>
      </c>
      <c r="M12" s="42" t="str">
        <f aca="true" t="shared" si="8" ref="M12:M39">IF(A12="Astreinte","-",IF(A12="Intervention",N12-H12,""))</f>
        <v>-</v>
      </c>
      <c r="N12" s="12" t="str">
        <f>IF(A12="Astreinte","-","")</f>
        <v>-</v>
      </c>
      <c r="O12" s="40" t="str">
        <f t="shared" si="6"/>
        <v>-</v>
      </c>
      <c r="P12" s="41" t="str">
        <f t="shared" si="7"/>
        <v>-</v>
      </c>
      <c r="Q12" s="40" t="str">
        <f aca="true" t="shared" si="9" ref="Q12:Q39">IF(A12="Astreinte","-",IF(A12="","",IF(OR(G12="",Q$9="",I12&lt;&gt;"Se"),"",MAX(,MIN(Q$9,$N12)-MAX(Q$7,$H12)))))</f>
        <v>-</v>
      </c>
      <c r="R12" s="40" t="str">
        <f aca="true" t="shared" si="10" ref="R12:R39">IF(A12="Astreinte","-",IF(A12="","",IF(A12="Astreinte","-",IF(A12="","",IF(F12&lt;&gt;"sam","-",IF(OR(G12="",R$9=""),"",MAX(,MIN(R$9,$N12)-MAX(R$7,$H12))))))))</f>
        <v>-</v>
      </c>
      <c r="S12" s="40" t="str">
        <f t="shared" si="2"/>
        <v>-</v>
      </c>
      <c r="T12" s="40" t="str">
        <f aca="true" t="shared" si="11" ref="T12:T39">IF(A12="Astreinte","-",IF(A12="","",IF(AND(E12="Férié",I12="Férié"),L12-H12,IF(E12="Férié",$Q$9+2/24-H12,IF(I12="Férié",L12,)))))</f>
        <v>-</v>
      </c>
      <c r="U12" s="40" t="str">
        <f aca="true" t="shared" si="12" ref="U12:U39">IF(A12="Astreinte","-",IF(A12="","",(H12&gt;L12)*((WEEKDAY(G12)=7)*L12+(WEEKDAY(G12)=1)*(1-H12))+(H12&lt;L12)*(WEEKDAY(G12)=1)*(L12-H12)))</f>
        <v>-</v>
      </c>
    </row>
    <row r="13" spans="1:21" s="16" customFormat="1" ht="12.75">
      <c r="A13" s="9" t="s">
        <v>22</v>
      </c>
      <c r="B13" s="10" t="s">
        <v>23</v>
      </c>
      <c r="C13" s="21" t="str">
        <f t="shared" si="3"/>
        <v>-</v>
      </c>
      <c r="D13" s="21" t="str">
        <f t="shared" si="4"/>
        <v>-</v>
      </c>
      <c r="E13" s="14" t="str">
        <f t="shared" si="5"/>
        <v>Dim</v>
      </c>
      <c r="F13" s="11" t="str">
        <f t="shared" si="0"/>
        <v>dim</v>
      </c>
      <c r="G13" s="12">
        <v>42561</v>
      </c>
      <c r="H13" s="38">
        <v>0.5833333333333334</v>
      </c>
      <c r="I13" s="14" t="str">
        <f aca="true" t="shared" si="13" ref="I13:I28">IF(K13="","",IF(COUNTIF(Fer,K13)&gt;0,"Férié",IF(WEEKDAY(K13,2)&lt;=6,"Se","Dim")))</f>
        <v>Dim</v>
      </c>
      <c r="J13" s="11" t="str">
        <f t="shared" si="1"/>
        <v>dim</v>
      </c>
      <c r="K13" s="12">
        <v>42561</v>
      </c>
      <c r="L13" s="15">
        <v>0.7083333333333334</v>
      </c>
      <c r="M13" s="42">
        <f t="shared" si="8"/>
        <v>0.125</v>
      </c>
      <c r="N13" s="43">
        <f>IF(OR(H13="",L13=""),"",IF(L13&lt;H13,L13+24/24,L13))</f>
        <v>0.7083333333333334</v>
      </c>
      <c r="O13" s="40" t="str">
        <f t="shared" si="6"/>
        <v>-</v>
      </c>
      <c r="P13" s="41" t="str">
        <f t="shared" si="7"/>
        <v>-</v>
      </c>
      <c r="Q13" s="40">
        <f t="shared" si="9"/>
      </c>
      <c r="R13" s="40" t="str">
        <f t="shared" si="10"/>
        <v>-</v>
      </c>
      <c r="S13" s="40">
        <f t="shared" si="2"/>
        <v>0</v>
      </c>
      <c r="T13" s="40">
        <f t="shared" si="11"/>
        <v>0</v>
      </c>
      <c r="U13" s="40">
        <f t="shared" si="12"/>
        <v>0.125</v>
      </c>
    </row>
    <row r="14" spans="1:21" s="16" customFormat="1" ht="12.75">
      <c r="A14" s="9" t="s">
        <v>22</v>
      </c>
      <c r="B14" s="20" t="s">
        <v>23</v>
      </c>
      <c r="C14" s="21" t="str">
        <f t="shared" si="3"/>
        <v>-</v>
      </c>
      <c r="D14" s="21" t="str">
        <f t="shared" si="4"/>
        <v>-</v>
      </c>
      <c r="E14" s="14" t="str">
        <f t="shared" si="5"/>
        <v>Dim</v>
      </c>
      <c r="F14" s="11" t="str">
        <f t="shared" si="0"/>
        <v>dim</v>
      </c>
      <c r="G14" s="12">
        <v>42561</v>
      </c>
      <c r="H14" s="38">
        <v>0.9583333333333334</v>
      </c>
      <c r="I14" s="14" t="str">
        <f t="shared" si="13"/>
        <v>Se</v>
      </c>
      <c r="J14" s="11" t="str">
        <f t="shared" si="1"/>
        <v>lun</v>
      </c>
      <c r="K14" s="17">
        <v>42562</v>
      </c>
      <c r="L14" s="22">
        <v>0.08333333333333333</v>
      </c>
      <c r="M14" s="42">
        <f t="shared" si="8"/>
        <v>0.12499999999999989</v>
      </c>
      <c r="N14" s="43">
        <f>IF(OR(H14="",L14=""),"",IF(L14&lt;H14,L14+24/24,L14))</f>
        <v>1.0833333333333333</v>
      </c>
      <c r="O14" s="40" t="str">
        <f t="shared" si="6"/>
        <v>-</v>
      </c>
      <c r="P14" s="41" t="str">
        <f t="shared" si="7"/>
        <v>-</v>
      </c>
      <c r="Q14" s="40">
        <f t="shared" si="9"/>
        <v>0</v>
      </c>
      <c r="R14" s="40" t="str">
        <f t="shared" si="10"/>
        <v>-</v>
      </c>
      <c r="S14" s="40">
        <f t="shared" si="2"/>
        <v>0.08333333333333333</v>
      </c>
      <c r="T14" s="40">
        <f t="shared" si="11"/>
        <v>0</v>
      </c>
      <c r="U14" s="40">
        <f t="shared" si="12"/>
        <v>0.04166666666666663</v>
      </c>
    </row>
    <row r="15" spans="1:21" s="16" customFormat="1" ht="12.75">
      <c r="A15" s="9" t="s">
        <v>22</v>
      </c>
      <c r="B15" s="10" t="s">
        <v>23</v>
      </c>
      <c r="C15" s="21" t="str">
        <f t="shared" si="3"/>
        <v>-</v>
      </c>
      <c r="D15" s="21" t="str">
        <f t="shared" si="4"/>
        <v>-</v>
      </c>
      <c r="E15" s="14" t="str">
        <f t="shared" si="5"/>
        <v>Se</v>
      </c>
      <c r="F15" s="11" t="str">
        <f t="shared" si="0"/>
        <v>lun</v>
      </c>
      <c r="G15" s="12">
        <v>42562</v>
      </c>
      <c r="H15" s="38">
        <v>0.5833333333333334</v>
      </c>
      <c r="I15" s="14" t="str">
        <f t="shared" si="13"/>
        <v>Se</v>
      </c>
      <c r="J15" s="11" t="str">
        <f t="shared" si="1"/>
        <v>lun</v>
      </c>
      <c r="K15" s="12">
        <v>42562</v>
      </c>
      <c r="L15" s="15">
        <v>0.7083333333333334</v>
      </c>
      <c r="M15" s="42">
        <f t="shared" si="8"/>
        <v>0.125</v>
      </c>
      <c r="N15" s="43">
        <f>IF(OR(H15="",L15=""),"",IF(L15&lt;H15,L15+24/24,L15))</f>
        <v>0.7083333333333334</v>
      </c>
      <c r="O15" s="40">
        <f t="shared" si="6"/>
        <v>0.125</v>
      </c>
      <c r="P15" s="41">
        <f t="shared" si="7"/>
        <v>0</v>
      </c>
      <c r="Q15" s="40">
        <f t="shared" si="9"/>
        <v>0</v>
      </c>
      <c r="R15" s="40" t="str">
        <f t="shared" si="10"/>
        <v>-</v>
      </c>
      <c r="S15" s="40">
        <f t="shared" si="2"/>
        <v>0</v>
      </c>
      <c r="T15" s="40">
        <f t="shared" si="11"/>
        <v>0</v>
      </c>
      <c r="U15" s="40">
        <f t="shared" si="12"/>
        <v>0</v>
      </c>
    </row>
    <row r="16" spans="1:21" s="16" customFormat="1" ht="12.75">
      <c r="A16" s="9" t="s">
        <v>22</v>
      </c>
      <c r="B16" s="20" t="s">
        <v>23</v>
      </c>
      <c r="C16" s="21" t="str">
        <f t="shared" si="3"/>
        <v>-</v>
      </c>
      <c r="D16" s="21" t="str">
        <f t="shared" si="4"/>
        <v>-</v>
      </c>
      <c r="E16" s="14" t="str">
        <f t="shared" si="5"/>
        <v>Se</v>
      </c>
      <c r="F16" s="11" t="str">
        <f t="shared" si="0"/>
        <v>mar</v>
      </c>
      <c r="G16" s="12">
        <v>42563</v>
      </c>
      <c r="H16" s="38">
        <v>0.7708333333333334</v>
      </c>
      <c r="I16" s="14" t="str">
        <f t="shared" si="13"/>
        <v>Se</v>
      </c>
      <c r="J16" s="11" t="str">
        <f t="shared" si="1"/>
        <v>mar</v>
      </c>
      <c r="K16" s="17">
        <v>42563</v>
      </c>
      <c r="L16" s="22">
        <v>0.8958333333333334</v>
      </c>
      <c r="M16" s="42">
        <f t="shared" si="8"/>
        <v>0.125</v>
      </c>
      <c r="N16" s="43">
        <f>IF(OR(H16="",L16=""),"",IF(L16&lt;H16,L16+24/24,L16))</f>
        <v>0.8958333333333334</v>
      </c>
      <c r="O16" s="40">
        <f t="shared" si="6"/>
        <v>0</v>
      </c>
      <c r="P16" s="41">
        <f t="shared" si="7"/>
        <v>0</v>
      </c>
      <c r="Q16" s="40">
        <f t="shared" si="9"/>
        <v>0.125</v>
      </c>
      <c r="R16" s="40" t="str">
        <f t="shared" si="10"/>
        <v>-</v>
      </c>
      <c r="S16" s="40">
        <f t="shared" si="2"/>
        <v>0</v>
      </c>
      <c r="T16" s="40">
        <f t="shared" si="11"/>
        <v>0</v>
      </c>
      <c r="U16" s="40">
        <f t="shared" si="12"/>
        <v>0</v>
      </c>
    </row>
    <row r="17" spans="1:21" ht="12.75">
      <c r="A17" s="9" t="s">
        <v>22</v>
      </c>
      <c r="B17" s="10" t="s">
        <v>23</v>
      </c>
      <c r="C17" s="21" t="str">
        <f t="shared" si="3"/>
        <v>-</v>
      </c>
      <c r="D17" s="21" t="str">
        <f t="shared" si="4"/>
        <v>-</v>
      </c>
      <c r="E17" s="14" t="str">
        <f t="shared" si="5"/>
        <v>Se</v>
      </c>
      <c r="F17" s="11" t="str">
        <f t="shared" si="0"/>
        <v>mer</v>
      </c>
      <c r="G17" s="12">
        <v>42564</v>
      </c>
      <c r="H17" s="38">
        <v>0.8333333333333334</v>
      </c>
      <c r="I17" s="14" t="str">
        <f t="shared" si="13"/>
        <v>Se</v>
      </c>
      <c r="J17" s="11" t="str">
        <f t="shared" si="1"/>
        <v>mer</v>
      </c>
      <c r="K17" s="17">
        <v>42564</v>
      </c>
      <c r="L17" s="15">
        <v>0.9583333333333334</v>
      </c>
      <c r="M17" s="42">
        <f t="shared" si="8"/>
        <v>0.125</v>
      </c>
      <c r="N17" s="43">
        <f>IF(OR(H17="",L17=""),"",IF(L17&lt;H17,L17+24/24,L17))</f>
        <v>0.9583333333333334</v>
      </c>
      <c r="O17" s="40">
        <f t="shared" si="6"/>
        <v>0</v>
      </c>
      <c r="P17" s="41">
        <f t="shared" si="7"/>
        <v>0</v>
      </c>
      <c r="Q17" s="40">
        <f t="shared" si="9"/>
        <v>0.08333333333333326</v>
      </c>
      <c r="R17" s="40" t="str">
        <f t="shared" si="10"/>
        <v>-</v>
      </c>
      <c r="S17" s="40">
        <f t="shared" si="2"/>
        <v>0.04166666666666674</v>
      </c>
      <c r="T17" s="40">
        <f t="shared" si="11"/>
        <v>0</v>
      </c>
      <c r="U17" s="40">
        <f t="shared" si="12"/>
        <v>0</v>
      </c>
    </row>
    <row r="18" spans="1:21" s="16" customFormat="1" ht="25.5">
      <c r="A18" s="9" t="s">
        <v>21</v>
      </c>
      <c r="B18" s="10" t="s">
        <v>37</v>
      </c>
      <c r="C18" s="35">
        <v>42565</v>
      </c>
      <c r="D18" s="35">
        <v>42572</v>
      </c>
      <c r="E18" s="14" t="str">
        <f t="shared" si="5"/>
        <v>-</v>
      </c>
      <c r="F18" s="11" t="str">
        <f t="shared" si="0"/>
        <v>-</v>
      </c>
      <c r="G18" s="12" t="str">
        <f>IF(A18="","",IF(A18="Intervention","Date ?","-"))</f>
        <v>-</v>
      </c>
      <c r="H18" s="12" t="str">
        <f>IF(A18="","",IF(A18="Intervention","Heure ?","-"))</f>
        <v>-</v>
      </c>
      <c r="I18" s="12" t="str">
        <f>IF(A18="Astreinte","-","")</f>
        <v>-</v>
      </c>
      <c r="J18" s="11" t="str">
        <f t="shared" si="1"/>
        <v>-</v>
      </c>
      <c r="K18" s="12" t="str">
        <f>IF(A18="","",IF(A18="Intervention","Date ?","-"))</f>
        <v>-</v>
      </c>
      <c r="L18" s="12" t="str">
        <f>IF(A18="","",IF(A18="Intervention","Date ?","-"))</f>
        <v>-</v>
      </c>
      <c r="M18" s="42" t="str">
        <f t="shared" si="8"/>
        <v>-</v>
      </c>
      <c r="N18" s="12" t="str">
        <f>IF(A18="Astreinte","-","")</f>
        <v>-</v>
      </c>
      <c r="O18" s="40" t="str">
        <f t="shared" si="6"/>
        <v>-</v>
      </c>
      <c r="P18" s="41" t="str">
        <f t="shared" si="7"/>
        <v>-</v>
      </c>
      <c r="Q18" s="40" t="str">
        <f t="shared" si="9"/>
        <v>-</v>
      </c>
      <c r="R18" s="40" t="str">
        <f t="shared" si="10"/>
        <v>-</v>
      </c>
      <c r="S18" s="40" t="str">
        <f t="shared" si="2"/>
        <v>-</v>
      </c>
      <c r="T18" s="40" t="str">
        <f t="shared" si="11"/>
        <v>-</v>
      </c>
      <c r="U18" s="40" t="str">
        <f t="shared" si="12"/>
        <v>-</v>
      </c>
    </row>
    <row r="19" spans="1:21" ht="12.75">
      <c r="A19" s="9" t="s">
        <v>22</v>
      </c>
      <c r="B19" s="10" t="s">
        <v>23</v>
      </c>
      <c r="C19" s="21" t="str">
        <f t="shared" si="3"/>
        <v>-</v>
      </c>
      <c r="D19" s="21" t="str">
        <f t="shared" si="4"/>
        <v>-</v>
      </c>
      <c r="E19" s="14" t="str">
        <f t="shared" si="5"/>
        <v>Férié</v>
      </c>
      <c r="F19" s="11" t="str">
        <f t="shared" si="0"/>
        <v>jeu</v>
      </c>
      <c r="G19" s="12">
        <v>42565</v>
      </c>
      <c r="H19" s="38">
        <v>0.9583333333333334</v>
      </c>
      <c r="I19" s="14" t="str">
        <f t="shared" si="13"/>
        <v>Se</v>
      </c>
      <c r="J19" s="11" t="str">
        <f t="shared" si="1"/>
        <v>ven</v>
      </c>
      <c r="K19" s="17">
        <v>42566</v>
      </c>
      <c r="L19" s="22">
        <v>0.08333333333333333</v>
      </c>
      <c r="M19" s="42">
        <f t="shared" si="8"/>
        <v>0.12499999999999989</v>
      </c>
      <c r="N19" s="43">
        <f aca="true" t="shared" si="14" ref="N19:N28">IF(OR(H19="",L19=""),"",IF(L19&lt;H19,L19+24/24,L19))</f>
        <v>1.0833333333333333</v>
      </c>
      <c r="O19" s="40" t="str">
        <f t="shared" si="6"/>
        <v>-</v>
      </c>
      <c r="P19" s="41">
        <f t="shared" si="7"/>
        <v>0</v>
      </c>
      <c r="Q19" s="40">
        <f t="shared" si="9"/>
        <v>0</v>
      </c>
      <c r="R19" s="40" t="str">
        <f t="shared" si="10"/>
        <v>-</v>
      </c>
      <c r="S19" s="40">
        <f t="shared" si="2"/>
        <v>0.08333333333333333</v>
      </c>
      <c r="T19" s="40">
        <f t="shared" si="11"/>
        <v>0.04166666666666663</v>
      </c>
      <c r="U19" s="40">
        <f t="shared" si="12"/>
        <v>0</v>
      </c>
    </row>
    <row r="20" spans="1:21" ht="12.75">
      <c r="A20" s="9" t="s">
        <v>22</v>
      </c>
      <c r="B20" s="10" t="s">
        <v>23</v>
      </c>
      <c r="C20" s="21" t="str">
        <f t="shared" si="3"/>
        <v>-</v>
      </c>
      <c r="D20" s="21" t="str">
        <f t="shared" si="4"/>
        <v>-</v>
      </c>
      <c r="E20" s="14" t="str">
        <f t="shared" si="5"/>
        <v>Férié</v>
      </c>
      <c r="F20" s="11" t="str">
        <f t="shared" si="0"/>
        <v>jeu</v>
      </c>
      <c r="G20" s="12">
        <v>42565</v>
      </c>
      <c r="H20" s="38">
        <v>0.8895833333333334</v>
      </c>
      <c r="I20" s="14" t="str">
        <f>IF(K20="","",IF(COUNTIF(Fer,K20)&gt;0,"Férié",IF(WEEKDAY(K20,2)&lt;=6,"Se","Dim")))</f>
        <v>Férié</v>
      </c>
      <c r="J20" s="11" t="str">
        <f t="shared" si="1"/>
        <v>jeu</v>
      </c>
      <c r="K20" s="17">
        <v>42565</v>
      </c>
      <c r="L20" s="22">
        <v>0.936111111111111</v>
      </c>
      <c r="M20" s="42">
        <f t="shared" si="8"/>
        <v>0.04652777777777761</v>
      </c>
      <c r="N20" s="43">
        <f t="shared" si="14"/>
        <v>0.936111111111111</v>
      </c>
      <c r="O20" s="40" t="str">
        <f t="shared" si="6"/>
        <v>-</v>
      </c>
      <c r="P20" s="41">
        <f t="shared" si="7"/>
        <v>0</v>
      </c>
      <c r="Q20" s="40">
        <f t="shared" si="9"/>
      </c>
      <c r="R20" s="40" t="str">
        <f t="shared" si="10"/>
        <v>-</v>
      </c>
      <c r="S20" s="40">
        <f t="shared" si="2"/>
        <v>0</v>
      </c>
      <c r="T20" s="40">
        <f t="shared" si="11"/>
        <v>0.04652777777777761</v>
      </c>
      <c r="U20" s="40">
        <f t="shared" si="12"/>
        <v>0</v>
      </c>
    </row>
    <row r="21" spans="1:21" ht="12.75">
      <c r="A21" s="9" t="s">
        <v>22</v>
      </c>
      <c r="B21" s="10" t="s">
        <v>23</v>
      </c>
      <c r="C21" s="21" t="str">
        <f t="shared" si="3"/>
        <v>-</v>
      </c>
      <c r="D21" s="21" t="str">
        <f t="shared" si="4"/>
        <v>-</v>
      </c>
      <c r="E21" s="14" t="str">
        <f t="shared" si="5"/>
        <v>Se</v>
      </c>
      <c r="F21" s="11" t="str">
        <f t="shared" si="0"/>
        <v>ven</v>
      </c>
      <c r="G21" s="12">
        <v>42566</v>
      </c>
      <c r="H21" s="38">
        <v>0.9583333333333334</v>
      </c>
      <c r="I21" s="14" t="str">
        <f t="shared" si="13"/>
        <v>Se</v>
      </c>
      <c r="J21" s="11" t="str">
        <f t="shared" si="1"/>
        <v>sam</v>
      </c>
      <c r="K21" s="17">
        <v>42567</v>
      </c>
      <c r="L21" s="22">
        <v>0.08333333333333333</v>
      </c>
      <c r="M21" s="42">
        <f t="shared" si="8"/>
        <v>0.12499999999999989</v>
      </c>
      <c r="N21" s="43">
        <f t="shared" si="14"/>
        <v>1.0833333333333333</v>
      </c>
      <c r="O21" s="40">
        <f t="shared" si="6"/>
        <v>0</v>
      </c>
      <c r="P21" s="41">
        <f t="shared" si="7"/>
        <v>0</v>
      </c>
      <c r="Q21" s="40">
        <f t="shared" si="9"/>
        <v>0</v>
      </c>
      <c r="R21" s="40" t="str">
        <f t="shared" si="10"/>
        <v>-</v>
      </c>
      <c r="S21" s="40">
        <f t="shared" si="2"/>
        <v>0.12499999999999996</v>
      </c>
      <c r="T21" s="40">
        <f t="shared" si="11"/>
        <v>0</v>
      </c>
      <c r="U21" s="40">
        <f t="shared" si="12"/>
        <v>0</v>
      </c>
    </row>
    <row r="22" spans="1:21" ht="12.75">
      <c r="A22" s="9" t="s">
        <v>22</v>
      </c>
      <c r="B22" s="10" t="s">
        <v>23</v>
      </c>
      <c r="C22" s="21" t="str">
        <f t="shared" si="3"/>
        <v>-</v>
      </c>
      <c r="D22" s="21" t="str">
        <f t="shared" si="4"/>
        <v>-</v>
      </c>
      <c r="E22" s="14" t="str">
        <f t="shared" si="5"/>
        <v>Se</v>
      </c>
      <c r="F22" s="37" t="str">
        <f t="shared" si="0"/>
        <v>sam</v>
      </c>
      <c r="G22" s="12">
        <v>42567</v>
      </c>
      <c r="H22" s="38">
        <v>0.3333333333333333</v>
      </c>
      <c r="I22" s="14" t="str">
        <f t="shared" si="13"/>
        <v>Se</v>
      </c>
      <c r="J22" s="11" t="str">
        <f t="shared" si="1"/>
        <v>sam</v>
      </c>
      <c r="K22" s="17">
        <v>42567</v>
      </c>
      <c r="L22" s="22">
        <v>0.4583333333333333</v>
      </c>
      <c r="M22" s="42">
        <f t="shared" si="8"/>
        <v>0.125</v>
      </c>
      <c r="N22" s="43">
        <f t="shared" si="14"/>
        <v>0.4583333333333333</v>
      </c>
      <c r="O22" s="40" t="str">
        <f t="shared" si="6"/>
        <v>-</v>
      </c>
      <c r="P22" s="41" t="str">
        <f t="shared" si="7"/>
        <v>-</v>
      </c>
      <c r="Q22" s="40">
        <f t="shared" si="9"/>
        <v>0</v>
      </c>
      <c r="R22" s="40">
        <f t="shared" si="10"/>
        <v>0.125</v>
      </c>
      <c r="S22" s="40">
        <f t="shared" si="2"/>
        <v>0</v>
      </c>
      <c r="T22" s="40">
        <f t="shared" si="11"/>
        <v>0</v>
      </c>
      <c r="U22" s="40">
        <f t="shared" si="12"/>
        <v>0</v>
      </c>
    </row>
    <row r="23" spans="1:21" ht="12.75">
      <c r="A23" s="9" t="s">
        <v>22</v>
      </c>
      <c r="B23" s="10" t="s">
        <v>23</v>
      </c>
      <c r="C23" s="21" t="str">
        <f t="shared" si="3"/>
        <v>-</v>
      </c>
      <c r="D23" s="21" t="str">
        <f t="shared" si="4"/>
        <v>-</v>
      </c>
      <c r="E23" s="14" t="str">
        <f t="shared" si="5"/>
        <v>Se</v>
      </c>
      <c r="F23" s="37" t="str">
        <f t="shared" si="0"/>
        <v>sam</v>
      </c>
      <c r="G23" s="12">
        <v>42567</v>
      </c>
      <c r="H23" s="38">
        <v>0.2555555555555556</v>
      </c>
      <c r="I23" s="14" t="str">
        <f>IF(K23="","",IF(COUNTIF(Fer,K23)&gt;0,"Férié",IF(WEEKDAY(K23,2)&lt;=6,"Se","Dim")))</f>
        <v>Se</v>
      </c>
      <c r="J23" s="11" t="str">
        <f t="shared" si="1"/>
        <v>sam</v>
      </c>
      <c r="K23" s="17">
        <v>42567</v>
      </c>
      <c r="L23" s="22">
        <v>0.3888888888888889</v>
      </c>
      <c r="M23" s="42">
        <f t="shared" si="8"/>
        <v>0.1333333333333333</v>
      </c>
      <c r="N23" s="43">
        <f>IF(OR(H23="",L23=""),"",IF(L23&lt;H23,L23+24/24,L23))</f>
        <v>0.3888888888888889</v>
      </c>
      <c r="O23" s="40" t="str">
        <f t="shared" si="6"/>
        <v>-</v>
      </c>
      <c r="P23" s="41" t="str">
        <f t="shared" si="7"/>
        <v>-</v>
      </c>
      <c r="Q23" s="40">
        <f t="shared" si="9"/>
        <v>0</v>
      </c>
      <c r="R23" s="40">
        <f t="shared" si="10"/>
        <v>0.09722222222222221</v>
      </c>
      <c r="S23" s="40">
        <f t="shared" si="2"/>
        <v>0.036111111111111094</v>
      </c>
      <c r="T23" s="40">
        <f t="shared" si="11"/>
        <v>0</v>
      </c>
      <c r="U23" s="40">
        <f t="shared" si="12"/>
        <v>0</v>
      </c>
    </row>
    <row r="24" spans="1:21" ht="12.75">
      <c r="A24" s="9" t="s">
        <v>22</v>
      </c>
      <c r="B24" s="10" t="s">
        <v>23</v>
      </c>
      <c r="C24" s="21" t="str">
        <f t="shared" si="3"/>
        <v>-</v>
      </c>
      <c r="D24" s="21" t="str">
        <f t="shared" si="4"/>
        <v>-</v>
      </c>
      <c r="E24" s="14" t="str">
        <f t="shared" si="5"/>
        <v>Se</v>
      </c>
      <c r="F24" s="37" t="str">
        <f t="shared" si="0"/>
        <v>sam</v>
      </c>
      <c r="G24" s="12">
        <v>42567</v>
      </c>
      <c r="H24" s="38">
        <v>0.5645833333333333</v>
      </c>
      <c r="I24" s="14" t="str">
        <f>IF(K24="","",IF(COUNTIF(Fer,K24)&gt;0,"Férié",IF(WEEKDAY(K24,2)&lt;=6,"Se","Dim")))</f>
        <v>Se</v>
      </c>
      <c r="J24" s="11" t="str">
        <f t="shared" si="1"/>
        <v>sam</v>
      </c>
      <c r="K24" s="17">
        <v>42567</v>
      </c>
      <c r="L24" s="22">
        <v>0.5694444444444444</v>
      </c>
      <c r="M24" s="42">
        <f t="shared" si="8"/>
        <v>0.004861111111111094</v>
      </c>
      <c r="N24" s="43">
        <f>IF(OR(H24="",L24=""),"",IF(L24&lt;H24,L24+24/24,L24))</f>
        <v>0.5694444444444444</v>
      </c>
      <c r="O24" s="40" t="str">
        <f t="shared" si="6"/>
        <v>-</v>
      </c>
      <c r="P24" s="41" t="str">
        <f t="shared" si="7"/>
        <v>-</v>
      </c>
      <c r="Q24" s="40">
        <f t="shared" si="9"/>
        <v>0</v>
      </c>
      <c r="R24" s="40">
        <f t="shared" si="10"/>
        <v>0.004861111111111094</v>
      </c>
      <c r="S24" s="40">
        <f t="shared" si="2"/>
        <v>0</v>
      </c>
      <c r="T24" s="40">
        <f t="shared" si="11"/>
        <v>0</v>
      </c>
      <c r="U24" s="40">
        <f t="shared" si="12"/>
        <v>0</v>
      </c>
    </row>
    <row r="25" spans="1:21" ht="12.75">
      <c r="A25" s="9" t="s">
        <v>22</v>
      </c>
      <c r="B25" s="10" t="s">
        <v>23</v>
      </c>
      <c r="C25" s="21" t="str">
        <f t="shared" si="3"/>
        <v>-</v>
      </c>
      <c r="D25" s="21" t="str">
        <f t="shared" si="4"/>
        <v>-</v>
      </c>
      <c r="E25" s="14" t="str">
        <f t="shared" si="5"/>
        <v>Dim</v>
      </c>
      <c r="F25" s="11" t="str">
        <f t="shared" si="0"/>
        <v>dim</v>
      </c>
      <c r="G25" s="12">
        <v>42568</v>
      </c>
      <c r="H25" s="38">
        <v>0.3090277777777778</v>
      </c>
      <c r="I25" s="14" t="str">
        <f>IF(K25="","",IF(COUNTIF(Fer,K25)&gt;0,"Férié",IF(WEEKDAY(K25,2)&lt;=6,"Se","Dim")))</f>
        <v>Dim</v>
      </c>
      <c r="J25" s="11" t="str">
        <f t="shared" si="1"/>
        <v>dim</v>
      </c>
      <c r="K25" s="17">
        <v>42568</v>
      </c>
      <c r="L25" s="22">
        <v>0.46249999999999997</v>
      </c>
      <c r="M25" s="42">
        <f t="shared" si="8"/>
        <v>0.15347222222222218</v>
      </c>
      <c r="N25" s="43">
        <f>IF(OR(H25="",L25=""),"",IF(L25&lt;H25,L25+24/24,L25))</f>
        <v>0.46249999999999997</v>
      </c>
      <c r="O25" s="40" t="str">
        <f t="shared" si="6"/>
        <v>-</v>
      </c>
      <c r="P25" s="41" t="str">
        <f t="shared" si="7"/>
        <v>-</v>
      </c>
      <c r="Q25" s="40">
        <f t="shared" si="9"/>
      </c>
      <c r="R25" s="40" t="str">
        <f t="shared" si="10"/>
        <v>-</v>
      </c>
      <c r="S25" s="40">
        <f t="shared" si="2"/>
        <v>0</v>
      </c>
      <c r="T25" s="40">
        <f t="shared" si="11"/>
        <v>0</v>
      </c>
      <c r="U25" s="40">
        <f t="shared" si="12"/>
        <v>0.15347222222222218</v>
      </c>
    </row>
    <row r="26" spans="1:21" ht="12.75">
      <c r="A26" s="9" t="s">
        <v>22</v>
      </c>
      <c r="B26" s="10" t="s">
        <v>23</v>
      </c>
      <c r="C26" s="21" t="str">
        <f t="shared" si="3"/>
        <v>-</v>
      </c>
      <c r="D26" s="21" t="str">
        <f t="shared" si="4"/>
        <v>-</v>
      </c>
      <c r="E26" s="14" t="str">
        <f t="shared" si="5"/>
        <v>Se</v>
      </c>
      <c r="F26" s="11" t="str">
        <f t="shared" si="0"/>
        <v>lun</v>
      </c>
      <c r="G26" s="12">
        <v>42569</v>
      </c>
      <c r="H26" s="38">
        <v>0.2708333333333333</v>
      </c>
      <c r="I26" s="14" t="str">
        <f t="shared" si="13"/>
        <v>Se</v>
      </c>
      <c r="J26" s="11" t="str">
        <f t="shared" si="1"/>
        <v>lun</v>
      </c>
      <c r="K26" s="17">
        <v>42569</v>
      </c>
      <c r="L26" s="22">
        <v>0.3958333333333333</v>
      </c>
      <c r="M26" s="42">
        <f t="shared" si="8"/>
        <v>0.125</v>
      </c>
      <c r="N26" s="43">
        <f t="shared" si="14"/>
        <v>0.3958333333333333</v>
      </c>
      <c r="O26" s="40">
        <f t="shared" si="6"/>
        <v>0.04861111111111105</v>
      </c>
      <c r="P26" s="41">
        <f t="shared" si="7"/>
        <v>0.05555555555555558</v>
      </c>
      <c r="Q26" s="40">
        <f t="shared" si="9"/>
        <v>0</v>
      </c>
      <c r="R26" s="40" t="str">
        <f t="shared" si="10"/>
        <v>-</v>
      </c>
      <c r="S26" s="40">
        <f t="shared" si="2"/>
        <v>0.02083333333333337</v>
      </c>
      <c r="T26" s="40">
        <f t="shared" si="11"/>
        <v>0</v>
      </c>
      <c r="U26" s="40">
        <f t="shared" si="12"/>
        <v>0</v>
      </c>
    </row>
    <row r="27" spans="1:21" s="16" customFormat="1" ht="12.75">
      <c r="A27" s="9" t="s">
        <v>22</v>
      </c>
      <c r="B27" s="20" t="s">
        <v>23</v>
      </c>
      <c r="C27" s="21" t="str">
        <f t="shared" si="3"/>
        <v>-</v>
      </c>
      <c r="D27" s="21" t="str">
        <f t="shared" si="4"/>
        <v>-</v>
      </c>
      <c r="E27" s="14" t="str">
        <f t="shared" si="5"/>
        <v>Se</v>
      </c>
      <c r="F27" s="11" t="str">
        <f t="shared" si="0"/>
        <v>mar</v>
      </c>
      <c r="G27" s="12">
        <v>42570</v>
      </c>
      <c r="H27" s="38">
        <v>0.4583333333333333</v>
      </c>
      <c r="I27" s="14" t="str">
        <f t="shared" si="13"/>
        <v>Se</v>
      </c>
      <c r="J27" s="11" t="str">
        <f t="shared" si="1"/>
        <v>mar</v>
      </c>
      <c r="K27" s="17">
        <v>42570</v>
      </c>
      <c r="L27" s="22">
        <v>0.5833333333333334</v>
      </c>
      <c r="M27" s="42">
        <f t="shared" si="8"/>
        <v>0.12500000000000006</v>
      </c>
      <c r="N27" s="43">
        <f t="shared" si="14"/>
        <v>0.5833333333333334</v>
      </c>
      <c r="O27" s="40">
        <f t="shared" si="6"/>
        <v>0.06597222222222238</v>
      </c>
      <c r="P27" s="41">
        <f t="shared" si="7"/>
        <v>0.05902777777777768</v>
      </c>
      <c r="Q27" s="40">
        <f t="shared" si="9"/>
        <v>0</v>
      </c>
      <c r="R27" s="40" t="str">
        <f t="shared" si="10"/>
        <v>-</v>
      </c>
      <c r="S27" s="40">
        <f t="shared" si="2"/>
        <v>0</v>
      </c>
      <c r="T27" s="40">
        <f t="shared" si="11"/>
        <v>0</v>
      </c>
      <c r="U27" s="40">
        <f t="shared" si="12"/>
        <v>0</v>
      </c>
    </row>
    <row r="28" spans="1:21" s="16" customFormat="1" ht="12.75">
      <c r="A28" s="9" t="s">
        <v>22</v>
      </c>
      <c r="B28" s="10" t="s">
        <v>23</v>
      </c>
      <c r="C28" s="21" t="str">
        <f t="shared" si="3"/>
        <v>-</v>
      </c>
      <c r="D28" s="21" t="str">
        <f t="shared" si="4"/>
        <v>-</v>
      </c>
      <c r="E28" s="14" t="str">
        <f t="shared" si="5"/>
        <v>Se</v>
      </c>
      <c r="F28" s="11" t="str">
        <f t="shared" si="0"/>
        <v>mer</v>
      </c>
      <c r="G28" s="12">
        <v>42571</v>
      </c>
      <c r="H28" s="38">
        <v>0.6666666666666666</v>
      </c>
      <c r="I28" s="14" t="str">
        <f t="shared" si="13"/>
        <v>Se</v>
      </c>
      <c r="J28" s="11" t="str">
        <f t="shared" si="1"/>
        <v>mer</v>
      </c>
      <c r="K28" s="17">
        <v>42571</v>
      </c>
      <c r="L28" s="22">
        <v>0.7916666666666666</v>
      </c>
      <c r="M28" s="42">
        <f t="shared" si="8"/>
        <v>0.125</v>
      </c>
      <c r="N28" s="43">
        <f t="shared" si="14"/>
        <v>0.7916666666666666</v>
      </c>
      <c r="O28" s="40">
        <f t="shared" si="6"/>
        <v>0.07291666666666674</v>
      </c>
      <c r="P28" s="41">
        <f t="shared" si="7"/>
        <v>0.01041666666666663</v>
      </c>
      <c r="Q28" s="40">
        <f t="shared" si="9"/>
        <v>0.04166666666666663</v>
      </c>
      <c r="R28" s="40" t="str">
        <f t="shared" si="10"/>
        <v>-</v>
      </c>
      <c r="S28" s="40">
        <f t="shared" si="2"/>
        <v>0</v>
      </c>
      <c r="T28" s="40">
        <f t="shared" si="11"/>
        <v>0</v>
      </c>
      <c r="U28" s="40">
        <f t="shared" si="12"/>
        <v>0</v>
      </c>
    </row>
    <row r="29" spans="1:21" s="16" customFormat="1" ht="25.5">
      <c r="A29" s="9" t="s">
        <v>21</v>
      </c>
      <c r="B29" s="10" t="s">
        <v>37</v>
      </c>
      <c r="C29" s="35">
        <v>42572</v>
      </c>
      <c r="D29" s="35">
        <v>42579</v>
      </c>
      <c r="E29" s="14" t="str">
        <f t="shared" si="5"/>
        <v>-</v>
      </c>
      <c r="F29" s="11" t="str">
        <f t="shared" si="0"/>
        <v>-</v>
      </c>
      <c r="G29" s="12" t="str">
        <f>IF(A29="","",IF(A29="Intervention","Date ?","-"))</f>
        <v>-</v>
      </c>
      <c r="H29" s="12" t="str">
        <f>IF(A29="","",IF(A29="Intervention","Heure ?","-"))</f>
        <v>-</v>
      </c>
      <c r="I29" s="12" t="str">
        <f>IF(A29="Astreinte","-","")</f>
        <v>-</v>
      </c>
      <c r="J29" s="11" t="str">
        <f t="shared" si="1"/>
        <v>-</v>
      </c>
      <c r="K29" s="12" t="str">
        <f>IF(A29="","",IF(A29="Intervention","Date ?","-"))</f>
        <v>-</v>
      </c>
      <c r="L29" s="12" t="str">
        <f>IF(A29="","",IF(A29="Intervention","Date ?","-"))</f>
        <v>-</v>
      </c>
      <c r="M29" s="42" t="str">
        <f t="shared" si="8"/>
        <v>-</v>
      </c>
      <c r="N29" s="12" t="str">
        <f>IF(A29="Astreinte","-","")</f>
        <v>-</v>
      </c>
      <c r="O29" s="40" t="str">
        <f t="shared" si="6"/>
        <v>-</v>
      </c>
      <c r="P29" s="41" t="str">
        <f t="shared" si="7"/>
        <v>-</v>
      </c>
      <c r="Q29" s="40" t="str">
        <f t="shared" si="9"/>
        <v>-</v>
      </c>
      <c r="R29" s="40" t="str">
        <f t="shared" si="10"/>
        <v>-</v>
      </c>
      <c r="S29" s="40" t="str">
        <f t="shared" si="2"/>
        <v>-</v>
      </c>
      <c r="T29" s="40" t="str">
        <f t="shared" si="11"/>
        <v>-</v>
      </c>
      <c r="U29" s="40" t="str">
        <f t="shared" si="12"/>
        <v>-</v>
      </c>
    </row>
    <row r="30" spans="1:21" ht="12.75">
      <c r="A30" s="9" t="s">
        <v>22</v>
      </c>
      <c r="B30" s="10" t="s">
        <v>23</v>
      </c>
      <c r="C30" s="21" t="str">
        <f t="shared" si="3"/>
        <v>-</v>
      </c>
      <c r="D30" s="21" t="str">
        <f t="shared" si="4"/>
        <v>-</v>
      </c>
      <c r="E30" s="14" t="str">
        <f t="shared" si="5"/>
        <v>Se</v>
      </c>
      <c r="F30" s="11" t="str">
        <f t="shared" si="0"/>
        <v>jeu</v>
      </c>
      <c r="G30" s="12">
        <v>42572</v>
      </c>
      <c r="H30" s="38">
        <v>0.7916666666666666</v>
      </c>
      <c r="I30" s="14" t="str">
        <f aca="true" t="shared" si="15" ref="I30:I39">IF(K30="","",IF(COUNTIF(Fer,K30)&gt;0,"Férié",IF(WEEKDAY(K30,2)&lt;=6,"Se","Dim")))</f>
        <v>Se</v>
      </c>
      <c r="J30" s="11" t="str">
        <f t="shared" si="1"/>
        <v>jeu</v>
      </c>
      <c r="K30" s="17">
        <v>42572</v>
      </c>
      <c r="L30" s="18">
        <v>0.9166666666666666</v>
      </c>
      <c r="M30" s="42">
        <f t="shared" si="8"/>
        <v>0.125</v>
      </c>
      <c r="N30" s="43">
        <f>IF(OR(H30="",L30=""),"",IF(L30&lt;H30,L30+24/24,L30))</f>
        <v>0.9166666666666666</v>
      </c>
      <c r="O30" s="40">
        <f t="shared" si="6"/>
        <v>0</v>
      </c>
      <c r="P30" s="41">
        <f t="shared" si="7"/>
        <v>0</v>
      </c>
      <c r="Q30" s="40">
        <f t="shared" si="9"/>
        <v>0.125</v>
      </c>
      <c r="R30" s="40" t="str">
        <f t="shared" si="10"/>
        <v>-</v>
      </c>
      <c r="S30" s="40">
        <f t="shared" si="2"/>
        <v>0</v>
      </c>
      <c r="T30" s="40">
        <f t="shared" si="11"/>
        <v>0</v>
      </c>
      <c r="U30" s="40">
        <f t="shared" si="12"/>
        <v>0</v>
      </c>
    </row>
    <row r="31" spans="1:21" ht="12.75">
      <c r="A31" s="9" t="s">
        <v>22</v>
      </c>
      <c r="B31" s="10" t="s">
        <v>23</v>
      </c>
      <c r="C31" s="21" t="str">
        <f t="shared" si="3"/>
        <v>-</v>
      </c>
      <c r="D31" s="21" t="str">
        <f t="shared" si="4"/>
        <v>-</v>
      </c>
      <c r="E31" s="14" t="str">
        <f t="shared" si="5"/>
        <v>Se</v>
      </c>
      <c r="F31" s="11" t="str">
        <f t="shared" si="0"/>
        <v>ven</v>
      </c>
      <c r="G31" s="12">
        <v>42573</v>
      </c>
      <c r="H31" s="38">
        <v>0.75</v>
      </c>
      <c r="I31" s="14" t="str">
        <f t="shared" si="15"/>
        <v>Se</v>
      </c>
      <c r="J31" s="11" t="str">
        <f t="shared" si="1"/>
        <v>ven</v>
      </c>
      <c r="K31" s="17">
        <v>42573</v>
      </c>
      <c r="L31" s="18">
        <v>0.875</v>
      </c>
      <c r="M31" s="42">
        <f t="shared" si="8"/>
        <v>0.125</v>
      </c>
      <c r="N31" s="43">
        <f>IF(OR(H31="",L31=""),"",IF(L31&lt;H31,L31+24/24,L31))</f>
        <v>0.875</v>
      </c>
      <c r="O31" s="40">
        <f t="shared" si="6"/>
        <v>0</v>
      </c>
      <c r="P31" s="41">
        <f t="shared" si="7"/>
        <v>0</v>
      </c>
      <c r="Q31" s="40">
        <f t="shared" si="9"/>
        <v>0.125</v>
      </c>
      <c r="R31" s="40" t="str">
        <f t="shared" si="10"/>
        <v>-</v>
      </c>
      <c r="S31" s="40">
        <f t="shared" si="2"/>
        <v>0</v>
      </c>
      <c r="T31" s="40">
        <f t="shared" si="11"/>
        <v>0</v>
      </c>
      <c r="U31" s="40">
        <f t="shared" si="12"/>
        <v>0</v>
      </c>
    </row>
    <row r="32" spans="1:21" ht="12.75">
      <c r="A32" s="9" t="s">
        <v>22</v>
      </c>
      <c r="B32" s="10" t="s">
        <v>23</v>
      </c>
      <c r="C32" s="21" t="str">
        <f t="shared" si="3"/>
        <v>-</v>
      </c>
      <c r="D32" s="21" t="str">
        <f t="shared" si="4"/>
        <v>-</v>
      </c>
      <c r="E32" s="14" t="str">
        <f t="shared" si="5"/>
        <v>Se</v>
      </c>
      <c r="F32" s="37" t="str">
        <f t="shared" si="0"/>
        <v>sam</v>
      </c>
      <c r="G32" s="12">
        <v>42574</v>
      </c>
      <c r="H32" s="38">
        <v>0.20833333333333334</v>
      </c>
      <c r="I32" s="14" t="str">
        <f t="shared" si="15"/>
        <v>Se</v>
      </c>
      <c r="J32" s="11" t="str">
        <f t="shared" si="1"/>
        <v>sam</v>
      </c>
      <c r="K32" s="17">
        <v>42574</v>
      </c>
      <c r="L32" s="18">
        <v>0.3333333333333333</v>
      </c>
      <c r="M32" s="42">
        <f t="shared" si="8"/>
        <v>0.12499999999999997</v>
      </c>
      <c r="N32" s="43">
        <f>IF(OR(H32="",L32=""),"",IF(L32&lt;H32,L32+24/24,L32))</f>
        <v>0.3333333333333333</v>
      </c>
      <c r="O32" s="40" t="str">
        <f t="shared" si="6"/>
        <v>-</v>
      </c>
      <c r="P32" s="41" t="str">
        <f t="shared" si="7"/>
        <v>-</v>
      </c>
      <c r="Q32" s="40">
        <f t="shared" si="9"/>
        <v>0</v>
      </c>
      <c r="R32" s="40">
        <f t="shared" si="10"/>
        <v>0.04166666666666663</v>
      </c>
      <c r="S32" s="40">
        <f t="shared" si="2"/>
        <v>0.08333333333333334</v>
      </c>
      <c r="T32" s="40">
        <f t="shared" si="11"/>
        <v>0</v>
      </c>
      <c r="U32" s="40">
        <f t="shared" si="12"/>
        <v>0</v>
      </c>
    </row>
    <row r="33" spans="1:21" ht="12.75">
      <c r="A33" s="9"/>
      <c r="B33" s="10"/>
      <c r="C33" s="21">
        <f t="shared" si="3"/>
      </c>
      <c r="D33" s="21">
        <f t="shared" si="4"/>
      </c>
      <c r="E33" s="14">
        <f t="shared" si="5"/>
      </c>
      <c r="F33" s="11">
        <f t="shared" si="0"/>
      </c>
      <c r="G33" s="12">
        <f aca="true" t="shared" si="16" ref="G33:G39">IF(A33="","",IF(A33="Intervention","Date ?","-"))</f>
      </c>
      <c r="H33" s="12">
        <f aca="true" t="shared" si="17" ref="H33:H39">IF(A33="","",IF(A33="Intervention","Heure ?","-"))</f>
      </c>
      <c r="I33" s="14">
        <f t="shared" si="15"/>
      </c>
      <c r="J33" s="11">
        <f aca="true" t="shared" si="18" ref="J33:J39">IF(A33="Astreinte","-",IF(A33="","",TEXT(G33,"jjj")))</f>
      </c>
      <c r="K33" s="12">
        <f>IF(A33="","",IF(A33="Intervention","Date ?","-"))</f>
      </c>
      <c r="L33" s="12">
        <f>IF(A33="","",IF(A33="Intervention","Date ?","-"))</f>
      </c>
      <c r="M33" s="42">
        <f t="shared" si="8"/>
      </c>
      <c r="N33" s="43">
        <f>IF(OR(H33="",L33=""),"",IF(L33&lt;H33,L33+24/24,L33))</f>
      </c>
      <c r="O33" s="40">
        <f t="shared" si="6"/>
      </c>
      <c r="P33" s="41">
        <f t="shared" si="7"/>
      </c>
      <c r="Q33" s="40">
        <f t="shared" si="9"/>
      </c>
      <c r="R33" s="40">
        <f t="shared" si="10"/>
      </c>
      <c r="S33" s="40">
        <f t="shared" si="2"/>
      </c>
      <c r="T33" s="40">
        <f t="shared" si="11"/>
      </c>
      <c r="U33" s="40">
        <f t="shared" si="12"/>
      </c>
    </row>
    <row r="34" spans="1:21" ht="12.75">
      <c r="A34" s="9"/>
      <c r="B34" s="10"/>
      <c r="C34" s="21">
        <f t="shared" si="3"/>
      </c>
      <c r="D34" s="21">
        <f t="shared" si="4"/>
      </c>
      <c r="E34" s="14">
        <f t="shared" si="5"/>
      </c>
      <c r="F34" s="11">
        <f t="shared" si="0"/>
      </c>
      <c r="G34" s="12">
        <f t="shared" si="16"/>
      </c>
      <c r="H34" s="12">
        <f t="shared" si="17"/>
      </c>
      <c r="I34" s="14">
        <f t="shared" si="15"/>
      </c>
      <c r="J34" s="11">
        <f t="shared" si="18"/>
      </c>
      <c r="K34" s="12">
        <f aca="true" t="shared" si="19" ref="K34:K39">IF(A34="","",IF(A34="Intervention","Date ?","-"))</f>
      </c>
      <c r="L34" s="12">
        <f aca="true" t="shared" si="20" ref="L34:L39">IF(A34="","",IF(A34="Intervention","Date ?","-"))</f>
      </c>
      <c r="M34" s="42">
        <f t="shared" si="8"/>
      </c>
      <c r="N34" s="43">
        <f aca="true" t="shared" si="21" ref="N34:N39">IF(OR(H34="",L34=""),"",IF(L34&lt;H34,L34+24/24,L34))</f>
      </c>
      <c r="O34" s="40">
        <f t="shared" si="6"/>
      </c>
      <c r="P34" s="41">
        <f t="shared" si="7"/>
      </c>
      <c r="Q34" s="40">
        <f t="shared" si="9"/>
      </c>
      <c r="R34" s="40">
        <f t="shared" si="10"/>
      </c>
      <c r="S34" s="40">
        <f t="shared" si="2"/>
      </c>
      <c r="T34" s="40">
        <f t="shared" si="11"/>
      </c>
      <c r="U34" s="40">
        <f t="shared" si="12"/>
      </c>
    </row>
    <row r="35" spans="1:21" ht="12.75">
      <c r="A35" s="9"/>
      <c r="B35" s="10"/>
      <c r="C35" s="21">
        <f t="shared" si="3"/>
      </c>
      <c r="D35" s="21">
        <f t="shared" si="4"/>
      </c>
      <c r="E35" s="14">
        <f t="shared" si="5"/>
      </c>
      <c r="F35" s="11">
        <f t="shared" si="0"/>
      </c>
      <c r="G35" s="12">
        <f t="shared" si="16"/>
      </c>
      <c r="H35" s="12">
        <f t="shared" si="17"/>
      </c>
      <c r="I35" s="14">
        <f t="shared" si="15"/>
      </c>
      <c r="J35" s="11">
        <f t="shared" si="18"/>
      </c>
      <c r="K35" s="12">
        <f t="shared" si="19"/>
      </c>
      <c r="L35" s="12">
        <f t="shared" si="20"/>
      </c>
      <c r="M35" s="42">
        <f t="shared" si="8"/>
      </c>
      <c r="N35" s="43">
        <f t="shared" si="21"/>
      </c>
      <c r="O35" s="40">
        <f t="shared" si="6"/>
      </c>
      <c r="P35" s="41">
        <f t="shared" si="7"/>
      </c>
      <c r="Q35" s="40">
        <f t="shared" si="9"/>
      </c>
      <c r="R35" s="40">
        <f t="shared" si="10"/>
      </c>
      <c r="S35" s="40">
        <f t="shared" si="2"/>
      </c>
      <c r="T35" s="40">
        <f t="shared" si="11"/>
      </c>
      <c r="U35" s="40">
        <f t="shared" si="12"/>
      </c>
    </row>
    <row r="36" spans="1:21" ht="12.75">
      <c r="A36" s="9"/>
      <c r="B36" s="10"/>
      <c r="C36" s="21">
        <f t="shared" si="3"/>
      </c>
      <c r="D36" s="21">
        <f t="shared" si="4"/>
      </c>
      <c r="E36" s="14">
        <f t="shared" si="5"/>
      </c>
      <c r="F36" s="11">
        <f t="shared" si="0"/>
      </c>
      <c r="G36" s="12">
        <f t="shared" si="16"/>
      </c>
      <c r="H36" s="12">
        <f t="shared" si="17"/>
      </c>
      <c r="I36" s="14">
        <f t="shared" si="15"/>
      </c>
      <c r="J36" s="11">
        <f t="shared" si="18"/>
      </c>
      <c r="K36" s="12">
        <f t="shared" si="19"/>
      </c>
      <c r="L36" s="12">
        <f t="shared" si="20"/>
      </c>
      <c r="M36" s="42">
        <f t="shared" si="8"/>
      </c>
      <c r="N36" s="43">
        <f t="shared" si="21"/>
      </c>
      <c r="O36" s="40">
        <f t="shared" si="6"/>
      </c>
      <c r="P36" s="41">
        <f t="shared" si="7"/>
      </c>
      <c r="Q36" s="40">
        <f t="shared" si="9"/>
      </c>
      <c r="R36" s="40">
        <f t="shared" si="10"/>
      </c>
      <c r="S36" s="40">
        <f t="shared" si="2"/>
      </c>
      <c r="T36" s="40">
        <f t="shared" si="11"/>
      </c>
      <c r="U36" s="40">
        <f t="shared" si="12"/>
      </c>
    </row>
    <row r="37" spans="1:21" ht="12.75">
      <c r="A37" s="9"/>
      <c r="B37" s="10"/>
      <c r="C37" s="21">
        <f t="shared" si="3"/>
      </c>
      <c r="D37" s="21">
        <f t="shared" si="4"/>
      </c>
      <c r="E37" s="14">
        <f t="shared" si="5"/>
      </c>
      <c r="F37" s="11">
        <f t="shared" si="0"/>
      </c>
      <c r="G37" s="12">
        <f t="shared" si="16"/>
      </c>
      <c r="H37" s="12">
        <f t="shared" si="17"/>
      </c>
      <c r="I37" s="14">
        <f t="shared" si="15"/>
      </c>
      <c r="J37" s="11">
        <f t="shared" si="18"/>
      </c>
      <c r="K37" s="12">
        <f t="shared" si="19"/>
      </c>
      <c r="L37" s="12">
        <f t="shared" si="20"/>
      </c>
      <c r="M37" s="42">
        <f t="shared" si="8"/>
      </c>
      <c r="N37" s="43">
        <f t="shared" si="21"/>
      </c>
      <c r="O37" s="40">
        <f t="shared" si="6"/>
      </c>
      <c r="P37" s="41">
        <f t="shared" si="7"/>
      </c>
      <c r="Q37" s="40">
        <f t="shared" si="9"/>
      </c>
      <c r="R37" s="40">
        <f t="shared" si="10"/>
      </c>
      <c r="S37" s="40">
        <f t="shared" si="2"/>
      </c>
      <c r="T37" s="40">
        <f t="shared" si="11"/>
      </c>
      <c r="U37" s="40">
        <f t="shared" si="12"/>
      </c>
    </row>
    <row r="38" spans="1:21" ht="12.75">
      <c r="A38" s="9"/>
      <c r="B38" s="10"/>
      <c r="C38" s="21">
        <f t="shared" si="3"/>
      </c>
      <c r="D38" s="21">
        <f t="shared" si="4"/>
      </c>
      <c r="E38" s="14">
        <f t="shared" si="5"/>
      </c>
      <c r="F38" s="11">
        <f t="shared" si="0"/>
      </c>
      <c r="G38" s="12">
        <f t="shared" si="16"/>
      </c>
      <c r="H38" s="12">
        <f t="shared" si="17"/>
      </c>
      <c r="I38" s="14">
        <f t="shared" si="15"/>
      </c>
      <c r="J38" s="11">
        <f t="shared" si="18"/>
      </c>
      <c r="K38" s="12">
        <f t="shared" si="19"/>
      </c>
      <c r="L38" s="12">
        <f t="shared" si="20"/>
      </c>
      <c r="M38" s="42">
        <f t="shared" si="8"/>
      </c>
      <c r="N38" s="43">
        <f t="shared" si="21"/>
      </c>
      <c r="O38" s="40">
        <f t="shared" si="6"/>
      </c>
      <c r="P38" s="41">
        <f t="shared" si="7"/>
      </c>
      <c r="Q38" s="40">
        <f t="shared" si="9"/>
      </c>
      <c r="R38" s="40">
        <f t="shared" si="10"/>
      </c>
      <c r="S38" s="40">
        <f t="shared" si="2"/>
      </c>
      <c r="T38" s="40">
        <f t="shared" si="11"/>
      </c>
      <c r="U38" s="40">
        <f t="shared" si="12"/>
      </c>
    </row>
    <row r="39" spans="1:21" ht="12.75">
      <c r="A39" s="9"/>
      <c r="B39" s="10"/>
      <c r="C39" s="21">
        <f t="shared" si="3"/>
      </c>
      <c r="D39" s="21">
        <f t="shared" si="4"/>
      </c>
      <c r="E39" s="14">
        <f t="shared" si="5"/>
      </c>
      <c r="F39" s="11">
        <f t="shared" si="0"/>
      </c>
      <c r="G39" s="12">
        <f t="shared" si="16"/>
      </c>
      <c r="H39" s="12">
        <f t="shared" si="17"/>
      </c>
      <c r="I39" s="14">
        <f t="shared" si="15"/>
      </c>
      <c r="J39" s="11">
        <f t="shared" si="18"/>
      </c>
      <c r="K39" s="12">
        <f t="shared" si="19"/>
      </c>
      <c r="L39" s="12">
        <f t="shared" si="20"/>
      </c>
      <c r="M39" s="42">
        <f t="shared" si="8"/>
      </c>
      <c r="N39" s="43">
        <f t="shared" si="21"/>
      </c>
      <c r="O39" s="40">
        <f t="shared" si="6"/>
      </c>
      <c r="P39" s="41">
        <f t="shared" si="7"/>
      </c>
      <c r="Q39" s="40">
        <f t="shared" si="9"/>
      </c>
      <c r="R39" s="40">
        <f t="shared" si="10"/>
      </c>
      <c r="S39" s="40">
        <f t="shared" si="2"/>
      </c>
      <c r="T39" s="40">
        <f t="shared" si="11"/>
      </c>
      <c r="U39" s="40">
        <f t="shared" si="12"/>
      </c>
    </row>
    <row r="40" spans="13:21" ht="15.75">
      <c r="M40" s="44" t="s">
        <v>39</v>
      </c>
      <c r="O40" s="45">
        <f>SUM(O10:O39)</f>
        <v>0.31250000000000017</v>
      </c>
      <c r="P40" s="45">
        <f aca="true" t="shared" si="22" ref="P40:U40">SUM(P10:P39)</f>
        <v>0.12499999999999989</v>
      </c>
      <c r="Q40" s="45">
        <f t="shared" si="22"/>
        <v>0.4999999999999999</v>
      </c>
      <c r="R40" s="45">
        <f t="shared" si="22"/>
        <v>0.26874999999999993</v>
      </c>
      <c r="S40" s="45">
        <f t="shared" si="22"/>
        <v>0.765277777777778</v>
      </c>
      <c r="T40" s="45">
        <f t="shared" si="22"/>
        <v>0.08819444444444424</v>
      </c>
      <c r="U40" s="45">
        <f t="shared" si="22"/>
        <v>0.3715277777777777</v>
      </c>
    </row>
  </sheetData>
  <sheetProtection/>
  <mergeCells count="19">
    <mergeCell ref="C6:C9"/>
    <mergeCell ref="A6:A9"/>
    <mergeCell ref="B6:B9"/>
    <mergeCell ref="H6:H9"/>
    <mergeCell ref="G6:G9"/>
    <mergeCell ref="F6:F9"/>
    <mergeCell ref="E6:E9"/>
    <mergeCell ref="D6:D9"/>
    <mergeCell ref="L6:L9"/>
    <mergeCell ref="K6:K9"/>
    <mergeCell ref="J6:J9"/>
    <mergeCell ref="I6:I9"/>
    <mergeCell ref="U6:U9"/>
    <mergeCell ref="O6:O9"/>
    <mergeCell ref="P6:P9"/>
    <mergeCell ref="S6:S9"/>
    <mergeCell ref="T6:T9"/>
    <mergeCell ref="N6:N9"/>
    <mergeCell ref="M6:M9"/>
  </mergeCells>
  <conditionalFormatting sqref="N18 I12 G11:H39 N29 K11:L39 K10:N10 I18 N12 G10:I10 C10:D39 I29">
    <cfRule type="cellIs" priority="1" dxfId="1" operator="notEqual" stopIfTrue="1">
      <formula>"-"</formula>
    </cfRule>
  </conditionalFormatting>
  <conditionalFormatting sqref="B10:B39">
    <cfRule type="cellIs" priority="2" dxfId="0" operator="equal" stopIfTrue="1">
      <formula>"Sans Objet"</formula>
    </cfRule>
  </conditionalFormatting>
  <dataValidations count="2">
    <dataValidation type="list" showInputMessage="1" sqref="A10:A39">
      <formula1>"Astreinte,Intervention"</formula1>
    </dataValidation>
    <dataValidation type="list" showInputMessage="1" sqref="B10:B39">
      <formula1>"Sans Objet,Semaine complète,Lundi matin à vendredi soir,Vendredi soir à lundi matin, 1 nuit entre lundi et samedi,1 jour ou 1 nuit de WE ou férié ou RC,Du lundi matin au vendredi soir (discontinu)"</formula1>
    </dataValidation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1">
      <selection activeCell="C25" sqref="C25"/>
    </sheetView>
  </sheetViews>
  <sheetFormatPr defaultColWidth="11.421875" defaultRowHeight="12.75"/>
  <sheetData>
    <row r="2" ht="12.75">
      <c r="A2" t="s">
        <v>0</v>
      </c>
    </row>
    <row r="3" ht="12.75">
      <c r="A3" t="s">
        <v>1</v>
      </c>
    </row>
    <row r="4" ht="12.75">
      <c r="A4" s="1">
        <f>DATE(An,1,1)</f>
        <v>42370</v>
      </c>
    </row>
    <row r="5" ht="12.75">
      <c r="A5" s="2">
        <f>DATE(An,5,1)</f>
        <v>42491</v>
      </c>
    </row>
    <row r="6" ht="12.75">
      <c r="A6" s="2">
        <f>DATE(An,5,8)</f>
        <v>42498</v>
      </c>
    </row>
    <row r="7" ht="12.75">
      <c r="A7" s="2">
        <f>DATE(An,3,29.56+0.979*MOD(204-11*MOD(An,19),30)-WEEKDAY(DATE(An,3,28.56+0.979*MOD(204-11*MOD(An,19),30))))+1</f>
        <v>42457</v>
      </c>
    </row>
    <row r="8" ht="12.75">
      <c r="A8" s="2">
        <f>A7+38</f>
        <v>42495</v>
      </c>
    </row>
    <row r="9" ht="12.75">
      <c r="A9" s="2">
        <f>A7+49</f>
        <v>42506</v>
      </c>
    </row>
    <row r="10" ht="12.75">
      <c r="A10" s="2">
        <f>DATE(An,7,14)</f>
        <v>42565</v>
      </c>
    </row>
    <row r="11" ht="12.75">
      <c r="A11" s="2">
        <f>DATE(An,8,15)</f>
        <v>42597</v>
      </c>
    </row>
    <row r="12" ht="12.75">
      <c r="A12" s="2">
        <f>DATE(An,11,1)</f>
        <v>42675</v>
      </c>
    </row>
    <row r="13" ht="12.75">
      <c r="A13" s="2">
        <f>DATE(An,11,11)</f>
        <v>42685</v>
      </c>
    </row>
    <row r="14" ht="12.75">
      <c r="A14" s="3">
        <f>DATE(An,12,25)</f>
        <v>42729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EYMIN</dc:creator>
  <cp:keywords/>
  <dc:description/>
  <cp:lastModifiedBy>Géraldine !beaurain444</cp:lastModifiedBy>
  <cp:lastPrinted>2016-07-18T15:33:08Z</cp:lastPrinted>
  <dcterms:created xsi:type="dcterms:W3CDTF">2011-01-17T12:28:38Z</dcterms:created>
  <dcterms:modified xsi:type="dcterms:W3CDTF">2016-07-18T20:46:04Z</dcterms:modified>
  <cp:category/>
  <cp:version/>
  <cp:contentType/>
  <cp:contentStatus/>
</cp:coreProperties>
</file>