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rels" ContentType="application/vnd.openxmlformats-package.relationships+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224" codeName="{8C4F1C90-05EB-6A55-5F09-09C24B55AC0B}"/>
  <workbookPr codeName="ThisWorkbook"/>
  <mc:AlternateContent xmlns:mc="http://schemas.openxmlformats.org/markup-compatibility/2006">
    <mc:Choice Requires="x15">
      <x15ac:absPath xmlns:x15ac="http://schemas.microsoft.com/office/spreadsheetml/2010/11/ac" url="/Users/JulienElkaim/Desktop/ICN Business School/Association/Financy/Fy - Learning/Analyse Financière/"/>
    </mc:Choice>
  </mc:AlternateContent>
  <bookViews>
    <workbookView xWindow="0" yWindow="460" windowWidth="28800" windowHeight="15760" tabRatio="500"/>
  </bookViews>
  <sheets>
    <sheet name="Intro" sheetId="6" r:id="rId1"/>
    <sheet name="Balance Sheet" sheetId="1" r:id="rId2"/>
    <sheet name="Income statement" sheetId="2" r:id="rId3"/>
    <sheet name="Fill it" sheetId="5" r:id="rId4"/>
    <sheet name="Correction" sheetId="3" r:id="rId5"/>
  </sheets>
  <definedNames>
    <definedName name="Z_B1BDEBDF_47A6_1249_A69C_11B2BD2D880B_.wvu.PrintArea" localSheetId="1" hidden="1">'Balance Sheet'!$A$1:$J$30</definedName>
    <definedName name="Z_B1BDEBDF_47A6_1249_A69C_11B2BD2D880B_.wvu.PrintArea" localSheetId="4" hidden="1">Correction!$A$1:$Q$46</definedName>
    <definedName name="Z_B1BDEBDF_47A6_1249_A69C_11B2BD2D880B_.wvu.PrintArea" localSheetId="3" hidden="1">'Fill it'!$A$1:$Q$46</definedName>
    <definedName name="Z_B1BDEBDF_47A6_1249_A69C_11B2BD2D880B_.wvu.PrintArea" localSheetId="2" hidden="1">'Income statement'!$A$1:$I$35</definedName>
    <definedName name="_xlnm.Print_Area" localSheetId="1">'Balance Sheet'!$A$1:$J$30</definedName>
    <definedName name="_xlnm.Print_Area" localSheetId="4">Correction!$A$1:$Q$46</definedName>
    <definedName name="_xlnm.Print_Area" localSheetId="3">'Fill it'!$A$1:$Q$46</definedName>
    <definedName name="_xlnm.Print_Area" localSheetId="2">'Income statement'!$A$1:$I$35</definedName>
  </definedNames>
  <calcPr calcId="150001" calcMode="manual" iterate="1" concurrentCalc="0"/>
  <customWorkbookViews>
    <customWorkbookView name="Lol" guid="{B1BDEBDF-47A6-1249-A69C-11B2BD2D880B}" maximized="1" windowWidth="1440" windowHeight="811" tabRatio="500" activeSheetId="1" showFormulaBar="0"/>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10" i="1" l="1"/>
  <c r="C11" i="1"/>
  <c r="C12" i="1"/>
  <c r="C19" i="3"/>
  <c r="C13" i="1"/>
  <c r="C20" i="3"/>
  <c r="C14" i="1"/>
  <c r="C21" i="3"/>
  <c r="G6" i="2"/>
  <c r="C22" i="3"/>
  <c r="C18" i="3"/>
  <c r="H14" i="1"/>
  <c r="C25" i="3"/>
  <c r="H15" i="1"/>
  <c r="C26" i="3"/>
  <c r="H16" i="1"/>
  <c r="C27" i="3"/>
  <c r="C24" i="3"/>
  <c r="C17" i="3"/>
  <c r="F10" i="1"/>
  <c r="G16" i="2"/>
  <c r="D11" i="1"/>
  <c r="E11" i="1"/>
  <c r="H16" i="2"/>
  <c r="F11" i="1"/>
  <c r="F12" i="1"/>
  <c r="D19" i="3"/>
  <c r="G17" i="2"/>
  <c r="D13" i="1"/>
  <c r="E13" i="1"/>
  <c r="H17" i="2"/>
  <c r="F13" i="1"/>
  <c r="D20" i="3"/>
  <c r="F14" i="1"/>
  <c r="D21" i="3"/>
  <c r="H6" i="2"/>
  <c r="D22" i="3"/>
  <c r="D18" i="3"/>
  <c r="I14" i="1"/>
  <c r="D25" i="3"/>
  <c r="I15" i="1"/>
  <c r="D26" i="3"/>
  <c r="I16" i="1"/>
  <c r="D27" i="3"/>
  <c r="D24" i="3"/>
  <c r="D17" i="3"/>
  <c r="F27" i="3"/>
  <c r="I28" i="3"/>
  <c r="C15" i="1"/>
  <c r="E15" i="1"/>
  <c r="H13" i="1"/>
  <c r="H17" i="1"/>
  <c r="H12" i="1"/>
  <c r="H5" i="1"/>
  <c r="H6" i="1"/>
  <c r="I7" i="1"/>
  <c r="H14" i="2"/>
  <c r="D27" i="2"/>
  <c r="D24" i="2"/>
  <c r="D4" i="2"/>
  <c r="D5" i="2"/>
  <c r="D6" i="2"/>
  <c r="D7" i="2"/>
  <c r="D8" i="2"/>
  <c r="D9" i="2"/>
  <c r="D10" i="2"/>
  <c r="D11" i="2"/>
  <c r="D32" i="2"/>
  <c r="D12" i="2"/>
  <c r="D13" i="2"/>
  <c r="D14" i="2"/>
  <c r="D15" i="2"/>
  <c r="D16" i="2"/>
  <c r="D17" i="2"/>
  <c r="D18" i="2"/>
  <c r="D19" i="2"/>
  <c r="D20" i="2"/>
  <c r="D21" i="2"/>
  <c r="D22" i="2"/>
  <c r="D25" i="2"/>
  <c r="D28" i="2"/>
  <c r="I13" i="1"/>
  <c r="H25" i="3"/>
  <c r="F25" i="3"/>
  <c r="J26" i="3"/>
  <c r="I26" i="3"/>
  <c r="C4" i="2"/>
  <c r="C5" i="2"/>
  <c r="C6" i="2"/>
  <c r="O5" i="3"/>
  <c r="C7" i="2"/>
  <c r="O6" i="3"/>
  <c r="C8" i="2"/>
  <c r="O7" i="3"/>
  <c r="C9" i="2"/>
  <c r="O8" i="3"/>
  <c r="O9" i="3"/>
  <c r="O11" i="3"/>
  <c r="C12" i="2"/>
  <c r="C14" i="2"/>
  <c r="O12" i="3"/>
  <c r="E12" i="1"/>
  <c r="C13" i="2"/>
  <c r="E10" i="1"/>
  <c r="C15" i="2"/>
  <c r="O13" i="3"/>
  <c r="C16" i="2"/>
  <c r="O14" i="3"/>
  <c r="G8" i="2"/>
  <c r="O15" i="3"/>
  <c r="C17" i="2"/>
  <c r="O16" i="3"/>
  <c r="O17" i="3"/>
  <c r="O26" i="3"/>
  <c r="C18" i="2"/>
  <c r="O27" i="3"/>
  <c r="C19" i="2"/>
  <c r="O28" i="3"/>
  <c r="G10" i="2"/>
  <c r="G14" i="2"/>
  <c r="C27" i="2"/>
  <c r="C24" i="2"/>
  <c r="C10" i="2"/>
  <c r="C11" i="2"/>
  <c r="C32" i="2"/>
  <c r="C20" i="2"/>
  <c r="H10" i="1"/>
  <c r="I10" i="1"/>
  <c r="I12" i="1"/>
  <c r="C21" i="2"/>
  <c r="C22" i="2"/>
  <c r="C25" i="2"/>
  <c r="G12" i="2"/>
  <c r="C28" i="2"/>
  <c r="D7" i="3"/>
  <c r="C7" i="3"/>
  <c r="I5" i="1"/>
  <c r="H8" i="2"/>
  <c r="I9" i="1"/>
  <c r="E14" i="1"/>
  <c r="F67" i="1"/>
  <c r="I17" i="1"/>
  <c r="H9" i="1"/>
  <c r="F8" i="1"/>
  <c r="C8" i="1"/>
  <c r="E8" i="1"/>
  <c r="C7" i="1"/>
  <c r="E7" i="1"/>
  <c r="F7" i="1"/>
  <c r="C5" i="1"/>
  <c r="D5" i="1"/>
  <c r="E5" i="1"/>
  <c r="C6" i="1"/>
  <c r="D6" i="1"/>
  <c r="E6" i="1"/>
  <c r="F5" i="1"/>
  <c r="F6" i="1"/>
  <c r="G4" i="2"/>
  <c r="D9" i="1"/>
  <c r="G11" i="2"/>
  <c r="F9" i="1"/>
  <c r="C9" i="1"/>
  <c r="I19" i="1"/>
  <c r="H19" i="1"/>
  <c r="D17" i="1"/>
  <c r="J6" i="3"/>
  <c r="J28" i="3"/>
  <c r="H27" i="3"/>
  <c r="J25" i="3"/>
  <c r="J24" i="3"/>
  <c r="J23" i="3"/>
  <c r="H24" i="3"/>
  <c r="H23" i="3"/>
  <c r="H22" i="3"/>
  <c r="P5" i="3"/>
  <c r="P6" i="3"/>
  <c r="P7" i="3"/>
  <c r="P8" i="3"/>
  <c r="P9" i="3"/>
  <c r="P11" i="3"/>
  <c r="P12" i="3"/>
  <c r="P13" i="3"/>
  <c r="P14" i="3"/>
  <c r="P15" i="3"/>
  <c r="P16" i="3"/>
  <c r="P17" i="3"/>
  <c r="P20" i="3"/>
  <c r="P21" i="3"/>
  <c r="P22" i="3"/>
  <c r="P23" i="3"/>
  <c r="P26" i="3"/>
  <c r="P27" i="3"/>
  <c r="P28" i="3"/>
  <c r="P30" i="3"/>
  <c r="P34" i="3"/>
  <c r="P35" i="3"/>
  <c r="P36" i="3"/>
  <c r="P37" i="3"/>
  <c r="P38" i="3"/>
  <c r="P39" i="3"/>
  <c r="P43" i="3"/>
  <c r="E9" i="1"/>
  <c r="C23" i="2"/>
  <c r="C26" i="2"/>
  <c r="C29" i="2"/>
  <c r="D23" i="2"/>
  <c r="D26" i="2"/>
  <c r="D29" i="2"/>
  <c r="K10" i="3"/>
  <c r="K11" i="3"/>
  <c r="K9" i="3"/>
  <c r="D10" i="3"/>
  <c r="D11" i="3"/>
  <c r="D8" i="3"/>
  <c r="D9" i="3"/>
  <c r="D14" i="3"/>
  <c r="D13" i="3"/>
  <c r="K16" i="3"/>
  <c r="J11" i="3"/>
  <c r="J10" i="3"/>
  <c r="C14" i="3"/>
  <c r="C10" i="3"/>
  <c r="C11" i="3"/>
  <c r="C9" i="3"/>
  <c r="C8" i="3"/>
  <c r="O30" i="3"/>
  <c r="O34" i="3"/>
  <c r="O35" i="3"/>
  <c r="O36" i="3"/>
  <c r="O37" i="3"/>
  <c r="O38" i="3"/>
  <c r="O39" i="3"/>
  <c r="O43" i="3"/>
  <c r="O20" i="3"/>
  <c r="O21" i="3"/>
  <c r="O22" i="3"/>
  <c r="O23" i="3"/>
  <c r="J16" i="3"/>
  <c r="C13" i="3"/>
  <c r="J9" i="3"/>
  <c r="D18" i="1"/>
  <c r="H7" i="1"/>
  <c r="H8" i="1"/>
  <c r="I8" i="1"/>
  <c r="H11" i="1"/>
  <c r="I11" i="1"/>
  <c r="F15" i="1"/>
  <c r="C16" i="1"/>
  <c r="E16" i="1"/>
  <c r="F16" i="1"/>
  <c r="C17" i="1"/>
  <c r="E17" i="1"/>
  <c r="F17" i="1"/>
  <c r="C18" i="1"/>
  <c r="E18" i="1"/>
  <c r="F18" i="1"/>
  <c r="H18" i="1"/>
  <c r="I18" i="1"/>
  <c r="C66" i="1"/>
  <c r="C67" i="1"/>
  <c r="F68" i="1"/>
  <c r="C4" i="3"/>
  <c r="D4" i="3"/>
  <c r="J4" i="3"/>
  <c r="K4" i="3"/>
  <c r="C5" i="3"/>
  <c r="D5" i="3"/>
  <c r="J5" i="3"/>
  <c r="K5" i="3"/>
  <c r="C6" i="3"/>
  <c r="D6" i="3"/>
  <c r="K6" i="3"/>
  <c r="J7" i="3"/>
  <c r="K7" i="3"/>
  <c r="J15" i="3"/>
  <c r="K15" i="3"/>
  <c r="F21" i="3"/>
  <c r="H21" i="3"/>
  <c r="I21" i="3"/>
  <c r="J21" i="3"/>
  <c r="J22" i="3"/>
  <c r="F26" i="3"/>
  <c r="H26" i="3"/>
  <c r="I27" i="3"/>
  <c r="J27" i="3"/>
  <c r="H29" i="3"/>
  <c r="J29" i="3"/>
  <c r="O29" i="3"/>
  <c r="P29" i="3"/>
  <c r="O31" i="3"/>
  <c r="P31" i="3"/>
  <c r="O33" i="3"/>
  <c r="P33" i="3"/>
  <c r="C38" i="3"/>
  <c r="C39" i="3"/>
  <c r="C40" i="3"/>
  <c r="O40" i="3"/>
  <c r="P40" i="3"/>
  <c r="C41" i="3"/>
  <c r="C42" i="3"/>
  <c r="O42" i="3"/>
  <c r="P42" i="3"/>
  <c r="O44" i="3"/>
  <c r="P44" i="3"/>
  <c r="O45" i="3"/>
  <c r="P45" i="3"/>
  <c r="C30" i="2"/>
  <c r="D30" i="2"/>
  <c r="C31" i="2"/>
  <c r="D31" i="2"/>
  <c r="C33" i="2"/>
  <c r="D33" i="2"/>
  <c r="C34" i="2"/>
  <c r="D34" i="2"/>
</calcChain>
</file>

<file path=xl/sharedStrings.xml><?xml version="1.0" encoding="utf-8"?>
<sst xmlns="http://schemas.openxmlformats.org/spreadsheetml/2006/main" count="309" uniqueCount="153">
  <si>
    <t>N-1</t>
  </si>
  <si>
    <t>Net</t>
  </si>
  <si>
    <t>TOTAL GENERAL (I+II+III)</t>
  </si>
  <si>
    <t>N</t>
  </si>
  <si>
    <t>=</t>
  </si>
  <si>
    <t>-</t>
  </si>
  <si>
    <t>+</t>
  </si>
  <si>
    <t>…</t>
  </si>
  <si>
    <t>TOTAL</t>
  </si>
  <si>
    <t>Disponibilités avant passage d'une partie aux VMP:</t>
  </si>
  <si>
    <t>VMP avant passage d'une part des disponibilités:</t>
  </si>
  <si>
    <t>AIDE A LA GENERATION ALEATOIRE</t>
  </si>
  <si>
    <t>ES CE QUE L'EXERCICE EST MAL GÉNÉRÉ?</t>
  </si>
  <si>
    <t>Tableau emploi ressource</t>
  </si>
  <si>
    <t>Bilan N</t>
  </si>
  <si>
    <t>Bilan N-1</t>
  </si>
  <si>
    <t>Bilan fonctionnel N-1</t>
  </si>
  <si>
    <t>Bilan fonctionnel N</t>
  </si>
  <si>
    <r>
      <rPr>
        <i/>
        <sz val="12"/>
        <color theme="2"/>
        <rFont val="Calibri (Corps)"/>
      </rPr>
      <t>Valide</t>
    </r>
    <r>
      <rPr>
        <i/>
        <sz val="12"/>
        <color theme="2"/>
        <rFont val="Calibri"/>
        <family val="2"/>
        <scheme val="minor"/>
      </rPr>
      <t xml:space="preserve"> ou </t>
    </r>
    <r>
      <rPr>
        <i/>
        <sz val="12"/>
        <color theme="2"/>
        <rFont val="Calibri (Corps)"/>
      </rPr>
      <t>Invalide</t>
    </r>
  </si>
  <si>
    <t>TABLEAU A NE PAS MODIFIER</t>
  </si>
  <si>
    <r>
      <t xml:space="preserve">On the basis of the financial statement of </t>
    </r>
    <r>
      <rPr>
        <i/>
        <sz val="12"/>
        <color theme="1"/>
        <rFont val="Calibri"/>
        <family val="2"/>
        <scheme val="minor"/>
      </rPr>
      <t>FINANC'ICN, calculate the WC, the WCR and treasury and the intermediate management balances for the years N and N-1. Calculate the cash flow statement for the year N.</t>
    </r>
  </si>
  <si>
    <t>Intangible assets</t>
  </si>
  <si>
    <t>Tangible assets</t>
  </si>
  <si>
    <t>Shares</t>
  </si>
  <si>
    <t>Loans</t>
  </si>
  <si>
    <t>TOTAL FIXED ASSETS (I)</t>
  </si>
  <si>
    <t>Inventories Raw material</t>
  </si>
  <si>
    <t>Inventories Products</t>
  </si>
  <si>
    <t>Inventories Goods</t>
  </si>
  <si>
    <t>Receivables (Customers)</t>
  </si>
  <si>
    <t>Other receivables</t>
  </si>
  <si>
    <t>Securities</t>
  </si>
  <si>
    <t>Cash</t>
  </si>
  <si>
    <t>TOTAL CURRENT ASSETS (II)</t>
  </si>
  <si>
    <t>TOTAL ASSETS (I+II)</t>
  </si>
  <si>
    <t>Assets</t>
  </si>
  <si>
    <t>Shareholders equity and liabilities</t>
  </si>
  <si>
    <t>GROSS</t>
  </si>
  <si>
    <t>DEP &amp; IMPAIR</t>
  </si>
  <si>
    <t>NET</t>
  </si>
  <si>
    <t>Capital</t>
  </si>
  <si>
    <t>Share premium</t>
  </si>
  <si>
    <t>Reserves</t>
  </si>
  <si>
    <t>Retained earnings</t>
  </si>
  <si>
    <t>Capital grant</t>
  </si>
  <si>
    <t>Regulated provisions</t>
  </si>
  <si>
    <t>TOTAL EQUITY (I)</t>
  </si>
  <si>
    <t>Provisions for liabilities and charges (II)</t>
  </si>
  <si>
    <t>Financial debt *</t>
  </si>
  <si>
    <t>Payables (suppliers)</t>
  </si>
  <si>
    <t>Social and tax debt</t>
  </si>
  <si>
    <t>Fixed asset debt</t>
  </si>
  <si>
    <t>TOTAL LIABILITIES (III)</t>
  </si>
  <si>
    <t>Including Overdrafts</t>
  </si>
  <si>
    <t>Balance Sheet</t>
  </si>
  <si>
    <t>Income statement</t>
  </si>
  <si>
    <t>ANNEX</t>
  </si>
  <si>
    <t>Sales of goods</t>
  </si>
  <si>
    <t>Sales of products</t>
  </si>
  <si>
    <t>Total Sales</t>
  </si>
  <si>
    <t>Stored production</t>
  </si>
  <si>
    <t>Capitalised production</t>
  </si>
  <si>
    <t>Operating grant</t>
  </si>
  <si>
    <t>Provision reversals</t>
  </si>
  <si>
    <t>Total operating revenues (I)</t>
  </si>
  <si>
    <t>Purchase of goods</t>
  </si>
  <si>
    <t>Inventory change (Goods)</t>
  </si>
  <si>
    <t>Purchase of raw materials</t>
  </si>
  <si>
    <t>Inventory change (Raw materials)</t>
  </si>
  <si>
    <t>Other purchases and external expenses</t>
  </si>
  <si>
    <t>Taxes</t>
  </si>
  <si>
    <t>Wages and salaries</t>
  </si>
  <si>
    <t>Payroll</t>
  </si>
  <si>
    <t>DAP Depreciation</t>
  </si>
  <si>
    <t>DAP Impairment</t>
  </si>
  <si>
    <t>Total of operating expenses (II)</t>
  </si>
  <si>
    <t>OPERATING INCOME (I-II)</t>
  </si>
  <si>
    <t>Financial revenue (III)</t>
  </si>
  <si>
    <t>Interest expenses (IV)</t>
  </si>
  <si>
    <t>FINANCIAL INCOME (III-IV)</t>
  </si>
  <si>
    <t>Extraordinary revenue</t>
  </si>
  <si>
    <t>Extraordinary Expense (VI)</t>
  </si>
  <si>
    <t>Extraordinary revenue (V)</t>
  </si>
  <si>
    <t>EXTRAORDINARY INCOME (V-VI)</t>
  </si>
  <si>
    <t>Employee participation to the result (VII)</t>
  </si>
  <si>
    <t>Income taxes (VIII)</t>
  </si>
  <si>
    <t>TOTAL REVENUE (I+III+V)</t>
  </si>
  <si>
    <t>TOTAL EXPENSES (II+IV+VI+VII+VIII)</t>
  </si>
  <si>
    <t>PROFIT OR LOSS</t>
  </si>
  <si>
    <t>Dividend paid</t>
  </si>
  <si>
    <t>Factored unmatured notes receivable (FUNR)</t>
  </si>
  <si>
    <t>External staff</t>
  </si>
  <si>
    <t>Sales price of fixed assets</t>
  </si>
  <si>
    <t>Gross value of fixed assets sold</t>
  </si>
  <si>
    <t>Book value of fixed assets sold</t>
  </si>
  <si>
    <t>Investment grants transferred to income</t>
  </si>
  <si>
    <t>Inventories provisions on 31 - 12</t>
  </si>
  <si>
    <t>Account receivables provisions on 31 - 12</t>
  </si>
  <si>
    <t>WORKING CAPITAL</t>
  </si>
  <si>
    <t>I.M.B</t>
  </si>
  <si>
    <t>WORKING CAPITAL:</t>
  </si>
  <si>
    <t>WORKING CAPITAL REQUIREMENTS:</t>
  </si>
  <si>
    <t>WORKING CAPITAL REQUIREMENTS</t>
  </si>
  <si>
    <t>STABLE USES</t>
  </si>
  <si>
    <t>STABLE RESSOURCES</t>
  </si>
  <si>
    <t>CURRENT USES</t>
  </si>
  <si>
    <t>CURRENT RESSOURCES</t>
  </si>
  <si>
    <t>TREASURY</t>
  </si>
  <si>
    <t>TREASURY NEEDS</t>
  </si>
  <si>
    <t>TREASURY RESSOURCES</t>
  </si>
  <si>
    <t>OR</t>
  </si>
  <si>
    <t>Sales</t>
  </si>
  <si>
    <t>Operating revenue (1)</t>
  </si>
  <si>
    <t xml:space="preserve">Operating revenue   </t>
  </si>
  <si>
    <t>Purchases</t>
  </si>
  <si>
    <t>Inventory changes</t>
  </si>
  <si>
    <t>Gross margin (3)</t>
  </si>
  <si>
    <t>Value added</t>
  </si>
  <si>
    <t>Employee participation to the result</t>
  </si>
  <si>
    <t>EBITDA (4)</t>
  </si>
  <si>
    <t xml:space="preserve">EBITDA  </t>
  </si>
  <si>
    <t>Extraordinary expenses</t>
  </si>
  <si>
    <t>Financial revenue</t>
  </si>
  <si>
    <t>Overall Gross profit (5)</t>
  </si>
  <si>
    <t xml:space="preserve">Overall Gross profit  </t>
  </si>
  <si>
    <t>Financial expenses</t>
  </si>
  <si>
    <t>Income tax</t>
  </si>
  <si>
    <t>Cash flow (6)</t>
  </si>
  <si>
    <t>CASH FLOX STATEMENT</t>
  </si>
  <si>
    <t>FUNCTIONAL ASSESSMENT</t>
  </si>
  <si>
    <t>Total equity</t>
  </si>
  <si>
    <t>Provisions for liabilities and charges</t>
  </si>
  <si>
    <t>Financial debt</t>
  </si>
  <si>
    <t>Overdrafts</t>
  </si>
  <si>
    <t>Depreciation</t>
  </si>
  <si>
    <t>Impairment</t>
  </si>
  <si>
    <t>Gross value of fixed assets</t>
  </si>
  <si>
    <t>Inventories</t>
  </si>
  <si>
    <t>Receivables</t>
  </si>
  <si>
    <t>Factored unmatured notes receivable</t>
  </si>
  <si>
    <t>Operating investments</t>
  </si>
  <si>
    <t>Financial investments</t>
  </si>
  <si>
    <t>Capital increase</t>
  </si>
  <si>
    <t>Disposal of fixed assets</t>
  </si>
  <si>
    <t>Loan decrease</t>
  </si>
  <si>
    <t>Investment grant</t>
  </si>
  <si>
    <t>TRASURY NEEDS</t>
  </si>
  <si>
    <t>CASH FLOW STATEMENT</t>
  </si>
  <si>
    <t>Cash Flow (6)</t>
  </si>
  <si>
    <t>Only if you sale goods</t>
  </si>
  <si>
    <t>Here is a balance sheet and an income statement like the exam. Fill the worksheet "Fill it" for training. The exercise can be generated unlimited, randomly. The worksheet "Correction" give you results you have to find.</t>
  </si>
  <si>
    <t>Capitalized production</t>
  </si>
  <si>
    <t>Added value (2)</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</si>
</sst>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_ ;_ * \(#,##0.00\)\ _€_ ;_ * &quot;-&quot;??_)\ _€_ ;_ @_ "/>
    <numFmt numFmtId="164" formatCode="_ * #,##0_)\ _€_ ;_ * \(#,##0\)\ _€_ ;_ * &quot;-&quot;??_)\ _€_ ;_ @_ "/>
    <numFmt numFmtId="165" formatCode="#,##0;\(#,##0\)"/>
    <numFmt numFmtId="166" formatCode="0E+00"/>
  </numFmts>
  <fonts count="27" x14ac:knownFonts="1">
    <font>
      <sz val="12"/>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sz val="12"/>
      <color rgb="FFFF0000"/>
      <name val="Calibri"/>
      <family val="2"/>
      <scheme val="minor"/>
    </font>
    <font>
      <b/>
      <i/>
      <sz val="12"/>
      <color theme="1"/>
      <name val="Calibri"/>
      <family val="2"/>
      <scheme val="minor"/>
    </font>
    <font>
      <sz val="12"/>
      <color theme="9"/>
      <name val="Calibri"/>
      <family val="2"/>
      <scheme val="minor"/>
    </font>
    <font>
      <b/>
      <sz val="16"/>
      <color rgb="FFFF0000"/>
      <name val="Calibri"/>
      <family val="2"/>
      <scheme val="minor"/>
    </font>
    <font>
      <b/>
      <sz val="12"/>
      <color theme="9"/>
      <name val="Calibri"/>
      <family val="2"/>
      <scheme val="minor"/>
    </font>
    <font>
      <b/>
      <sz val="18"/>
      <color theme="1"/>
      <name val="Calibri"/>
      <family val="2"/>
      <scheme val="minor"/>
    </font>
    <font>
      <b/>
      <sz val="12"/>
      <color rgb="FFFF0000"/>
      <name val="Calibri"/>
      <family val="2"/>
      <scheme val="minor"/>
    </font>
    <font>
      <i/>
      <sz val="11"/>
      <color rgb="FFFF0000"/>
      <name val="Calibri"/>
      <family val="2"/>
      <scheme val="minor"/>
    </font>
    <font>
      <i/>
      <sz val="12"/>
      <color theme="1"/>
      <name val="Calibri"/>
      <family val="2"/>
      <scheme val="minor"/>
    </font>
    <font>
      <sz val="18"/>
      <color theme="1"/>
      <name val="Calibri"/>
      <family val="2"/>
      <scheme val="minor"/>
    </font>
    <font>
      <b/>
      <sz val="14"/>
      <color rgb="FFFF0000"/>
      <name val="Calibri"/>
      <family val="2"/>
      <scheme val="minor"/>
    </font>
    <font>
      <i/>
      <sz val="11"/>
      <color theme="9"/>
      <name val="Calibri"/>
      <family val="2"/>
      <scheme val="minor"/>
    </font>
    <font>
      <sz val="12"/>
      <name val="Calibri"/>
      <family val="2"/>
      <scheme val="minor"/>
    </font>
    <font>
      <b/>
      <sz val="12"/>
      <color theme="0" tint="-0.14999847407452621"/>
      <name val="Calibri"/>
      <family val="2"/>
      <scheme val="minor"/>
    </font>
    <font>
      <sz val="12"/>
      <color theme="0" tint="-0.14999847407452621"/>
      <name val="Calibri"/>
      <family val="2"/>
      <scheme val="minor"/>
    </font>
    <font>
      <b/>
      <sz val="12"/>
      <color theme="2"/>
      <name val="Calibri"/>
      <family val="2"/>
      <scheme val="minor"/>
    </font>
    <font>
      <i/>
      <sz val="12"/>
      <color theme="2"/>
      <name val="Calibri"/>
      <family val="2"/>
      <scheme val="minor"/>
    </font>
    <font>
      <i/>
      <sz val="12"/>
      <color theme="2"/>
      <name val="Calibri (Corps)"/>
    </font>
    <font>
      <b/>
      <i/>
      <sz val="12"/>
      <color theme="2"/>
      <name val="Calibri"/>
      <family val="2"/>
      <scheme val="minor"/>
    </font>
    <font>
      <sz val="12"/>
      <color theme="2"/>
      <name val="Calibri"/>
      <family val="2"/>
      <scheme val="minor"/>
    </font>
    <font>
      <sz val="12"/>
      <color theme="0" tint="-0.249977111117893"/>
      <name val="Calibri"/>
      <family val="2"/>
      <scheme val="minor"/>
    </font>
    <font>
      <b/>
      <sz val="20"/>
      <color theme="1"/>
      <name val="Calibri"/>
      <family val="2"/>
      <scheme val="minor"/>
    </font>
    <font>
      <i/>
      <sz val="12"/>
      <color theme="0" tint="-0.249977111117893"/>
      <name val="Calibri"/>
      <family val="2"/>
      <scheme val="minor"/>
    </font>
  </fonts>
  <fills count="5">
    <fill>
      <patternFill patternType="none"/>
    </fill>
    <fill>
      <patternFill patternType="gray125"/>
    </fill>
    <fill>
      <patternFill patternType="solid">
        <fgColor theme="0"/>
        <bgColor indexed="64"/>
      </patternFill>
    </fill>
    <fill>
      <patternFill patternType="solid">
        <fgColor theme="6" tint="0.59999389629810485"/>
        <bgColor indexed="64"/>
      </patternFill>
    </fill>
    <fill>
      <patternFill patternType="solid">
        <fgColor theme="0" tint="-0.34998626667073579"/>
        <bgColor indexed="64"/>
      </patternFill>
    </fill>
  </fills>
  <borders count="4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theme="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right style="thin">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43" fontId="1" fillId="0" borderId="0" applyFont="0" applyFill="0" applyBorder="0" applyAlignment="0" applyProtection="0"/>
  </cellStyleXfs>
  <cellXfs count="267">
    <xf numFmtId="0" fontId="0" fillId="0" borderId="0" xfId="0"/>
    <xf numFmtId="0" fontId="0" fillId="0" borderId="0" xfId="0" applyBorder="1"/>
    <xf numFmtId="0" fontId="0" fillId="0" borderId="0" xfId="0" applyBorder="1" applyAlignment="1">
      <alignment horizontal="center"/>
    </xf>
    <xf numFmtId="0" fontId="0" fillId="0" borderId="1" xfId="0" applyBorder="1" applyAlignment="1">
      <alignment horizontal="center"/>
    </xf>
    <xf numFmtId="0" fontId="0" fillId="0" borderId="6" xfId="0" applyBorder="1" applyAlignment="1">
      <alignment horizontal="center"/>
    </xf>
    <xf numFmtId="0" fontId="0" fillId="0" borderId="5" xfId="0" applyBorder="1"/>
    <xf numFmtId="0" fontId="2" fillId="0" borderId="5" xfId="0" applyFont="1" applyBorder="1"/>
    <xf numFmtId="0" fontId="2" fillId="0" borderId="7" xfId="0" applyFont="1" applyBorder="1"/>
    <xf numFmtId="0" fontId="0" fillId="0" borderId="7" xfId="0" applyBorder="1"/>
    <xf numFmtId="0" fontId="0" fillId="0" borderId="3" xfId="0" applyBorder="1" applyAlignment="1">
      <alignment horizontal="center"/>
    </xf>
    <xf numFmtId="0" fontId="0" fillId="0" borderId="4" xfId="0" applyBorder="1" applyAlignment="1">
      <alignment horizontal="center"/>
    </xf>
    <xf numFmtId="0" fontId="2" fillId="0" borderId="2" xfId="0" applyFont="1" applyBorder="1" applyAlignment="1">
      <alignment horizontal="center"/>
    </xf>
    <xf numFmtId="0" fontId="0" fillId="0" borderId="2" xfId="0" applyBorder="1" applyAlignment="1"/>
    <xf numFmtId="0" fontId="0" fillId="0" borderId="5" xfId="0" applyBorder="1" applyAlignment="1"/>
    <xf numFmtId="0" fontId="2" fillId="0" borderId="5" xfId="0" applyFont="1" applyBorder="1" applyAlignment="1"/>
    <xf numFmtId="0" fontId="2" fillId="0" borderId="7" xfId="0" applyFont="1" applyBorder="1" applyAlignment="1"/>
    <xf numFmtId="0" fontId="0" fillId="0" borderId="3" xfId="0" applyBorder="1" applyAlignment="1">
      <alignment horizontal="center" vertical="center"/>
    </xf>
    <xf numFmtId="0" fontId="0" fillId="0" borderId="4" xfId="0" applyBorder="1" applyAlignment="1">
      <alignment horizontal="center" vertical="center"/>
    </xf>
    <xf numFmtId="164" fontId="0" fillId="0" borderId="1" xfId="1" applyNumberFormat="1" applyFont="1" applyBorder="1" applyAlignment="1">
      <alignment horizontal="center" vertical="center"/>
    </xf>
    <xf numFmtId="164" fontId="0" fillId="0" borderId="6" xfId="1" applyNumberFormat="1" applyFont="1" applyBorder="1" applyAlignment="1">
      <alignment horizontal="center" vertical="center"/>
    </xf>
    <xf numFmtId="164" fontId="2" fillId="0" borderId="1" xfId="1" applyNumberFormat="1" applyFont="1" applyBorder="1" applyAlignment="1">
      <alignment horizontal="center" vertical="center"/>
    </xf>
    <xf numFmtId="164" fontId="2" fillId="0" borderId="6" xfId="1" applyNumberFormat="1" applyFont="1" applyBorder="1" applyAlignment="1">
      <alignment horizontal="center" vertical="center"/>
    </xf>
    <xf numFmtId="164" fontId="2" fillId="0" borderId="8" xfId="1" applyNumberFormat="1" applyFont="1" applyBorder="1" applyAlignment="1">
      <alignment horizontal="center" vertical="center"/>
    </xf>
    <xf numFmtId="164" fontId="2" fillId="0" borderId="9" xfId="1" applyNumberFormat="1" applyFont="1" applyBorder="1" applyAlignment="1">
      <alignment horizontal="center" vertical="center"/>
    </xf>
    <xf numFmtId="0" fontId="0" fillId="2" borderId="0" xfId="0" applyFill="1"/>
    <xf numFmtId="0" fontId="0" fillId="2" borderId="1" xfId="0" applyFill="1" applyBorder="1" applyAlignment="1">
      <alignment horizontal="center"/>
    </xf>
    <xf numFmtId="0" fontId="0" fillId="2" borderId="1" xfId="0" applyFill="1" applyBorder="1"/>
    <xf numFmtId="0" fontId="0" fillId="2" borderId="6" xfId="0" applyFill="1" applyBorder="1" applyAlignment="1">
      <alignment horizontal="center"/>
    </xf>
    <xf numFmtId="0" fontId="0" fillId="2" borderId="5" xfId="0" applyFill="1" applyBorder="1"/>
    <xf numFmtId="0" fontId="2" fillId="2" borderId="5" xfId="0" applyFont="1" applyFill="1" applyBorder="1"/>
    <xf numFmtId="0" fontId="2" fillId="2" borderId="1" xfId="0" applyFont="1" applyFill="1" applyBorder="1"/>
    <xf numFmtId="0" fontId="2" fillId="2" borderId="7" xfId="0" applyFont="1" applyFill="1" applyBorder="1"/>
    <xf numFmtId="0" fontId="2" fillId="2" borderId="8" xfId="0" applyFont="1" applyFill="1" applyBorder="1"/>
    <xf numFmtId="0" fontId="0" fillId="2" borderId="0" xfId="0" applyFill="1" applyBorder="1"/>
    <xf numFmtId="0" fontId="8" fillId="0" borderId="0" xfId="0" applyFont="1" applyAlignment="1">
      <alignment horizontal="center"/>
    </xf>
    <xf numFmtId="0" fontId="10" fillId="0" borderId="0" xfId="0" applyFont="1" applyAlignment="1">
      <alignment horizontal="center"/>
    </xf>
    <xf numFmtId="0" fontId="2" fillId="0" borderId="0" xfId="0" applyFont="1" applyAlignment="1">
      <alignment horizontal="center"/>
    </xf>
    <xf numFmtId="0" fontId="5" fillId="0" borderId="5" xfId="0" applyFont="1" applyBorder="1"/>
    <xf numFmtId="0" fontId="6" fillId="0" borderId="5" xfId="0" applyFont="1" applyBorder="1"/>
    <xf numFmtId="0" fontId="14" fillId="0" borderId="5" xfId="0" applyFont="1" applyBorder="1" applyAlignment="1">
      <alignment horizontal="center" vertical="center"/>
    </xf>
    <xf numFmtId="0" fontId="12" fillId="0" borderId="5" xfId="0" applyFont="1" applyBorder="1" applyAlignment="1">
      <alignment horizontal="center"/>
    </xf>
    <xf numFmtId="0" fontId="5" fillId="0" borderId="7" xfId="0" applyFont="1" applyBorder="1"/>
    <xf numFmtId="0" fontId="13" fillId="0" borderId="0" xfId="0" applyFont="1" applyBorder="1" applyAlignment="1">
      <alignment horizontal="center"/>
    </xf>
    <xf numFmtId="0" fontId="4" fillId="0" borderId="5" xfId="0" applyFont="1" applyBorder="1"/>
    <xf numFmtId="0" fontId="15" fillId="0" borderId="5" xfId="0" applyFont="1" applyBorder="1"/>
    <xf numFmtId="0" fontId="11" fillId="0" borderId="21" xfId="0" applyFont="1" applyBorder="1"/>
    <xf numFmtId="164" fontId="0" fillId="0" borderId="24" xfId="1" applyNumberFormat="1" applyFont="1" applyBorder="1" applyAlignment="1">
      <alignment horizontal="center" vertical="center"/>
    </xf>
    <xf numFmtId="1" fontId="0" fillId="0" borderId="6" xfId="1" applyNumberFormat="1" applyFont="1" applyBorder="1" applyAlignment="1">
      <alignment horizontal="center" vertical="center"/>
    </xf>
    <xf numFmtId="1" fontId="0" fillId="2" borderId="1" xfId="0" applyNumberFormat="1" applyFill="1" applyBorder="1" applyAlignment="1">
      <alignment horizontal="right"/>
    </xf>
    <xf numFmtId="0" fontId="2" fillId="0" borderId="0" xfId="0" applyFont="1" applyBorder="1" applyAlignment="1">
      <alignment horizontal="center"/>
    </xf>
    <xf numFmtId="0" fontId="0" fillId="0" borderId="0" xfId="0" applyBorder="1" applyAlignment="1">
      <alignment horizontal="center" vertical="center"/>
    </xf>
    <xf numFmtId="164" fontId="0" fillId="0" borderId="0" xfId="1" applyNumberFormat="1" applyFont="1" applyBorder="1" applyAlignment="1">
      <alignment horizontal="center" vertical="center"/>
    </xf>
    <xf numFmtId="164" fontId="2" fillId="0" borderId="0" xfId="1" applyNumberFormat="1" applyFont="1" applyBorder="1" applyAlignment="1">
      <alignment horizontal="center" vertical="center"/>
    </xf>
    <xf numFmtId="1" fontId="0" fillId="0" borderId="0" xfId="1" applyNumberFormat="1" applyFont="1" applyBorder="1" applyAlignment="1">
      <alignment horizontal="center" vertical="center"/>
    </xf>
    <xf numFmtId="0" fontId="2" fillId="0" borderId="0" xfId="0" applyFont="1"/>
    <xf numFmtId="1" fontId="0" fillId="2" borderId="0" xfId="0" applyNumberFormat="1" applyFill="1"/>
    <xf numFmtId="1" fontId="0" fillId="2" borderId="6" xfId="0" applyNumberFormat="1" applyFill="1" applyBorder="1" applyAlignment="1">
      <alignment horizontal="right"/>
    </xf>
    <xf numFmtId="1" fontId="2" fillId="2" borderId="6" xfId="0" applyNumberFormat="1" applyFont="1" applyFill="1" applyBorder="1" applyAlignment="1">
      <alignment horizontal="right"/>
    </xf>
    <xf numFmtId="1" fontId="2" fillId="2" borderId="9" xfId="0" applyNumberFormat="1" applyFont="1" applyFill="1" applyBorder="1" applyAlignment="1">
      <alignment horizontal="right"/>
    </xf>
    <xf numFmtId="1" fontId="2" fillId="2" borderId="1" xfId="0" applyNumberFormat="1" applyFont="1" applyFill="1" applyBorder="1" applyAlignment="1">
      <alignment horizontal="right"/>
    </xf>
    <xf numFmtId="1" fontId="2" fillId="2" borderId="8" xfId="0" applyNumberFormat="1" applyFont="1" applyFill="1" applyBorder="1" applyAlignment="1">
      <alignment horizontal="right"/>
    </xf>
    <xf numFmtId="1" fontId="0" fillId="0" borderId="1" xfId="1" applyNumberFormat="1" applyFont="1" applyBorder="1" applyAlignment="1">
      <alignment horizontal="center" vertical="center"/>
    </xf>
    <xf numFmtId="1" fontId="0" fillId="0" borderId="6" xfId="0" applyNumberFormat="1" applyBorder="1" applyAlignment="1">
      <alignment horizontal="center"/>
    </xf>
    <xf numFmtId="1" fontId="0" fillId="0" borderId="1" xfId="0" applyNumberFormat="1" applyBorder="1" applyAlignment="1">
      <alignment horizontal="center"/>
    </xf>
    <xf numFmtId="1" fontId="0" fillId="0" borderId="8" xfId="0" applyNumberFormat="1" applyBorder="1" applyAlignment="1">
      <alignment horizontal="center"/>
    </xf>
    <xf numFmtId="1" fontId="0" fillId="0" borderId="9" xfId="0" applyNumberFormat="1" applyBorder="1" applyAlignment="1">
      <alignment horizontal="center"/>
    </xf>
    <xf numFmtId="1" fontId="2" fillId="0" borderId="5" xfId="0" applyNumberFormat="1" applyFont="1" applyBorder="1"/>
    <xf numFmtId="1" fontId="0" fillId="0" borderId="1" xfId="0" applyNumberFormat="1" applyBorder="1"/>
    <xf numFmtId="1" fontId="0" fillId="0" borderId="6" xfId="0" applyNumberFormat="1" applyBorder="1"/>
    <xf numFmtId="1" fontId="5" fillId="0" borderId="5" xfId="0" applyNumberFormat="1" applyFont="1" applyBorder="1"/>
    <xf numFmtId="1" fontId="6" fillId="0" borderId="5" xfId="0" applyNumberFormat="1" applyFont="1" applyBorder="1"/>
    <xf numFmtId="1" fontId="11" fillId="0" borderId="5" xfId="0" applyNumberFormat="1" applyFont="1" applyBorder="1"/>
    <xf numFmtId="1" fontId="7" fillId="0" borderId="5" xfId="0" applyNumberFormat="1" applyFont="1" applyBorder="1" applyAlignment="1">
      <alignment horizontal="center" vertical="center"/>
    </xf>
    <xf numFmtId="1" fontId="7" fillId="0" borderId="5" xfId="0" applyNumberFormat="1" applyFont="1" applyBorder="1" applyAlignment="1">
      <alignment horizontal="center"/>
    </xf>
    <xf numFmtId="1" fontId="6" fillId="0" borderId="7" xfId="0" applyNumberFormat="1" applyFont="1" applyBorder="1"/>
    <xf numFmtId="1" fontId="0" fillId="0" borderId="8" xfId="0" applyNumberFormat="1" applyBorder="1"/>
    <xf numFmtId="1" fontId="0" fillId="0" borderId="9" xfId="0" applyNumberFormat="1" applyBorder="1"/>
    <xf numFmtId="1" fontId="0" fillId="0" borderId="22" xfId="0" applyNumberFormat="1" applyBorder="1"/>
    <xf numFmtId="1" fontId="0" fillId="0" borderId="23" xfId="0" applyNumberFormat="1" applyBorder="1"/>
    <xf numFmtId="1" fontId="0" fillId="0" borderId="0" xfId="0" applyNumberFormat="1"/>
    <xf numFmtId="1" fontId="0" fillId="0" borderId="20" xfId="0" applyNumberFormat="1" applyBorder="1"/>
    <xf numFmtId="1" fontId="0" fillId="0" borderId="18" xfId="0" applyNumberFormat="1" applyBorder="1"/>
    <xf numFmtId="166" fontId="0" fillId="0" borderId="0" xfId="0" applyNumberFormat="1"/>
    <xf numFmtId="0" fontId="18" fillId="2" borderId="0" xfId="0" applyFont="1" applyFill="1"/>
    <xf numFmtId="1" fontId="18" fillId="2" borderId="0" xfId="0" applyNumberFormat="1" applyFont="1" applyFill="1" applyBorder="1" applyAlignment="1">
      <alignment horizontal="right"/>
    </xf>
    <xf numFmtId="1" fontId="18" fillId="2" borderId="1" xfId="0" applyNumberFormat="1" applyFont="1" applyFill="1" applyBorder="1" applyAlignment="1">
      <alignment horizontal="right"/>
    </xf>
    <xf numFmtId="0" fontId="22" fillId="0" borderId="0" xfId="0" applyFont="1"/>
    <xf numFmtId="0" fontId="23" fillId="0" borderId="0" xfId="0" applyFont="1"/>
    <xf numFmtId="0" fontId="19" fillId="0" borderId="0" xfId="0" applyFont="1"/>
    <xf numFmtId="1" fontId="2" fillId="0" borderId="1" xfId="0" applyNumberFormat="1" applyFont="1" applyBorder="1"/>
    <xf numFmtId="1" fontId="2" fillId="0" borderId="6" xfId="0" applyNumberFormat="1" applyFont="1" applyBorder="1"/>
    <xf numFmtId="1" fontId="2" fillId="0" borderId="8" xfId="0" applyNumberFormat="1" applyFont="1" applyBorder="1"/>
    <xf numFmtId="1" fontId="2" fillId="0" borderId="9" xfId="0" applyNumberFormat="1" applyFont="1" applyBorder="1"/>
    <xf numFmtId="165" fontId="0" fillId="2" borderId="1" xfId="0" applyNumberFormat="1" applyFill="1" applyBorder="1" applyAlignment="1">
      <alignment horizontal="right"/>
    </xf>
    <xf numFmtId="165" fontId="0" fillId="2" borderId="6" xfId="0" applyNumberFormat="1" applyFill="1" applyBorder="1" applyAlignment="1">
      <alignment horizontal="right"/>
    </xf>
    <xf numFmtId="165" fontId="0" fillId="2" borderId="1" xfId="1" applyNumberFormat="1" applyFont="1" applyFill="1" applyBorder="1" applyAlignment="1">
      <alignment horizontal="right"/>
    </xf>
    <xf numFmtId="165" fontId="0" fillId="2" borderId="6" xfId="1" applyNumberFormat="1" applyFont="1" applyFill="1" applyBorder="1" applyAlignment="1">
      <alignment horizontal="right"/>
    </xf>
    <xf numFmtId="1" fontId="16" fillId="0" borderId="23" xfId="0" applyNumberFormat="1" applyFont="1" applyBorder="1"/>
    <xf numFmtId="1" fontId="0" fillId="0" borderId="38" xfId="0" applyNumberFormat="1" applyBorder="1"/>
    <xf numFmtId="1" fontId="2" fillId="0" borderId="40" xfId="0" applyNumberFormat="1" applyFont="1" applyBorder="1"/>
    <xf numFmtId="1" fontId="2" fillId="0" borderId="41" xfId="0" applyNumberFormat="1" applyFont="1" applyBorder="1"/>
    <xf numFmtId="0" fontId="0" fillId="0" borderId="0" xfId="0" applyFill="1"/>
    <xf numFmtId="0" fontId="13" fillId="0" borderId="0" xfId="0" applyFont="1" applyFill="1" applyBorder="1" applyAlignment="1">
      <alignment horizontal="center"/>
    </xf>
    <xf numFmtId="0" fontId="0" fillId="0" borderId="5" xfId="0" applyFill="1" applyBorder="1"/>
    <xf numFmtId="0" fontId="0" fillId="0" borderId="1" xfId="0" applyFill="1" applyBorder="1" applyAlignment="1">
      <alignment horizontal="center"/>
    </xf>
    <xf numFmtId="0" fontId="0" fillId="0" borderId="6" xfId="0" applyFill="1" applyBorder="1" applyAlignment="1">
      <alignment horizontal="center"/>
    </xf>
    <xf numFmtId="0" fontId="0" fillId="0" borderId="0" xfId="0" applyFill="1" applyBorder="1" applyAlignment="1">
      <alignment horizontal="center"/>
    </xf>
    <xf numFmtId="1" fontId="2" fillId="0" borderId="5" xfId="0" applyNumberFormat="1" applyFont="1" applyFill="1" applyBorder="1"/>
    <xf numFmtId="1" fontId="2" fillId="0" borderId="1" xfId="0" applyNumberFormat="1" applyFont="1" applyFill="1" applyBorder="1"/>
    <xf numFmtId="1" fontId="2" fillId="0" borderId="6" xfId="0" applyNumberFormat="1" applyFont="1" applyFill="1" applyBorder="1"/>
    <xf numFmtId="0" fontId="2" fillId="0" borderId="5" xfId="0" applyFont="1" applyFill="1" applyBorder="1"/>
    <xf numFmtId="0" fontId="0" fillId="0" borderId="0" xfId="0" applyFill="1" applyBorder="1"/>
    <xf numFmtId="1" fontId="5" fillId="0" borderId="5" xfId="0" applyNumberFormat="1" applyFont="1" applyFill="1" applyBorder="1"/>
    <xf numFmtId="0" fontId="5" fillId="0" borderId="5" xfId="0" applyFont="1" applyFill="1" applyBorder="1"/>
    <xf numFmtId="0" fontId="6" fillId="0" borderId="5" xfId="0" applyFont="1" applyFill="1" applyBorder="1"/>
    <xf numFmtId="1" fontId="0" fillId="0" borderId="1" xfId="0" applyNumberFormat="1" applyFill="1" applyBorder="1"/>
    <xf numFmtId="1" fontId="0" fillId="0" borderId="6" xfId="0" applyNumberFormat="1" applyFill="1" applyBorder="1"/>
    <xf numFmtId="1" fontId="6" fillId="0" borderId="5" xfId="0" applyNumberFormat="1" applyFont="1" applyFill="1" applyBorder="1"/>
    <xf numFmtId="0" fontId="8" fillId="0" borderId="0" xfId="0" applyFont="1" applyFill="1" applyAlignment="1">
      <alignment horizontal="center"/>
    </xf>
    <xf numFmtId="0" fontId="10" fillId="0" borderId="0" xfId="0" applyFont="1" applyFill="1" applyAlignment="1">
      <alignment horizontal="center"/>
    </xf>
    <xf numFmtId="1" fontId="11" fillId="0" borderId="5" xfId="0" applyNumberFormat="1" applyFont="1" applyFill="1" applyBorder="1"/>
    <xf numFmtId="0" fontId="2" fillId="0" borderId="0" xfId="0" applyFont="1" applyFill="1" applyAlignment="1">
      <alignment horizontal="center"/>
    </xf>
    <xf numFmtId="0" fontId="2" fillId="0" borderId="7" xfId="0" applyFont="1" applyFill="1" applyBorder="1"/>
    <xf numFmtId="1" fontId="2" fillId="0" borderId="8" xfId="0" applyNumberFormat="1" applyFont="1" applyFill="1" applyBorder="1"/>
    <xf numFmtId="1" fontId="2" fillId="0" borderId="9" xfId="0" applyNumberFormat="1" applyFont="1" applyFill="1" applyBorder="1"/>
    <xf numFmtId="0" fontId="4" fillId="0" borderId="5" xfId="0" applyFont="1" applyFill="1" applyBorder="1"/>
    <xf numFmtId="0" fontId="12" fillId="0" borderId="5" xfId="0" applyFont="1" applyFill="1" applyBorder="1" applyAlignment="1">
      <alignment horizontal="center"/>
    </xf>
    <xf numFmtId="0" fontId="15" fillId="0" borderId="5" xfId="0" applyFont="1" applyFill="1" applyBorder="1"/>
    <xf numFmtId="0" fontId="5" fillId="0" borderId="7" xfId="0" applyFont="1" applyFill="1" applyBorder="1"/>
    <xf numFmtId="0" fontId="11" fillId="0" borderId="21" xfId="0" applyFont="1" applyFill="1" applyBorder="1"/>
    <xf numFmtId="1" fontId="0" fillId="0" borderId="22" xfId="0" applyNumberFormat="1" applyFill="1" applyBorder="1"/>
    <xf numFmtId="1" fontId="0" fillId="0" borderId="23" xfId="0" applyNumberFormat="1" applyFill="1" applyBorder="1"/>
    <xf numFmtId="166" fontId="0" fillId="0" borderId="0" xfId="0" applyNumberFormat="1" applyFill="1"/>
    <xf numFmtId="1" fontId="0" fillId="0" borderId="0" xfId="0" applyNumberFormat="1" applyFill="1"/>
    <xf numFmtId="1" fontId="0" fillId="0" borderId="20" xfId="0" applyNumberFormat="1" applyFill="1" applyBorder="1"/>
    <xf numFmtId="1" fontId="0" fillId="0" borderId="18" xfId="0" applyNumberFormat="1" applyFill="1" applyBorder="1"/>
    <xf numFmtId="1" fontId="6" fillId="0" borderId="7" xfId="0" applyNumberFormat="1" applyFont="1" applyFill="1" applyBorder="1"/>
    <xf numFmtId="1" fontId="0" fillId="0" borderId="8" xfId="0" applyNumberFormat="1" applyFill="1" applyBorder="1"/>
    <xf numFmtId="1" fontId="0" fillId="0" borderId="9" xfId="0" applyNumberFormat="1" applyFill="1" applyBorder="1"/>
    <xf numFmtId="1" fontId="16" fillId="0" borderId="9" xfId="0" applyNumberFormat="1" applyFont="1" applyFill="1" applyBorder="1"/>
    <xf numFmtId="1" fontId="0" fillId="0" borderId="19" xfId="0" applyNumberFormat="1" applyFill="1" applyBorder="1"/>
    <xf numFmtId="1" fontId="2" fillId="0" borderId="35" xfId="0" applyNumberFormat="1" applyFont="1" applyFill="1" applyBorder="1"/>
    <xf numFmtId="1" fontId="2" fillId="0" borderId="37" xfId="0" applyNumberFormat="1" applyFont="1" applyFill="1" applyBorder="1" applyAlignment="1">
      <alignment horizontal="center"/>
    </xf>
    <xf numFmtId="1" fontId="2" fillId="0" borderId="36" xfId="0" applyNumberFormat="1" applyFont="1" applyFill="1" applyBorder="1"/>
    <xf numFmtId="0" fontId="22" fillId="0" borderId="0" xfId="0" applyFont="1" applyFill="1"/>
    <xf numFmtId="0" fontId="23" fillId="0" borderId="0" xfId="0" applyFont="1" applyFill="1"/>
    <xf numFmtId="0" fontId="19" fillId="0" borderId="0" xfId="0" applyFont="1" applyFill="1"/>
    <xf numFmtId="0" fontId="0" fillId="4" borderId="25" xfId="0" applyFill="1" applyBorder="1" applyAlignment="1">
      <alignment horizontal="center" wrapText="1"/>
    </xf>
    <xf numFmtId="0" fontId="0" fillId="4" borderId="26" xfId="0" applyFill="1" applyBorder="1" applyAlignment="1">
      <alignment horizontal="center" wrapText="1"/>
    </xf>
    <xf numFmtId="0" fontId="0" fillId="4" borderId="27" xfId="0" applyFill="1" applyBorder="1" applyAlignment="1">
      <alignment horizontal="center" wrapText="1"/>
    </xf>
    <xf numFmtId="0" fontId="0" fillId="4" borderId="42" xfId="0" applyFill="1" applyBorder="1" applyAlignment="1">
      <alignment horizontal="center" wrapText="1"/>
    </xf>
    <xf numFmtId="0" fontId="0" fillId="4" borderId="0" xfId="0" applyFill="1" applyBorder="1" applyAlignment="1">
      <alignment horizontal="center" wrapText="1"/>
    </xf>
    <xf numFmtId="0" fontId="0" fillId="4" borderId="43" xfId="0" applyFill="1" applyBorder="1" applyAlignment="1">
      <alignment horizontal="center" wrapText="1"/>
    </xf>
    <xf numFmtId="0" fontId="0" fillId="4" borderId="44" xfId="0" applyFill="1" applyBorder="1" applyAlignment="1">
      <alignment horizontal="center" wrapText="1"/>
    </xf>
    <xf numFmtId="0" fontId="0" fillId="4" borderId="45" xfId="0" applyFill="1" applyBorder="1" applyAlignment="1">
      <alignment horizontal="center" wrapText="1"/>
    </xf>
    <xf numFmtId="0" fontId="0" fillId="4" borderId="46" xfId="0" applyFill="1" applyBorder="1" applyAlignment="1">
      <alignment horizontal="center" wrapText="1"/>
    </xf>
    <xf numFmtId="0" fontId="2" fillId="2" borderId="45" xfId="0" applyFont="1" applyFill="1" applyBorder="1" applyAlignment="1">
      <alignment horizontal="center"/>
    </xf>
    <xf numFmtId="0" fontId="17" fillId="2" borderId="0" xfId="0" applyFont="1" applyFill="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0" fillId="2" borderId="1" xfId="0" applyFill="1" applyBorder="1" applyAlignment="1">
      <alignment horizontal="center"/>
    </xf>
    <xf numFmtId="0" fontId="0" fillId="2" borderId="5" xfId="0" applyFill="1" applyBorder="1" applyAlignment="1">
      <alignment horizontal="center"/>
    </xf>
    <xf numFmtId="0" fontId="0" fillId="2" borderId="10" xfId="0" applyFont="1" applyFill="1" applyBorder="1" applyAlignment="1">
      <alignment horizontal="left" wrapText="1"/>
    </xf>
    <xf numFmtId="0" fontId="0" fillId="2" borderId="11" xfId="0" applyFont="1" applyFill="1" applyBorder="1" applyAlignment="1">
      <alignment horizontal="left" wrapText="1"/>
    </xf>
    <xf numFmtId="1" fontId="0" fillId="2" borderId="10" xfId="0" applyNumberFormat="1" applyFill="1" applyBorder="1" applyAlignment="1">
      <alignment horizontal="right"/>
    </xf>
    <xf numFmtId="1" fontId="0" fillId="2" borderId="11" xfId="0" applyNumberFormat="1" applyFill="1" applyBorder="1" applyAlignment="1">
      <alignment horizontal="right"/>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3" borderId="42"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43" xfId="0" applyFont="1" applyFill="1" applyBorder="1" applyAlignment="1">
      <alignment horizontal="center" vertical="center" wrapText="1"/>
    </xf>
    <xf numFmtId="0" fontId="2" fillId="3" borderId="44" xfId="0" applyFont="1" applyFill="1" applyBorder="1" applyAlignment="1">
      <alignment horizontal="center" vertical="center" wrapText="1"/>
    </xf>
    <xf numFmtId="0" fontId="2" fillId="3" borderId="45"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0" borderId="0" xfId="0" applyFont="1" applyBorder="1" applyAlignment="1">
      <alignment horizontal="center"/>
    </xf>
    <xf numFmtId="0" fontId="0" fillId="0" borderId="0" xfId="0" applyBorder="1" applyAlignment="1">
      <alignment horizontal="center"/>
    </xf>
    <xf numFmtId="0" fontId="14" fillId="0" borderId="28"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24" xfId="0" applyFont="1" applyFill="1" applyBorder="1" applyAlignment="1">
      <alignment horizontal="center" vertical="center"/>
    </xf>
    <xf numFmtId="0" fontId="9" fillId="0" borderId="2" xfId="0" applyFont="1" applyFill="1" applyBorder="1" applyAlignment="1">
      <alignment horizontal="center"/>
    </xf>
    <xf numFmtId="0" fontId="9" fillId="0" borderId="3" xfId="0" applyFont="1" applyFill="1" applyBorder="1" applyAlignment="1">
      <alignment horizontal="center"/>
    </xf>
    <xf numFmtId="0" fontId="9" fillId="0" borderId="4" xfId="0" applyFont="1" applyFill="1" applyBorder="1" applyAlignment="1">
      <alignment horizontal="center"/>
    </xf>
    <xf numFmtId="0" fontId="13" fillId="0" borderId="3" xfId="0" applyFont="1" applyFill="1" applyBorder="1" applyAlignment="1">
      <alignment horizontal="center"/>
    </xf>
    <xf numFmtId="0" fontId="13" fillId="0" borderId="4" xfId="0" applyFont="1" applyFill="1" applyBorder="1" applyAlignment="1">
      <alignment horizontal="center"/>
    </xf>
    <xf numFmtId="1" fontId="0" fillId="0" borderId="12" xfId="0" applyNumberFormat="1" applyFill="1" applyBorder="1" applyAlignment="1">
      <alignment horizontal="center"/>
    </xf>
    <xf numFmtId="1" fontId="0" fillId="0" borderId="13" xfId="0" applyNumberFormat="1" applyFill="1" applyBorder="1" applyAlignment="1">
      <alignment horizontal="center"/>
    </xf>
    <xf numFmtId="1" fontId="0" fillId="0" borderId="14" xfId="0" applyNumberFormat="1" applyFill="1" applyBorder="1" applyAlignment="1">
      <alignment horizontal="center"/>
    </xf>
    <xf numFmtId="1" fontId="0" fillId="0" borderId="15" xfId="0" applyNumberFormat="1" applyFill="1" applyBorder="1" applyAlignment="1">
      <alignment horizontal="center"/>
    </xf>
    <xf numFmtId="1" fontId="0" fillId="0" borderId="16" xfId="0" applyNumberFormat="1" applyFill="1" applyBorder="1" applyAlignment="1">
      <alignment horizontal="center"/>
    </xf>
    <xf numFmtId="1" fontId="0" fillId="0" borderId="17" xfId="0" applyNumberFormat="1" applyFill="1" applyBorder="1" applyAlignment="1">
      <alignment horizontal="center"/>
    </xf>
    <xf numFmtId="0" fontId="0" fillId="0" borderId="28" xfId="0" applyFill="1" applyBorder="1" applyAlignment="1">
      <alignment horizontal="center"/>
    </xf>
    <xf numFmtId="0" fontId="0" fillId="0" borderId="33" xfId="0" applyFill="1" applyBorder="1" applyAlignment="1">
      <alignment horizontal="center"/>
    </xf>
    <xf numFmtId="0" fontId="0" fillId="0" borderId="24"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19" fillId="0" borderId="0" xfId="0" applyFont="1" applyFill="1" applyAlignment="1">
      <alignment horizontal="center"/>
    </xf>
    <xf numFmtId="0" fontId="20" fillId="0" borderId="0" xfId="0" applyFont="1" applyFill="1" applyAlignment="1">
      <alignment horizontal="center"/>
    </xf>
    <xf numFmtId="0" fontId="0" fillId="0" borderId="28" xfId="0" applyFill="1" applyBorder="1" applyAlignment="1">
      <alignment horizontal="left"/>
    </xf>
    <xf numFmtId="0" fontId="0" fillId="0" borderId="18" xfId="0" applyFill="1" applyBorder="1" applyAlignment="1">
      <alignment horizontal="left"/>
    </xf>
    <xf numFmtId="0" fontId="0" fillId="0" borderId="30" xfId="0" applyFont="1" applyFill="1" applyBorder="1" applyAlignment="1">
      <alignment horizontal="center"/>
    </xf>
    <xf numFmtId="0" fontId="0" fillId="0" borderId="31" xfId="0" applyFont="1" applyFill="1" applyBorder="1" applyAlignment="1">
      <alignment horizontal="center"/>
    </xf>
    <xf numFmtId="0" fontId="0" fillId="0" borderId="32" xfId="0" applyFont="1" applyFill="1" applyBorder="1" applyAlignment="1">
      <alignment horizontal="center"/>
    </xf>
    <xf numFmtId="1" fontId="7" fillId="0" borderId="28" xfId="0" applyNumberFormat="1" applyFont="1" applyFill="1" applyBorder="1" applyAlignment="1">
      <alignment horizontal="center" vertical="center"/>
    </xf>
    <xf numFmtId="1" fontId="7" fillId="0" borderId="33" xfId="0" applyNumberFormat="1" applyFont="1" applyFill="1" applyBorder="1" applyAlignment="1">
      <alignment horizontal="center" vertical="center"/>
    </xf>
    <xf numFmtId="1" fontId="7" fillId="0" borderId="24" xfId="0" applyNumberFormat="1" applyFont="1" applyFill="1" applyBorder="1" applyAlignment="1">
      <alignment horizontal="center" vertical="center"/>
    </xf>
    <xf numFmtId="1" fontId="7" fillId="0" borderId="28" xfId="0" applyNumberFormat="1" applyFont="1" applyFill="1" applyBorder="1" applyAlignment="1">
      <alignment horizontal="center"/>
    </xf>
    <xf numFmtId="1" fontId="7" fillId="0" borderId="33" xfId="0" applyNumberFormat="1" applyFont="1" applyFill="1" applyBorder="1" applyAlignment="1">
      <alignment horizontal="center"/>
    </xf>
    <xf numFmtId="1" fontId="7" fillId="0" borderId="24" xfId="0" applyNumberFormat="1" applyFont="1" applyFill="1" applyBorder="1" applyAlignment="1">
      <alignment horizontal="center"/>
    </xf>
    <xf numFmtId="0" fontId="24" fillId="0" borderId="30" xfId="0" applyFont="1" applyFill="1" applyBorder="1" applyAlignment="1">
      <alignment horizontal="center"/>
    </xf>
    <xf numFmtId="0" fontId="24" fillId="0" borderId="31" xfId="0" applyFont="1" applyFill="1" applyBorder="1" applyAlignment="1">
      <alignment horizontal="center"/>
    </xf>
    <xf numFmtId="0" fontId="24" fillId="0" borderId="32" xfId="0" applyFont="1" applyFill="1" applyBorder="1" applyAlignment="1">
      <alignment horizontal="center"/>
    </xf>
    <xf numFmtId="0" fontId="0" fillId="0" borderId="29" xfId="0" applyFill="1" applyBorder="1" applyAlignment="1">
      <alignment horizontal="center"/>
    </xf>
    <xf numFmtId="0" fontId="0" fillId="0" borderId="19" xfId="0" applyFill="1" applyBorder="1" applyAlignment="1">
      <alignment horizontal="center"/>
    </xf>
    <xf numFmtId="0" fontId="2" fillId="0" borderId="34" xfId="0" applyFont="1" applyFill="1" applyBorder="1" applyAlignment="1">
      <alignment horizontal="center"/>
    </xf>
    <xf numFmtId="0" fontId="2" fillId="0" borderId="37" xfId="0" applyFont="1" applyFill="1" applyBorder="1" applyAlignment="1">
      <alignment horizontal="center"/>
    </xf>
    <xf numFmtId="0" fontId="0" fillId="0" borderId="5" xfId="0" applyFill="1" applyBorder="1" applyAlignment="1">
      <alignment horizontal="left"/>
    </xf>
    <xf numFmtId="0" fontId="0" fillId="0" borderId="1" xfId="0" applyFill="1" applyBorder="1" applyAlignment="1">
      <alignment horizontal="left"/>
    </xf>
    <xf numFmtId="0" fontId="9" fillId="0" borderId="25" xfId="0" applyFont="1" applyFill="1" applyBorder="1" applyAlignment="1">
      <alignment horizontal="center" vertical="center"/>
    </xf>
    <xf numFmtId="0" fontId="9" fillId="0" borderId="26"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6" xfId="0" applyFont="1" applyFill="1" applyBorder="1" applyAlignment="1">
      <alignment horizontal="center" vertical="center"/>
    </xf>
    <xf numFmtId="0" fontId="0" fillId="0" borderId="30" xfId="0" applyFont="1" applyBorder="1" applyAlignment="1">
      <alignment horizontal="center"/>
    </xf>
    <xf numFmtId="0" fontId="0" fillId="0" borderId="31" xfId="0" applyFont="1" applyBorder="1" applyAlignment="1">
      <alignment horizontal="center"/>
    </xf>
    <xf numFmtId="0" fontId="0" fillId="0" borderId="32" xfId="0" applyFont="1" applyBorder="1" applyAlignment="1">
      <alignment horizontal="center"/>
    </xf>
    <xf numFmtId="0" fontId="19" fillId="0" borderId="0" xfId="0" applyFont="1" applyAlignment="1">
      <alignment horizontal="center"/>
    </xf>
    <xf numFmtId="0" fontId="20" fillId="0" borderId="0" xfId="0" applyFont="1" applyAlignment="1">
      <alignment horizontal="center"/>
    </xf>
    <xf numFmtId="0" fontId="2" fillId="0" borderId="39" xfId="0" applyFont="1" applyBorder="1" applyAlignment="1">
      <alignment horizontal="center"/>
    </xf>
    <xf numFmtId="0" fontId="2" fillId="0" borderId="40" xfId="0" applyFont="1" applyBorder="1" applyAlignment="1">
      <alignment horizontal="center"/>
    </xf>
    <xf numFmtId="0" fontId="0" fillId="0" borderId="28" xfId="0" applyBorder="1" applyAlignment="1">
      <alignment horizontal="left"/>
    </xf>
    <xf numFmtId="0" fontId="0" fillId="0" borderId="18" xfId="0" applyBorder="1" applyAlignment="1">
      <alignment horizontal="left"/>
    </xf>
    <xf numFmtId="0" fontId="0" fillId="0" borderId="12"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9" fillId="0" borderId="2" xfId="0" applyFont="1" applyBorder="1" applyAlignment="1">
      <alignment horizontal="center"/>
    </xf>
    <xf numFmtId="0" fontId="9" fillId="0" borderId="3" xfId="0" applyFont="1" applyBorder="1" applyAlignment="1">
      <alignment horizontal="center"/>
    </xf>
    <xf numFmtId="0" fontId="9" fillId="0" borderId="4" xfId="0" applyFont="1" applyBorder="1" applyAlignment="1">
      <alignment horizontal="center"/>
    </xf>
    <xf numFmtId="0" fontId="13" fillId="0" borderId="3" xfId="0" applyFont="1" applyBorder="1" applyAlignment="1">
      <alignment horizontal="center"/>
    </xf>
    <xf numFmtId="0" fontId="13" fillId="0" borderId="4" xfId="0" applyFont="1" applyBorder="1" applyAlignment="1">
      <alignment horizontal="center"/>
    </xf>
    <xf numFmtId="1" fontId="0" fillId="0" borderId="12" xfId="0" applyNumberFormat="1" applyBorder="1" applyAlignment="1">
      <alignment horizontal="center"/>
    </xf>
    <xf numFmtId="1" fontId="0" fillId="0" borderId="13" xfId="0" applyNumberFormat="1" applyBorder="1" applyAlignment="1">
      <alignment horizontal="center"/>
    </xf>
    <xf numFmtId="1" fontId="0" fillId="0" borderId="14" xfId="0" applyNumberFormat="1" applyBorder="1" applyAlignment="1">
      <alignment horizontal="center"/>
    </xf>
    <xf numFmtId="1" fontId="0" fillId="0" borderId="15" xfId="0" applyNumberFormat="1" applyBorder="1" applyAlignment="1">
      <alignment horizontal="center"/>
    </xf>
    <xf numFmtId="1" fontId="0" fillId="0" borderId="16" xfId="0" applyNumberFormat="1" applyBorder="1" applyAlignment="1">
      <alignment horizontal="center"/>
    </xf>
    <xf numFmtId="1" fontId="0" fillId="0" borderId="17" xfId="0" applyNumberFormat="1" applyBorder="1" applyAlignment="1">
      <alignment horizont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7"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5" xfId="0" applyBorder="1" applyAlignment="1">
      <alignment horizontal="left"/>
    </xf>
    <xf numFmtId="0" fontId="0" fillId="0" borderId="1" xfId="0" applyBorder="1" applyAlignment="1">
      <alignment horizontal="left"/>
    </xf>
    <xf numFmtId="0" fontId="0" fillId="0" borderId="28" xfId="0" applyBorder="1" applyAlignment="1">
      <alignment horizontal="center"/>
    </xf>
    <xf numFmtId="0" fontId="0" fillId="0" borderId="33" xfId="0" applyBorder="1" applyAlignment="1">
      <alignment horizontal="center"/>
    </xf>
    <xf numFmtId="0" fontId="0" fillId="0" borderId="24" xfId="0" applyBorder="1" applyAlignment="1">
      <alignment horizontal="center"/>
    </xf>
    <xf numFmtId="0" fontId="26" fillId="0" borderId="30" xfId="0" applyFont="1" applyBorder="1" applyAlignment="1">
      <alignment horizontal="center"/>
    </xf>
    <xf numFmtId="0" fontId="26" fillId="0" borderId="31" xfId="0" applyFont="1" applyBorder="1" applyAlignment="1">
      <alignment horizontal="center"/>
    </xf>
    <xf numFmtId="0" fontId="26" fillId="0" borderId="32" xfId="0" applyFont="1" applyBorder="1" applyAlignment="1">
      <alignment horizontal="center"/>
    </xf>
  </cellXfs>
  <cellStyles count="2">
    <cellStyle name="Milliers" xfId="1" builtinId="3"/>
    <cellStyle name="Normal" xfId="0" builtinId="0"/>
  </cellStyles>
  <dxfs count="215">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
      <font>
        <color theme="0"/>
      </font>
      <fill>
        <patternFill patternType="none">
          <bgColor auto="1"/>
        </patternFill>
      </fill>
    </dxf>
    <dxf>
      <font>
        <color theme="5" tint="0.59996337778862885"/>
      </font>
      <fill>
        <patternFill>
          <bgColor theme="5" tint="0.59996337778862885"/>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u val="none"/>
        <color theme="0"/>
      </font>
      <fill>
        <patternFill>
          <bgColor theme="0"/>
        </patternFill>
      </fill>
    </dxf>
  </dxfs>
  <tableStyles count="0" defaultTableStyle="TableStyleMedium9" defaultPivotStyle="PivotStyleMedium7"/>
  <colors>
    <mruColors>
      <color rgb="FFFF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0" Type="http://schemas.microsoft.com/office/2006/relationships/vbaProject" Target="vbaProject.bin"/><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152400</xdr:colOff>
      <xdr:row>2</xdr:row>
      <xdr:rowOff>0</xdr:rowOff>
    </xdr:from>
    <xdr:to>
      <xdr:col>11</xdr:col>
      <xdr:colOff>812800</xdr:colOff>
      <xdr:row>17</xdr:row>
      <xdr:rowOff>88900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756400" y="406400"/>
          <a:ext cx="3136900" cy="3136900"/>
        </a:xfrm>
        <a:prstGeom prst="rect">
          <a:avLst/>
        </a:prstGeom>
      </xdr:spPr>
    </xdr:pic>
    <xdr:clientData/>
  </xdr:twoCellAnchor>
  <xdr:twoCellAnchor>
    <xdr:from>
      <xdr:col>9</xdr:col>
      <xdr:colOff>406400</xdr:colOff>
      <xdr:row>18</xdr:row>
      <xdr:rowOff>50800</xdr:rowOff>
    </xdr:from>
    <xdr:to>
      <xdr:col>10</xdr:col>
      <xdr:colOff>685800</xdr:colOff>
      <xdr:row>19</xdr:row>
      <xdr:rowOff>76200</xdr:rowOff>
    </xdr:to>
    <xdr:sp macro="[0]!Bilan" textlink="">
      <xdr:nvSpPr>
        <xdr:cNvPr id="3" name="Rectangle à coins arrondis 2"/>
        <xdr:cNvSpPr/>
      </xdr:nvSpPr>
      <xdr:spPr>
        <a:xfrm>
          <a:off x="7835900" y="3708400"/>
          <a:ext cx="1104900" cy="2286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400" b="1"/>
            <a:t>Let's Go</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850900</xdr:colOff>
      <xdr:row>29</xdr:row>
      <xdr:rowOff>38100</xdr:rowOff>
    </xdr:from>
    <xdr:to>
      <xdr:col>6</xdr:col>
      <xdr:colOff>2895600</xdr:colOff>
      <xdr:row>31</xdr:row>
      <xdr:rowOff>0</xdr:rowOff>
    </xdr:to>
    <xdr:sp macro="[0]!Recalculdetout" textlink="">
      <xdr:nvSpPr>
        <xdr:cNvPr id="3" name="Rectangle à coins arrondis 2"/>
        <xdr:cNvSpPr/>
      </xdr:nvSpPr>
      <xdr:spPr>
        <a:xfrm>
          <a:off x="7874000" y="5981700"/>
          <a:ext cx="2044700"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Random exercise</a:t>
          </a:r>
        </a:p>
      </xdr:txBody>
    </xdr:sp>
    <xdr:clientData/>
  </xdr:twoCellAnchor>
  <xdr:twoCellAnchor editAs="oneCell">
    <xdr:from>
      <xdr:col>6</xdr:col>
      <xdr:colOff>1358900</xdr:colOff>
      <xdr:row>22</xdr:row>
      <xdr:rowOff>88900</xdr:rowOff>
    </xdr:from>
    <xdr:to>
      <xdr:col>6</xdr:col>
      <xdr:colOff>2476500</xdr:colOff>
      <xdr:row>27</xdr:row>
      <xdr:rowOff>177800</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2000" y="4584700"/>
          <a:ext cx="1117600" cy="1117600"/>
        </a:xfrm>
        <a:prstGeom prst="rect">
          <a:avLst/>
        </a:prstGeom>
      </xdr:spPr>
    </xdr:pic>
    <xdr:clientData/>
  </xdr:twoCellAnchor>
  <xdr:twoCellAnchor>
    <xdr:from>
      <xdr:col>11</xdr:col>
      <xdr:colOff>25400</xdr:colOff>
      <xdr:row>6</xdr:row>
      <xdr:rowOff>76200</xdr:rowOff>
    </xdr:from>
    <xdr:to>
      <xdr:col>13</xdr:col>
      <xdr:colOff>12700</xdr:colOff>
      <xdr:row>7</xdr:row>
      <xdr:rowOff>127000</xdr:rowOff>
    </xdr:to>
    <xdr:sp macro="[0]!Comptederesult" textlink="">
      <xdr:nvSpPr>
        <xdr:cNvPr id="4" name="Rectangle à coins arrondis 3"/>
        <xdr:cNvSpPr/>
      </xdr:nvSpPr>
      <xdr:spPr>
        <a:xfrm>
          <a:off x="13855700" y="1308100"/>
          <a:ext cx="1638300" cy="25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Income Statement</a:t>
          </a:r>
        </a:p>
      </xdr:txBody>
    </xdr:sp>
    <xdr:clientData/>
  </xdr:twoCellAnchor>
  <xdr:twoCellAnchor>
    <xdr:from>
      <xdr:col>7</xdr:col>
      <xdr:colOff>723900</xdr:colOff>
      <xdr:row>24</xdr:row>
      <xdr:rowOff>127000</xdr:rowOff>
    </xdr:from>
    <xdr:to>
      <xdr:col>10</xdr:col>
      <xdr:colOff>25400</xdr:colOff>
      <xdr:row>28</xdr:row>
      <xdr:rowOff>101600</xdr:rowOff>
    </xdr:to>
    <xdr:grpSp>
      <xdr:nvGrpSpPr>
        <xdr:cNvPr id="9" name="Grouper 8"/>
        <xdr:cNvGrpSpPr/>
      </xdr:nvGrpSpPr>
      <xdr:grpSpPr>
        <a:xfrm>
          <a:off x="11328400" y="5041900"/>
          <a:ext cx="1841500" cy="787400"/>
          <a:chOff x="11925300" y="5295900"/>
          <a:chExt cx="1841500" cy="787400"/>
        </a:xfrm>
      </xdr:grpSpPr>
      <xdr:sp macro="[0]!Commencerexercice" textlink="">
        <xdr:nvSpPr>
          <xdr:cNvPr id="7" name="Rectangle à coins arrondis 6"/>
          <xdr:cNvSpPr/>
        </xdr:nvSpPr>
        <xdr:spPr>
          <a:xfrm>
            <a:off x="11925300" y="5295900"/>
            <a:ext cx="1841500" cy="4064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fr-FR" sz="1400"/>
              <a:t>Start the exercise</a:t>
            </a:r>
          </a:p>
        </xdr:txBody>
      </xdr:sp>
      <xdr:sp macro="[0]!correction" textlink="">
        <xdr:nvSpPr>
          <xdr:cNvPr id="8" name="Rectangle 7"/>
          <xdr:cNvSpPr/>
        </xdr:nvSpPr>
        <xdr:spPr>
          <a:xfrm>
            <a:off x="11925300" y="5664200"/>
            <a:ext cx="1841500" cy="419100"/>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CORRECTION</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1817982</xdr:colOff>
      <xdr:row>22</xdr:row>
      <xdr:rowOff>88899</xdr:rowOff>
    </xdr:from>
    <xdr:to>
      <xdr:col>5</xdr:col>
      <xdr:colOff>2924606</xdr:colOff>
      <xdr:row>27</xdr:row>
      <xdr:rowOff>187364</xdr:rowOff>
    </xdr:to>
    <xdr:pic>
      <xdr:nvPicPr>
        <xdr:cNvPr id="4" name="Imag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3882" y="4584699"/>
          <a:ext cx="1106624" cy="1114465"/>
        </a:xfrm>
        <a:prstGeom prst="rect">
          <a:avLst/>
        </a:prstGeom>
      </xdr:spPr>
    </xdr:pic>
    <xdr:clientData/>
  </xdr:twoCellAnchor>
  <xdr:twoCellAnchor>
    <xdr:from>
      <xdr:col>5</xdr:col>
      <xdr:colOff>1308100</xdr:colOff>
      <xdr:row>29</xdr:row>
      <xdr:rowOff>63500</xdr:rowOff>
    </xdr:from>
    <xdr:to>
      <xdr:col>6</xdr:col>
      <xdr:colOff>50800</xdr:colOff>
      <xdr:row>31</xdr:row>
      <xdr:rowOff>25400</xdr:rowOff>
    </xdr:to>
    <xdr:sp macro="[0]!Recalculdetout" textlink="">
      <xdr:nvSpPr>
        <xdr:cNvPr id="5" name="Rectangle à coins arrondis 4"/>
        <xdr:cNvSpPr/>
      </xdr:nvSpPr>
      <xdr:spPr>
        <a:xfrm>
          <a:off x="7874000" y="5981700"/>
          <a:ext cx="2044700"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800"/>
            <a:t>Random</a:t>
          </a:r>
          <a:r>
            <a:rPr lang="fr-FR" sz="1800" baseline="0"/>
            <a:t> exercise</a:t>
          </a:r>
          <a:endParaRPr lang="fr-FR" sz="1800"/>
        </a:p>
      </xdr:txBody>
    </xdr:sp>
    <xdr:clientData/>
  </xdr:twoCellAnchor>
  <xdr:twoCellAnchor>
    <xdr:from>
      <xdr:col>10</xdr:col>
      <xdr:colOff>685800</xdr:colOff>
      <xdr:row>6</xdr:row>
      <xdr:rowOff>76200</xdr:rowOff>
    </xdr:from>
    <xdr:to>
      <xdr:col>12</xdr:col>
      <xdr:colOff>673100</xdr:colOff>
      <xdr:row>7</xdr:row>
      <xdr:rowOff>127000</xdr:rowOff>
    </xdr:to>
    <xdr:sp macro="[0]!Bilan" textlink="">
      <xdr:nvSpPr>
        <xdr:cNvPr id="6" name="Rectangle à coins arrondis 5"/>
        <xdr:cNvSpPr/>
      </xdr:nvSpPr>
      <xdr:spPr>
        <a:xfrm>
          <a:off x="13855700" y="1308100"/>
          <a:ext cx="1638300" cy="254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a:t>Balance</a:t>
          </a:r>
          <a:r>
            <a:rPr lang="fr-FR" sz="1200" b="1" baseline="0"/>
            <a:t> Sheet</a:t>
          </a:r>
          <a:endParaRPr lang="fr-FR" sz="1200" b="1"/>
        </a:p>
      </xdr:txBody>
    </xdr:sp>
    <xdr:clientData/>
  </xdr:twoCellAnchor>
  <xdr:twoCellAnchor editAs="oneCell">
    <xdr:from>
      <xdr:col>5</xdr:col>
      <xdr:colOff>1817982</xdr:colOff>
      <xdr:row>22</xdr:row>
      <xdr:rowOff>88899</xdr:rowOff>
    </xdr:from>
    <xdr:to>
      <xdr:col>5</xdr:col>
      <xdr:colOff>2935582</xdr:colOff>
      <xdr:row>27</xdr:row>
      <xdr:rowOff>190499</xdr:rowOff>
    </xdr:to>
    <xdr:pic>
      <xdr:nvPicPr>
        <xdr:cNvPr id="7" name="Imag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83882" y="4584699"/>
          <a:ext cx="1117600" cy="1117600"/>
        </a:xfrm>
        <a:prstGeom prst="rect">
          <a:avLst/>
        </a:prstGeom>
      </xdr:spPr>
    </xdr:pic>
    <xdr:clientData/>
  </xdr:twoCellAnchor>
  <xdr:twoCellAnchor>
    <xdr:from>
      <xdr:col>7</xdr:col>
      <xdr:colOff>495300</xdr:colOff>
      <xdr:row>24</xdr:row>
      <xdr:rowOff>139700</xdr:rowOff>
    </xdr:from>
    <xdr:to>
      <xdr:col>9</xdr:col>
      <xdr:colOff>685800</xdr:colOff>
      <xdr:row>28</xdr:row>
      <xdr:rowOff>114300</xdr:rowOff>
    </xdr:to>
    <xdr:grpSp>
      <xdr:nvGrpSpPr>
        <xdr:cNvPr id="8" name="Grouper 7"/>
        <xdr:cNvGrpSpPr/>
      </xdr:nvGrpSpPr>
      <xdr:grpSpPr>
        <a:xfrm>
          <a:off x="11328400" y="5041900"/>
          <a:ext cx="1841500" cy="787400"/>
          <a:chOff x="11925300" y="5295900"/>
          <a:chExt cx="1841500" cy="787400"/>
        </a:xfrm>
      </xdr:grpSpPr>
      <xdr:sp macro="[0]!Commencerexercice" textlink="">
        <xdr:nvSpPr>
          <xdr:cNvPr id="9" name="Rectangle à coins arrondis 8"/>
          <xdr:cNvSpPr/>
        </xdr:nvSpPr>
        <xdr:spPr>
          <a:xfrm>
            <a:off x="11925300" y="5295900"/>
            <a:ext cx="1841500" cy="4064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fr-FR" sz="1400"/>
              <a:t>Start the exercise</a:t>
            </a:r>
          </a:p>
        </xdr:txBody>
      </xdr:sp>
      <xdr:sp macro="[0]!correction" textlink="">
        <xdr:nvSpPr>
          <xdr:cNvPr id="10" name="Rectangle 9"/>
          <xdr:cNvSpPr/>
        </xdr:nvSpPr>
        <xdr:spPr>
          <a:xfrm>
            <a:off x="11925300" y="5664200"/>
            <a:ext cx="1841500" cy="419100"/>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CORRECTION</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303497</xdr:colOff>
      <xdr:row>5</xdr:row>
      <xdr:rowOff>128954</xdr:rowOff>
    </xdr:from>
    <xdr:to>
      <xdr:col>6</xdr:col>
      <xdr:colOff>1129323</xdr:colOff>
      <xdr:row>10</xdr:row>
      <xdr:rowOff>1954</xdr:rowOff>
    </xdr:to>
    <xdr:sp macro="[0]!Tableauxzero" textlink="">
      <xdr:nvSpPr>
        <xdr:cNvPr id="2" name="Rectangle à coins arrondis 1"/>
        <xdr:cNvSpPr/>
      </xdr:nvSpPr>
      <xdr:spPr>
        <a:xfrm>
          <a:off x="5464907" y="1236133"/>
          <a:ext cx="1656211" cy="915052"/>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lang="fr-FR" sz="1600"/>
            <a:t>Reset these tables</a:t>
          </a:r>
          <a:r>
            <a:rPr lang="fr-FR" sz="1600" baseline="0"/>
            <a:t>.</a:t>
          </a:r>
        </a:p>
        <a:p>
          <a:pPr algn="l"/>
          <a:endParaRPr lang="fr-FR" sz="1100"/>
        </a:p>
      </xdr:txBody>
    </xdr:sp>
    <xdr:clientData/>
  </xdr:twoCellAnchor>
  <xdr:twoCellAnchor>
    <xdr:from>
      <xdr:col>1</xdr:col>
      <xdr:colOff>814103</xdr:colOff>
      <xdr:row>34</xdr:row>
      <xdr:rowOff>16282</xdr:rowOff>
    </xdr:from>
    <xdr:to>
      <xdr:col>1</xdr:col>
      <xdr:colOff>2084103</xdr:colOff>
      <xdr:row>37</xdr:row>
      <xdr:rowOff>179103</xdr:rowOff>
    </xdr:to>
    <xdr:sp macro="[0]!Difficile" textlink="">
      <xdr:nvSpPr>
        <xdr:cNvPr id="3" name="Ellipse 2"/>
        <xdr:cNvSpPr/>
      </xdr:nvSpPr>
      <xdr:spPr>
        <a:xfrm>
          <a:off x="1107180" y="7115256"/>
          <a:ext cx="1270000" cy="748975"/>
        </a:xfrm>
        <a:prstGeom prst="ellipse">
          <a:avLst/>
        </a:prstGeom>
        <a:solidFill>
          <a:schemeClr val="accent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1" cap="none" spc="0">
              <a:ln w="0"/>
              <a:solidFill>
                <a:schemeClr val="bg1"/>
              </a:solidFill>
              <a:effectLst>
                <a:outerShdw blurRad="38100" dist="25400" dir="5400000" algn="ctr" rotWithShape="0">
                  <a:srgbClr val="6E747A">
                    <a:alpha val="43000"/>
                  </a:srgbClr>
                </a:outerShdw>
              </a:effectLst>
            </a:rPr>
            <a:t>HARDER</a:t>
          </a:r>
        </a:p>
      </xdr:txBody>
    </xdr:sp>
    <xdr:clientData/>
  </xdr:twoCellAnchor>
  <xdr:twoCellAnchor>
    <xdr:from>
      <xdr:col>8</xdr:col>
      <xdr:colOff>1888717</xdr:colOff>
      <xdr:row>34</xdr:row>
      <xdr:rowOff>32564</xdr:rowOff>
    </xdr:from>
    <xdr:to>
      <xdr:col>10</xdr:col>
      <xdr:colOff>636628</xdr:colOff>
      <xdr:row>37</xdr:row>
      <xdr:rowOff>179103</xdr:rowOff>
    </xdr:to>
    <xdr:grpSp>
      <xdr:nvGrpSpPr>
        <xdr:cNvPr id="5" name="Grouper 4"/>
        <xdr:cNvGrpSpPr/>
      </xdr:nvGrpSpPr>
      <xdr:grpSpPr>
        <a:xfrm>
          <a:off x="10192563" y="7131538"/>
          <a:ext cx="1841501" cy="732693"/>
          <a:chOff x="11925300" y="5312182"/>
          <a:chExt cx="1841500" cy="732693"/>
        </a:xfrm>
      </xdr:grpSpPr>
      <xdr:sp macro="[0]!Bilan" textlink="">
        <xdr:nvSpPr>
          <xdr:cNvPr id="6" name="Rectangle à coins arrondis 5"/>
          <xdr:cNvSpPr/>
        </xdr:nvSpPr>
        <xdr:spPr>
          <a:xfrm>
            <a:off x="11925300" y="5312182"/>
            <a:ext cx="1841500" cy="4064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fr-FR" sz="1400"/>
              <a:t>Balance Sheet</a:t>
            </a:r>
          </a:p>
        </xdr:txBody>
      </xdr:sp>
      <xdr:sp macro="[0]!correction" textlink="">
        <xdr:nvSpPr>
          <xdr:cNvPr id="7" name="Rectangle 6"/>
          <xdr:cNvSpPr/>
        </xdr:nvSpPr>
        <xdr:spPr>
          <a:xfrm>
            <a:off x="11925300" y="5664200"/>
            <a:ext cx="1841500" cy="380675"/>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100"/>
              <a:t>CORRECTION</a:t>
            </a: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1888718</xdr:colOff>
      <xdr:row>34</xdr:row>
      <xdr:rowOff>32565</xdr:rowOff>
    </xdr:from>
    <xdr:to>
      <xdr:col>10</xdr:col>
      <xdr:colOff>636628</xdr:colOff>
      <xdr:row>37</xdr:row>
      <xdr:rowOff>179103</xdr:rowOff>
    </xdr:to>
    <xdr:grpSp>
      <xdr:nvGrpSpPr>
        <xdr:cNvPr id="8" name="Grouper 7"/>
        <xdr:cNvGrpSpPr/>
      </xdr:nvGrpSpPr>
      <xdr:grpSpPr>
        <a:xfrm>
          <a:off x="10192564" y="7131539"/>
          <a:ext cx="1841500" cy="732692"/>
          <a:chOff x="11925300" y="5312182"/>
          <a:chExt cx="1841500" cy="732692"/>
        </a:xfrm>
      </xdr:grpSpPr>
      <xdr:sp macro="[0]!Bilan" textlink="">
        <xdr:nvSpPr>
          <xdr:cNvPr id="9" name="Rectangle à coins arrondis 8"/>
          <xdr:cNvSpPr/>
        </xdr:nvSpPr>
        <xdr:spPr>
          <a:xfrm>
            <a:off x="11925300" y="5312182"/>
            <a:ext cx="1841500" cy="406400"/>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fr-FR" sz="1400"/>
              <a:t>Balance Sheet</a:t>
            </a:r>
          </a:p>
        </xdr:txBody>
      </xdr:sp>
      <xdr:sp macro="[0]!Commencerexercice" textlink="">
        <xdr:nvSpPr>
          <xdr:cNvPr id="10" name="Rectangle 9"/>
          <xdr:cNvSpPr/>
        </xdr:nvSpPr>
        <xdr:spPr>
          <a:xfrm>
            <a:off x="11925300" y="5664200"/>
            <a:ext cx="1841500" cy="380674"/>
          </a:xfrm>
          <a:prstGeom prst="rect">
            <a:avLst/>
          </a:prstGeom>
          <a:solidFill>
            <a:schemeClr val="accent4"/>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fr-FR" sz="1200" b="0" baseline="0"/>
              <a:t>EXERCISE</a:t>
            </a:r>
          </a:p>
        </xdr:txBody>
      </xdr:sp>
    </xdr:grp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Bureau">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printerSettings" Target="../printerSettings/printerSettings2.bin"/><Relationship Id="rId3"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5" enableFormatConditionsCalculation="0"/>
  <dimension ref="H20:M23"/>
  <sheetViews>
    <sheetView showGridLines="0" showRowColHeaders="0" tabSelected="1" workbookViewId="0">
      <selection activeCell="N97" sqref="N97"/>
    </sheetView>
  </sheetViews>
  <sheetFormatPr baseColWidth="10" defaultRowHeight="16" x14ac:dyDescent="0.2"/>
  <sheetData>
    <row r="20" spans="8:13" ht="17" thickBot="1" x14ac:dyDescent="0.25"/>
    <row r="21" spans="8:13" ht="16" customHeight="1" x14ac:dyDescent="0.2">
      <c r="H21" s="147" t="s">
        <v>20</v>
      </c>
      <c r="I21" s="148"/>
      <c r="J21" s="148"/>
      <c r="K21" s="148"/>
      <c r="L21" s="148"/>
      <c r="M21" s="149"/>
    </row>
    <row r="22" spans="8:13" x14ac:dyDescent="0.2">
      <c r="H22" s="150"/>
      <c r="I22" s="151"/>
      <c r="J22" s="151"/>
      <c r="K22" s="151"/>
      <c r="L22" s="151"/>
      <c r="M22" s="152"/>
    </row>
    <row r="23" spans="8:13" ht="17" thickBot="1" x14ac:dyDescent="0.25">
      <c r="H23" s="153"/>
      <c r="I23" s="154"/>
      <c r="J23" s="154"/>
      <c r="K23" s="154"/>
      <c r="L23" s="154"/>
      <c r="M23" s="155"/>
    </row>
  </sheetData>
  <sheetProtection password="B534" sheet="1" formatCells="0" formatColumns="0" formatRows="0" insertColumns="0" insertRows="0" insertHyperlinks="0" deleteColumns="0" deleteRows="0" sort="0" autoFilter="0" pivotTables="0"/>
  <mergeCells count="1">
    <mergeCell ref="H21:M23"/>
  </mergeCells>
  <pageMargins left="0.7" right="0.7" top="0.75" bottom="0.75" header="0.3" footer="0.3"/>
  <pageSetup paperSize="9" orientation="portrait" horizontalDpi="0" verticalDpi="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1" enableFormatConditionsCalculation="0">
    <pageSetUpPr fitToPage="1"/>
  </sheetPr>
  <dimension ref="B1:I70"/>
  <sheetViews>
    <sheetView showGridLines="0" showRowColHeaders="0" workbookViewId="0">
      <selection activeCell="I80" sqref="I80"/>
    </sheetView>
  </sheetViews>
  <sheetFormatPr baseColWidth="10" defaultColWidth="10.83203125" defaultRowHeight="16" x14ac:dyDescent="0.2"/>
  <cols>
    <col min="1" max="1" width="10.83203125" style="24"/>
    <col min="2" max="2" width="38" style="24" customWidth="1"/>
    <col min="3" max="3" width="10.83203125" style="24" customWidth="1"/>
    <col min="4" max="4" width="12.6640625" style="24" customWidth="1"/>
    <col min="5" max="6" width="10.83203125" style="24"/>
    <col min="7" max="7" width="45.1640625" style="24" customWidth="1"/>
    <col min="8" max="8" width="11.5" style="24" bestFit="1" customWidth="1"/>
    <col min="9" max="9" width="11" style="24" bestFit="1" customWidth="1"/>
    <col min="10" max="16384" width="10.83203125" style="24"/>
  </cols>
  <sheetData>
    <row r="1" spans="2:9" ht="17" thickBot="1" x14ac:dyDescent="0.25">
      <c r="B1" s="156" t="s">
        <v>54</v>
      </c>
      <c r="C1" s="156"/>
      <c r="D1" s="156"/>
      <c r="E1" s="156"/>
      <c r="F1" s="156"/>
      <c r="G1" s="156"/>
      <c r="H1" s="156"/>
      <c r="I1" s="156"/>
    </row>
    <row r="2" spans="2:9" x14ac:dyDescent="0.2">
      <c r="B2" s="158" t="s">
        <v>35</v>
      </c>
      <c r="C2" s="159"/>
      <c r="D2" s="159"/>
      <c r="E2" s="159"/>
      <c r="F2" s="159"/>
      <c r="G2" s="159" t="s">
        <v>36</v>
      </c>
      <c r="H2" s="159"/>
      <c r="I2" s="160"/>
    </row>
    <row r="3" spans="2:9" x14ac:dyDescent="0.2">
      <c r="B3" s="162"/>
      <c r="C3" s="161" t="s">
        <v>3</v>
      </c>
      <c r="D3" s="161"/>
      <c r="E3" s="161"/>
      <c r="F3" s="25" t="s">
        <v>0</v>
      </c>
      <c r="G3" s="26"/>
      <c r="H3" s="25" t="s">
        <v>3</v>
      </c>
      <c r="I3" s="27" t="s">
        <v>0</v>
      </c>
    </row>
    <row r="4" spans="2:9" x14ac:dyDescent="0.2">
      <c r="B4" s="162"/>
      <c r="C4" s="25" t="s">
        <v>37</v>
      </c>
      <c r="D4" s="25" t="s">
        <v>38</v>
      </c>
      <c r="E4" s="25" t="s">
        <v>39</v>
      </c>
      <c r="F4" s="25" t="s">
        <v>39</v>
      </c>
      <c r="G4" s="26"/>
      <c r="H4" s="25" t="s">
        <v>1</v>
      </c>
      <c r="I4" s="27" t="s">
        <v>1</v>
      </c>
    </row>
    <row r="5" spans="2:9" x14ac:dyDescent="0.2">
      <c r="B5" s="28" t="s">
        <v>21</v>
      </c>
      <c r="C5" s="48">
        <f ca="1">RAND()*(5000-3000)+3000</f>
        <v>3205.5014801085354</v>
      </c>
      <c r="D5" s="48">
        <f ca="1">C5*2/4</f>
        <v>1602.7507400542677</v>
      </c>
      <c r="E5" s="48">
        <f ca="1">C5-D5</f>
        <v>1602.7507400542677</v>
      </c>
      <c r="F5" s="48">
        <f ca="1">((E5+E6)+'Income statement'!G12+'Income statement'!C20-(0.1*(C5+C6)))*0.02</f>
        <v>1347.1374261445783</v>
      </c>
      <c r="G5" s="26" t="s">
        <v>40</v>
      </c>
      <c r="H5" s="48">
        <f ca="1">RAND()*(30000-27000)+27000</f>
        <v>27794.863897361589</v>
      </c>
      <c r="I5" s="56">
        <f ca="1">RAND()*(27000-22000)+22000</f>
        <v>23055.517857088202</v>
      </c>
    </row>
    <row r="6" spans="2:9" x14ac:dyDescent="0.2">
      <c r="B6" s="28" t="s">
        <v>22</v>
      </c>
      <c r="C6" s="48">
        <f ca="1">RAND()*(100000-75000)+75000</f>
        <v>81504.608553973987</v>
      </c>
      <c r="D6" s="48">
        <f ca="1">C6*5/30</f>
        <v>13584.101425662329</v>
      </c>
      <c r="E6" s="48">
        <f t="shared" ref="E6:E8" ca="1" si="0">C6-D6</f>
        <v>67920.507128311656</v>
      </c>
      <c r="F6" s="48">
        <f ca="1">((E5+E6)+'Income statement'!G12+'Income statement'!C20-(0.1*(C5+C6)))*0.98</f>
        <v>66009.733881084336</v>
      </c>
      <c r="G6" s="26" t="s">
        <v>41</v>
      </c>
      <c r="H6" s="48">
        <f ca="1">RAND()*(20000-0)+0</f>
        <v>11390.413945393317</v>
      </c>
      <c r="I6" s="56">
        <v>0</v>
      </c>
    </row>
    <row r="7" spans="2:9" x14ac:dyDescent="0.2">
      <c r="B7" s="28" t="s">
        <v>23</v>
      </c>
      <c r="C7" s="48">
        <f ca="1">RAND()*(5000-3000)+3000</f>
        <v>4960.6011986153062</v>
      </c>
      <c r="D7" s="48"/>
      <c r="E7" s="48">
        <f t="shared" ca="1" si="0"/>
        <v>4960.6011986153062</v>
      </c>
      <c r="F7" s="48">
        <f ca="1">RAND()*(1500-1000)+1000</f>
        <v>1069.3890119883354</v>
      </c>
      <c r="G7" s="26" t="s">
        <v>42</v>
      </c>
      <c r="H7" s="93">
        <f ca="1">I7+I8-'Income statement'!G4</f>
        <v>7711.9358851367078</v>
      </c>
      <c r="I7" s="94">
        <f ca="1">RAND()*(4000-3000)+3000</f>
        <v>3688.3828379842957</v>
      </c>
    </row>
    <row r="8" spans="2:9" x14ac:dyDescent="0.2">
      <c r="B8" s="28" t="s">
        <v>24</v>
      </c>
      <c r="C8" s="48">
        <f ca="1">RAND()*(1000-500)+500</f>
        <v>687.3104118701915</v>
      </c>
      <c r="D8" s="48"/>
      <c r="E8" s="48">
        <f t="shared" ca="1" si="0"/>
        <v>687.3104118701915</v>
      </c>
      <c r="F8" s="48">
        <f ca="1">RAND()*(1800-1000)+1000</f>
        <v>1137.1553540178504</v>
      </c>
      <c r="G8" s="26" t="s">
        <v>43</v>
      </c>
      <c r="H8" s="95">
        <f ca="1">'Income statement'!C34</f>
        <v>9676.8294216768554</v>
      </c>
      <c r="I8" s="96">
        <f ca="1">'Income statement'!D34</f>
        <v>4180.2788010149598</v>
      </c>
    </row>
    <row r="9" spans="2:9" x14ac:dyDescent="0.2">
      <c r="B9" s="29" t="s">
        <v>25</v>
      </c>
      <c r="C9" s="59">
        <f t="shared" ref="C9:D9" ca="1" si="1">SUM(C5:C8)</f>
        <v>90358.021644568013</v>
      </c>
      <c r="D9" s="59">
        <f t="shared" ca="1" si="1"/>
        <v>15186.852165716597</v>
      </c>
      <c r="E9" s="59">
        <f ca="1">SUM(E5:E8)</f>
        <v>75171.169478851414</v>
      </c>
      <c r="F9" s="59">
        <f ca="1">SUM(F5:F8)</f>
        <v>69563.415673235097</v>
      </c>
      <c r="G9" s="26" t="s">
        <v>44</v>
      </c>
      <c r="H9" s="48">
        <f ca="1">I9-'Income statement'!G14+INT(RAND()*(800-600)+600)</f>
        <v>734.11184580566783</v>
      </c>
      <c r="I9" s="56">
        <f ca="1">RAND()*(150-100)+100</f>
        <v>115.7454486431802</v>
      </c>
    </row>
    <row r="10" spans="2:9" x14ac:dyDescent="0.2">
      <c r="B10" s="28" t="s">
        <v>26</v>
      </c>
      <c r="C10" s="48">
        <f ca="1">RAND()*(13000-10000)+10000</f>
        <v>10912.194492171395</v>
      </c>
      <c r="D10" s="48"/>
      <c r="E10" s="48">
        <f ca="1">C10-D10</f>
        <v>10912.194492171395</v>
      </c>
      <c r="F10" s="48">
        <f ca="1">RAND()*(13000-10000)+10000</f>
        <v>10584.234580478482</v>
      </c>
      <c r="G10" s="26" t="s">
        <v>45</v>
      </c>
      <c r="H10" s="48">
        <f ca="1">RAND()*(300-200)+200</f>
        <v>299.80409057586081</v>
      </c>
      <c r="I10" s="56">
        <f ca="1">RAND()*(250-100)+100</f>
        <v>206.04724214129774</v>
      </c>
    </row>
    <row r="11" spans="2:9" x14ac:dyDescent="0.2">
      <c r="B11" s="28" t="s">
        <v>27</v>
      </c>
      <c r="C11" s="48">
        <f ca="1">RAND()*(10000-6000)+6000</f>
        <v>6917.2533176038951</v>
      </c>
      <c r="D11" s="48">
        <f ca="1">'Income statement'!G16</f>
        <v>2234.4060256735079</v>
      </c>
      <c r="E11" s="48">
        <f t="shared" ref="E11:E16" ca="1" si="2">C11-D11</f>
        <v>4682.8472919303877</v>
      </c>
      <c r="F11" s="48">
        <f ca="1">E11+('Income statement'!G16-'Income statement'!H16)-(0.1*C11)</f>
        <v>4114.3555351278847</v>
      </c>
      <c r="G11" s="30" t="s">
        <v>46</v>
      </c>
      <c r="H11" s="59">
        <f ca="1">SUM(H5:H10)</f>
        <v>57607.959085949995</v>
      </c>
      <c r="I11" s="57">
        <f ca="1">SUM(I5:I10)</f>
        <v>31245.972186871935</v>
      </c>
    </row>
    <row r="12" spans="2:9" x14ac:dyDescent="0.2">
      <c r="B12" s="28" t="s">
        <v>28</v>
      </c>
      <c r="C12" s="48">
        <f ca="1">RAND()*(2500-2000)+2000</f>
        <v>2053.7112095363668</v>
      </c>
      <c r="D12" s="48"/>
      <c r="E12" s="48">
        <f t="shared" ca="1" si="2"/>
        <v>2053.7112095363668</v>
      </c>
      <c r="F12" s="48">
        <f ca="1">RAND()*(2500-2000)+2000</f>
        <v>2467.0363280470901</v>
      </c>
      <c r="G12" s="26" t="s">
        <v>47</v>
      </c>
      <c r="H12" s="48">
        <f ca="1">RAND()*(1000-800)+800</f>
        <v>981.98108499357136</v>
      </c>
      <c r="I12" s="56">
        <f ca="1">RAND()*(900-700)+700</f>
        <v>730.38955841455322</v>
      </c>
    </row>
    <row r="13" spans="2:9" x14ac:dyDescent="0.2">
      <c r="B13" s="28" t="s">
        <v>29</v>
      </c>
      <c r="C13" s="48">
        <f ca="1">RAND()*(17000-9000)+9000</f>
        <v>11448.47559010234</v>
      </c>
      <c r="D13" s="48">
        <f ca="1">'Income statement'!G17</f>
        <v>2252.5390407522345</v>
      </c>
      <c r="E13" s="48">
        <f t="shared" ca="1" si="2"/>
        <v>9195.9365493501064</v>
      </c>
      <c r="F13" s="48">
        <f ca="1">E13+('Income statement'!G17-'Income statement'!H17)-(0.1*C13)</f>
        <v>8210.1734709812335</v>
      </c>
      <c r="G13" s="26" t="s">
        <v>48</v>
      </c>
      <c r="H13" s="48">
        <f ca="1">RAND()*(100000-60000)+60000</f>
        <v>94449.411527340519</v>
      </c>
      <c r="I13" s="56">
        <f ca="1">RAND()*(80000-72000)+72000</f>
        <v>72559.243875116445</v>
      </c>
    </row>
    <row r="14" spans="2:9" x14ac:dyDescent="0.2">
      <c r="B14" s="28" t="s">
        <v>30</v>
      </c>
      <c r="C14" s="48">
        <f ca="1">RAND()*(2500-2000)+2000</f>
        <v>2431.9296745386146</v>
      </c>
      <c r="D14" s="48"/>
      <c r="E14" s="48">
        <f t="shared" ca="1" si="2"/>
        <v>2431.9296745386146</v>
      </c>
      <c r="F14" s="48">
        <f ca="1">RAND()*(2500-2000)+2000</f>
        <v>2415.4284852810238</v>
      </c>
      <c r="G14" s="26" t="s">
        <v>49</v>
      </c>
      <c r="H14" s="48">
        <f ca="1">RAND()*(15000-8000)+8000</f>
        <v>14834.143552266072</v>
      </c>
      <c r="I14" s="56">
        <f ca="1">RAND()*(15000-8000)+8000</f>
        <v>14408.960805618633</v>
      </c>
    </row>
    <row r="15" spans="2:9" x14ac:dyDescent="0.2">
      <c r="B15" s="28" t="s">
        <v>31</v>
      </c>
      <c r="C15" s="48">
        <f ca="1">RAND()*(1000-500)+500</f>
        <v>691.91137415701962</v>
      </c>
      <c r="D15" s="48"/>
      <c r="E15" s="48">
        <f t="shared" ca="1" si="2"/>
        <v>691.91137415701962</v>
      </c>
      <c r="F15" s="55">
        <f ca="1">F67+0.45*(I18-F9-F10-F11-F12-F13-F14-F67)</f>
        <v>11713.011152781581</v>
      </c>
      <c r="G15" s="26" t="s">
        <v>50</v>
      </c>
      <c r="H15" s="48">
        <f ca="1">RAND()*(3000-2000)+2000</f>
        <v>2027.1493430652217</v>
      </c>
      <c r="I15" s="56">
        <f ca="1">RAND()*(3000-2000)+2000</f>
        <v>2771.6392177624184</v>
      </c>
    </row>
    <row r="16" spans="2:9" x14ac:dyDescent="0.2">
      <c r="B16" s="28" t="s">
        <v>32</v>
      </c>
      <c r="C16" s="48">
        <f ca="1">H18-E9-E10-E11-E12-E13-E14-E15</f>
        <v>65303.485147991392</v>
      </c>
      <c r="D16" s="48"/>
      <c r="E16" s="48">
        <f t="shared" ca="1" si="2"/>
        <v>65303.485147991392</v>
      </c>
      <c r="F16" s="55">
        <f ca="1">F68-0.45*(I18-F9-F10-F11-F12-F13-F14-F67)</f>
        <v>13626.569186733044</v>
      </c>
      <c r="G16" s="26" t="s">
        <v>51</v>
      </c>
      <c r="H16" s="48">
        <f ca="1">RAND()*(1000-500)+500</f>
        <v>542.54055356936169</v>
      </c>
      <c r="I16" s="56">
        <f ca="1">RAND()*(1000-500)+500</f>
        <v>978.01880965788564</v>
      </c>
    </row>
    <row r="17" spans="2:9" x14ac:dyDescent="0.2">
      <c r="B17" s="29" t="s">
        <v>33</v>
      </c>
      <c r="C17" s="59">
        <f ca="1">SUM(C10:C16)</f>
        <v>99758.960806101022</v>
      </c>
      <c r="D17" s="59">
        <f t="shared" ref="D17:E17" ca="1" si="3">SUM(D10:D16)</f>
        <v>4486.945066425742</v>
      </c>
      <c r="E17" s="59">
        <f t="shared" ca="1" si="3"/>
        <v>95272.015739675291</v>
      </c>
      <c r="F17" s="59">
        <f t="shared" ref="F17" ca="1" si="4">SUM(F10:F16)</f>
        <v>53130.808739430337</v>
      </c>
      <c r="G17" s="30" t="s">
        <v>52</v>
      </c>
      <c r="H17" s="59">
        <f ca="1">SUM(H13:H16)</f>
        <v>111853.24497624117</v>
      </c>
      <c r="I17" s="57">
        <f ca="1">SUM(I13:I16)</f>
        <v>90717.862708155371</v>
      </c>
    </row>
    <row r="18" spans="2:9" ht="17" thickBot="1" x14ac:dyDescent="0.25">
      <c r="B18" s="31" t="s">
        <v>34</v>
      </c>
      <c r="C18" s="60">
        <f ca="1">C17+C9</f>
        <v>190116.98245066905</v>
      </c>
      <c r="D18" s="60">
        <f t="shared" ref="D18:E18" ca="1" si="5">D17+D9</f>
        <v>19673.797232142337</v>
      </c>
      <c r="E18" s="60">
        <f t="shared" ca="1" si="5"/>
        <v>170443.18521852669</v>
      </c>
      <c r="F18" s="60">
        <f t="shared" ref="F18" ca="1" si="6">F17+F9</f>
        <v>122694.22441266544</v>
      </c>
      <c r="G18" s="32" t="s">
        <v>2</v>
      </c>
      <c r="H18" s="60">
        <f ca="1">H17+H12+H11</f>
        <v>170443.18514718473</v>
      </c>
      <c r="I18" s="58">
        <f ca="1">I17+I12+I11</f>
        <v>122694.22445344186</v>
      </c>
    </row>
    <row r="19" spans="2:9" x14ac:dyDescent="0.2">
      <c r="F19" s="33"/>
      <c r="G19" s="163" t="s">
        <v>53</v>
      </c>
      <c r="H19" s="165">
        <f ca="1">RAND()*(10000-7000)+7000</f>
        <v>9084.6508894699964</v>
      </c>
      <c r="I19" s="165">
        <f ca="1">RAND()*(7000-5000)+5000</f>
        <v>5057.9294529131967</v>
      </c>
    </row>
    <row r="20" spans="2:9" x14ac:dyDescent="0.2">
      <c r="F20" s="33"/>
      <c r="G20" s="164"/>
      <c r="H20" s="166"/>
      <c r="I20" s="166"/>
    </row>
    <row r="21" spans="2:9" x14ac:dyDescent="0.2">
      <c r="F21" s="33"/>
    </row>
    <row r="24" spans="2:9" ht="17" thickBot="1" x14ac:dyDescent="0.25"/>
    <row r="25" spans="2:9" x14ac:dyDescent="0.2">
      <c r="B25" s="167" t="s">
        <v>150</v>
      </c>
      <c r="C25" s="168"/>
      <c r="D25" s="168"/>
      <c r="E25" s="169"/>
    </row>
    <row r="26" spans="2:9" x14ac:dyDescent="0.2">
      <c r="B26" s="170"/>
      <c r="C26" s="171"/>
      <c r="D26" s="171"/>
      <c r="E26" s="172"/>
    </row>
    <row r="27" spans="2:9" x14ac:dyDescent="0.2">
      <c r="B27" s="170"/>
      <c r="C27" s="171"/>
      <c r="D27" s="171"/>
      <c r="E27" s="172"/>
    </row>
    <row r="28" spans="2:9" x14ac:dyDescent="0.2">
      <c r="B28" s="170"/>
      <c r="C28" s="171"/>
      <c r="D28" s="171"/>
      <c r="E28" s="172"/>
    </row>
    <row r="29" spans="2:9" ht="17" thickBot="1" x14ac:dyDescent="0.25">
      <c r="B29" s="173"/>
      <c r="C29" s="174"/>
      <c r="D29" s="174"/>
      <c r="E29" s="175"/>
    </row>
    <row r="35" spans="2:5" x14ac:dyDescent="0.2">
      <c r="B35"/>
      <c r="C35"/>
      <c r="D35"/>
      <c r="E35"/>
    </row>
    <row r="36" spans="2:5" x14ac:dyDescent="0.2">
      <c r="B36"/>
      <c r="C36"/>
      <c r="D36"/>
      <c r="E36"/>
    </row>
    <row r="37" spans="2:5" x14ac:dyDescent="0.2">
      <c r="B37"/>
      <c r="C37"/>
      <c r="D37"/>
      <c r="E37"/>
    </row>
    <row r="38" spans="2:5" x14ac:dyDescent="0.2">
      <c r="B38"/>
      <c r="C38"/>
      <c r="D38"/>
      <c r="E38"/>
    </row>
    <row r="39" spans="2:5" x14ac:dyDescent="0.2">
      <c r="B39"/>
      <c r="C39"/>
      <c r="D39"/>
      <c r="E39"/>
    </row>
    <row r="64" spans="2:7" x14ac:dyDescent="0.2">
      <c r="B64" s="157" t="s">
        <v>11</v>
      </c>
      <c r="C64" s="157"/>
      <c r="D64" s="157"/>
      <c r="E64" s="157"/>
      <c r="F64" s="157"/>
      <c r="G64" s="157"/>
    </row>
    <row r="65" spans="2:7" x14ac:dyDescent="0.2">
      <c r="B65" s="83"/>
      <c r="C65" s="83"/>
      <c r="D65" s="83"/>
      <c r="E65" s="83"/>
      <c r="F65" s="83"/>
      <c r="G65" s="83"/>
    </row>
    <row r="66" spans="2:7" x14ac:dyDescent="0.2">
      <c r="B66" s="83" t="s">
        <v>3</v>
      </c>
      <c r="C66" s="83">
        <f ca="1">E18-H18</f>
        <v>7.1341957664117217E-5</v>
      </c>
      <c r="D66" s="83"/>
      <c r="E66" s="157" t="s">
        <v>0</v>
      </c>
      <c r="F66" s="157"/>
      <c r="G66" s="83"/>
    </row>
    <row r="67" spans="2:7" x14ac:dyDescent="0.2">
      <c r="B67" s="83" t="s">
        <v>0</v>
      </c>
      <c r="C67" s="83">
        <f ca="1">F18-I18</f>
        <v>-4.077641642652452E-5</v>
      </c>
      <c r="D67" s="83"/>
      <c r="E67" s="83" t="s">
        <v>10</v>
      </c>
      <c r="F67" s="84">
        <f ca="1">INT(RAND()*(1000-500)+500)</f>
        <v>564</v>
      </c>
      <c r="G67" s="83"/>
    </row>
    <row r="68" spans="2:7" x14ac:dyDescent="0.2">
      <c r="B68" s="83"/>
      <c r="C68" s="83"/>
      <c r="D68" s="83"/>
      <c r="E68" s="83" t="s">
        <v>9</v>
      </c>
      <c r="F68" s="85">
        <f ca="1">I18-F9-F10-F11-F12-F13-F14-F67</f>
        <v>24775.580380291041</v>
      </c>
      <c r="G68" s="83"/>
    </row>
    <row r="69" spans="2:7" x14ac:dyDescent="0.2">
      <c r="B69" s="83"/>
      <c r="C69" s="83"/>
      <c r="D69" s="83"/>
      <c r="E69" s="83"/>
      <c r="F69" s="83"/>
      <c r="G69" s="83"/>
    </row>
    <row r="70" spans="2:7" x14ac:dyDescent="0.2">
      <c r="B70" s="83"/>
      <c r="C70" s="83"/>
      <c r="D70" s="83"/>
      <c r="E70" s="83"/>
      <c r="F70" s="83"/>
      <c r="G70" s="83"/>
    </row>
  </sheetData>
  <sheetProtection password="B534" sheet="1" formatCells="0" formatColumns="0" formatRows="0" insertColumns="0" insertRows="0" insertHyperlinks="0" deleteColumns="0" deleteRows="0" sort="0" autoFilter="0" pivotTables="0"/>
  <customSheetViews>
    <customSheetView guid="{B1BDEBDF-47A6-1249-A69C-11B2BD2D880B}" showPageBreaks="1" showGridLines="0" showRowCol="0" fitToPage="1" printArea="1">
      <selection activeCell="M18" sqref="M18"/>
      <pageMargins left="0.70000000000000007" right="0.70000000000000007" top="0.75000000000000011" bottom="0.75000000000000011" header="0.30000000000000004" footer="0.30000000000000004"/>
      <pageSetup paperSize="9" scale="72" orientation="landscape" horizontalDpi="0" verticalDpi="0"/>
    </customSheetView>
  </customSheetViews>
  <mergeCells count="11">
    <mergeCell ref="B1:I1"/>
    <mergeCell ref="E66:F66"/>
    <mergeCell ref="B2:F2"/>
    <mergeCell ref="G2:I2"/>
    <mergeCell ref="C3:E3"/>
    <mergeCell ref="B3:B4"/>
    <mergeCell ref="G19:G20"/>
    <mergeCell ref="H19:H20"/>
    <mergeCell ref="I19:I20"/>
    <mergeCell ref="B64:G64"/>
    <mergeCell ref="B25:E29"/>
  </mergeCells>
  <phoneticPr fontId="3" type="noConversion"/>
  <pageMargins left="0.70000000000000007" right="0.70000000000000007" top="0.75000000000000011" bottom="0.75000000000000011" header="0.30000000000000004" footer="0.30000000000000004"/>
  <pageSetup paperSize="9" scale="72" orientation="landscape" horizontalDpi="0" verticalDpi="0"/>
  <ignoredErrors>
    <ignoredError sqref="F13 C13 E9 C6" formula="1"/>
  </ignoredError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2" enableFormatConditionsCalculation="0">
    <pageSetUpPr fitToPage="1"/>
  </sheetPr>
  <dimension ref="B2:H34"/>
  <sheetViews>
    <sheetView showGridLines="0" showRowColHeaders="0" workbookViewId="0">
      <selection activeCell="B102" sqref="B102"/>
    </sheetView>
  </sheetViews>
  <sheetFormatPr baseColWidth="10" defaultRowHeight="16" x14ac:dyDescent="0.2"/>
  <cols>
    <col min="2" max="2" width="47.6640625" bestFit="1" customWidth="1"/>
    <col min="3" max="4" width="10.33203125" customWidth="1"/>
    <col min="5" max="5" width="8.83203125" customWidth="1"/>
    <col min="6" max="6" width="43.33203125" customWidth="1"/>
  </cols>
  <sheetData>
    <row r="2" spans="2:8" ht="17" thickBot="1" x14ac:dyDescent="0.25">
      <c r="B2" s="176" t="s">
        <v>55</v>
      </c>
      <c r="C2" s="176"/>
      <c r="D2" s="176"/>
      <c r="E2" s="49"/>
      <c r="F2" s="176" t="s">
        <v>56</v>
      </c>
      <c r="G2" s="177"/>
      <c r="H2" s="177"/>
    </row>
    <row r="3" spans="2:8" x14ac:dyDescent="0.2">
      <c r="B3" s="12"/>
      <c r="C3" s="16" t="s">
        <v>3</v>
      </c>
      <c r="D3" s="17" t="s">
        <v>0</v>
      </c>
      <c r="E3" s="50"/>
      <c r="F3" s="11"/>
      <c r="G3" s="9" t="s">
        <v>3</v>
      </c>
      <c r="H3" s="10" t="s">
        <v>0</v>
      </c>
    </row>
    <row r="4" spans="2:8" x14ac:dyDescent="0.2">
      <c r="B4" s="13" t="s">
        <v>57</v>
      </c>
      <c r="C4" s="18">
        <f ca="1">RAND()*(7000-5000)+5000</f>
        <v>6810.3569432656086</v>
      </c>
      <c r="D4" s="19">
        <f ca="1">RAND()*(7000-5000)+5000</f>
        <v>5615.6723839713222</v>
      </c>
      <c r="E4" s="51"/>
      <c r="F4" s="5" t="s">
        <v>89</v>
      </c>
      <c r="G4" s="61">
        <f ca="1">RAND()*(250-100)+100</f>
        <v>156.72571308612811</v>
      </c>
      <c r="H4" s="62"/>
    </row>
    <row r="5" spans="2:8" x14ac:dyDescent="0.2">
      <c r="B5" s="13" t="s">
        <v>58</v>
      </c>
      <c r="C5" s="18">
        <f ca="1">RAND()*(40000-25000)+25000</f>
        <v>33321.435323451537</v>
      </c>
      <c r="D5" s="19">
        <f ca="1">RAND()*(30000-20000)+20000</f>
        <v>27210.215475702113</v>
      </c>
      <c r="E5" s="51"/>
      <c r="F5" s="5"/>
      <c r="G5" s="63"/>
      <c r="H5" s="62"/>
    </row>
    <row r="6" spans="2:8" x14ac:dyDescent="0.2">
      <c r="B6" s="13" t="s">
        <v>59</v>
      </c>
      <c r="C6" s="18">
        <f ca="1">SUM(C4:C5)</f>
        <v>40131.792266717144</v>
      </c>
      <c r="D6" s="19">
        <f ca="1">SUM(D4:D5)</f>
        <v>32825.887859673436</v>
      </c>
      <c r="E6" s="51"/>
      <c r="F6" s="5" t="s">
        <v>90</v>
      </c>
      <c r="G6" s="61">
        <f ca="1">RAND()*(2500-1500)+1500</f>
        <v>2235.5502454613525</v>
      </c>
      <c r="H6" s="62">
        <f ca="1">RAND()*(2500-1500)+1500</f>
        <v>1902.3358457960553</v>
      </c>
    </row>
    <row r="7" spans="2:8" x14ac:dyDescent="0.2">
      <c r="B7" s="13" t="s">
        <v>60</v>
      </c>
      <c r="C7" s="18">
        <f ca="1">('Balance Sheet'!E11-'Balance Sheet'!F11)+('Income statement'!G16-'Income statement'!H16)</f>
        <v>691.72533176038996</v>
      </c>
      <c r="D7" s="19">
        <f ca="1">RAND()*(1000-500)+500</f>
        <v>500.97826934746297</v>
      </c>
      <c r="E7" s="51"/>
      <c r="F7" s="5"/>
      <c r="G7" s="63"/>
      <c r="H7" s="62"/>
    </row>
    <row r="8" spans="2:8" x14ac:dyDescent="0.2">
      <c r="B8" s="13" t="s">
        <v>61</v>
      </c>
      <c r="C8" s="61">
        <f ca="1">RAND()*(300-100)+100</f>
        <v>247.60005125567639</v>
      </c>
      <c r="D8" s="19">
        <f ca="1">RAND()*(300-100)+100</f>
        <v>163.90479925344937</v>
      </c>
      <c r="E8" s="51"/>
      <c r="F8" s="5" t="s">
        <v>91</v>
      </c>
      <c r="G8" s="61">
        <f ca="1">RAND()*(900-500)+500</f>
        <v>841.94161814633389</v>
      </c>
      <c r="H8" s="62">
        <f ca="1">RAND()*(900-500)+500</f>
        <v>818.89692946462583</v>
      </c>
    </row>
    <row r="9" spans="2:8" x14ac:dyDescent="0.2">
      <c r="B9" s="13" t="s">
        <v>62</v>
      </c>
      <c r="C9" s="61">
        <f ca="1">RAND()*(200-100)+100</f>
        <v>134.33683231196454</v>
      </c>
      <c r="D9" s="19">
        <f ca="1">RAND()*(200-100)+100</f>
        <v>174.88009225559938</v>
      </c>
      <c r="E9" s="51"/>
      <c r="F9" s="5"/>
      <c r="G9" s="63"/>
      <c r="H9" s="62"/>
    </row>
    <row r="10" spans="2:8" x14ac:dyDescent="0.2">
      <c r="B10" s="13" t="s">
        <v>63</v>
      </c>
      <c r="C10" s="18">
        <f ca="1">RAND()*(100-10)+10</f>
        <v>59.317784331788673</v>
      </c>
      <c r="D10" s="19">
        <f ca="1">RAND()*(100-10)+10</f>
        <v>33.007370544283916</v>
      </c>
      <c r="E10" s="51"/>
      <c r="F10" s="5" t="s">
        <v>92</v>
      </c>
      <c r="G10" s="61">
        <f ca="1">RAND()*(5000-2000)+2000</f>
        <v>4072.0216090120166</v>
      </c>
      <c r="H10" s="62"/>
    </row>
    <row r="11" spans="2:8" x14ac:dyDescent="0.2">
      <c r="B11" s="14" t="s">
        <v>64</v>
      </c>
      <c r="C11" s="20">
        <f ca="1">SUM(C6:C10)</f>
        <v>41264.772266376967</v>
      </c>
      <c r="D11" s="21">
        <f ca="1">SUM(D6:D10)</f>
        <v>33698.658391074227</v>
      </c>
      <c r="E11" s="52"/>
      <c r="F11" s="5" t="s">
        <v>93</v>
      </c>
      <c r="G11" s="61">
        <f ca="1">RAND()*(9000-8000)+8000</f>
        <v>8326.9936636571329</v>
      </c>
      <c r="H11" s="62"/>
    </row>
    <row r="12" spans="2:8" x14ac:dyDescent="0.2">
      <c r="B12" s="13" t="s">
        <v>65</v>
      </c>
      <c r="C12" s="18">
        <f ca="1">RAND()*(4000-3000)+3000</f>
        <v>3456.0398674018024</v>
      </c>
      <c r="D12" s="19">
        <f ca="1">RAND()*(4000-3000)+3000</f>
        <v>3729.870485306441</v>
      </c>
      <c r="E12" s="51"/>
      <c r="F12" s="5" t="s">
        <v>94</v>
      </c>
      <c r="G12" s="61">
        <f ca="1">RAND()*(1800-500)+500</f>
        <v>860.26042463294743</v>
      </c>
      <c r="H12" s="62"/>
    </row>
    <row r="13" spans="2:8" x14ac:dyDescent="0.2">
      <c r="B13" s="13" t="s">
        <v>66</v>
      </c>
      <c r="C13" s="18">
        <f ca="1">-('Balance Sheet'!E12-'Balance Sheet'!F12)</f>
        <v>413.32511851072331</v>
      </c>
      <c r="D13" s="19">
        <f ca="1">RAND()*(300-100)+100</f>
        <v>236.03786775836463</v>
      </c>
      <c r="E13" s="51"/>
      <c r="F13" s="5"/>
      <c r="G13" s="63"/>
      <c r="H13" s="62"/>
    </row>
    <row r="14" spans="2:8" x14ac:dyDescent="0.2">
      <c r="B14" s="13" t="s">
        <v>67</v>
      </c>
      <c r="C14" s="18">
        <f ca="1">RAND()*(5000-1000)+1000</f>
        <v>2871.2257277454855</v>
      </c>
      <c r="D14" s="19">
        <f ca="1">RAND()*(6000-1000)+1000</f>
        <v>1882.3277329043271</v>
      </c>
      <c r="E14" s="51"/>
      <c r="F14" s="5" t="s">
        <v>95</v>
      </c>
      <c r="G14" s="61">
        <f ca="1">RAND()*(300-100)+100</f>
        <v>103.63360283751237</v>
      </c>
      <c r="H14" s="62">
        <f ca="1">RAND()*(300-100)+100</f>
        <v>108.932695279108</v>
      </c>
    </row>
    <row r="15" spans="2:8" x14ac:dyDescent="0.2">
      <c r="B15" s="13" t="s">
        <v>68</v>
      </c>
      <c r="C15" s="18">
        <f ca="1">-('Balance Sheet'!E10-'Balance Sheet'!F10)</f>
        <v>-327.95991169291301</v>
      </c>
      <c r="D15" s="19">
        <f ca="1">RAND()*(300-100)+100</f>
        <v>273.23127475658151</v>
      </c>
      <c r="E15" s="51"/>
      <c r="F15" s="5"/>
      <c r="G15" s="63"/>
      <c r="H15" s="62"/>
    </row>
    <row r="16" spans="2:8" x14ac:dyDescent="0.2">
      <c r="B16" s="13" t="s">
        <v>69</v>
      </c>
      <c r="C16" s="18">
        <f ca="1">RAND()*(4000-2500)+2500</f>
        <v>3652.9840975085222</v>
      </c>
      <c r="D16" s="19">
        <f ca="1">RAND()*(4000-2500)+2500</f>
        <v>2996.066812482351</v>
      </c>
      <c r="E16" s="51"/>
      <c r="F16" s="5" t="s">
        <v>96</v>
      </c>
      <c r="G16" s="63">
        <f ca="1">RAND()*(2300-2200)+2200</f>
        <v>2234.4060256735079</v>
      </c>
      <c r="H16" s="62">
        <f ca="1">RAND()*(2200-1900)+1900</f>
        <v>2111.1724507156209</v>
      </c>
    </row>
    <row r="17" spans="2:8" ht="17" thickBot="1" x14ac:dyDescent="0.25">
      <c r="B17" s="13" t="s">
        <v>70</v>
      </c>
      <c r="C17" s="18">
        <f ca="1">RAND()*(1200-1000)+1000</f>
        <v>1145.7290706813562</v>
      </c>
      <c r="D17" s="19">
        <f ca="1">RAND()*(1200-1000)+1000</f>
        <v>1189.6007954832789</v>
      </c>
      <c r="E17" s="51"/>
      <c r="F17" s="8" t="s">
        <v>97</v>
      </c>
      <c r="G17" s="64">
        <f ca="1">RAND()*(2300-2200)+2200</f>
        <v>2252.5390407522345</v>
      </c>
      <c r="H17" s="65">
        <f ca="1">RAND()*(2200-1900)+1900</f>
        <v>2093.4545601108744</v>
      </c>
    </row>
    <row r="18" spans="2:8" x14ac:dyDescent="0.2">
      <c r="B18" s="13" t="s">
        <v>71</v>
      </c>
      <c r="C18" s="18">
        <f ca="1">RAND()*(7000-6000)+6000</f>
        <v>6434.4515051240278</v>
      </c>
      <c r="D18" s="19">
        <f ca="1">RAND()*(7000-6000)+6000</f>
        <v>6794.9861100112785</v>
      </c>
      <c r="E18" s="51"/>
    </row>
    <row r="19" spans="2:8" x14ac:dyDescent="0.2">
      <c r="B19" s="13" t="s">
        <v>72</v>
      </c>
      <c r="C19" s="18">
        <f ca="1">C18/2</f>
        <v>3217.2257525620139</v>
      </c>
      <c r="D19" s="19">
        <f ca="1">D18/2</f>
        <v>3397.4930550056392</v>
      </c>
      <c r="E19" s="51"/>
    </row>
    <row r="20" spans="2:8" x14ac:dyDescent="0.2">
      <c r="B20" s="13" t="s">
        <v>73</v>
      </c>
      <c r="C20" s="18">
        <f ca="1">RAND()*(6000-3000)+3000</f>
        <v>5444.3640176382978</v>
      </c>
      <c r="D20" s="19">
        <f ca="1">RAND()*(6000-3000)+3000</f>
        <v>4364.2924579264618</v>
      </c>
      <c r="E20" s="51"/>
    </row>
    <row r="21" spans="2:8" x14ac:dyDescent="0.2">
      <c r="B21" s="13" t="s">
        <v>74</v>
      </c>
      <c r="C21" s="18">
        <f ca="1">G16-H16+G17-H17+'Balance Sheet'!H10-'Balance Sheet'!I10+'Balance Sheet'!H12-'Balance Sheet'!I12+C10</f>
        <v>686.98421494461707</v>
      </c>
      <c r="D21" s="19">
        <f ca="1">RAND()*(500-100)+100</f>
        <v>389.05791860914718</v>
      </c>
      <c r="E21" s="51"/>
    </row>
    <row r="22" spans="2:8" x14ac:dyDescent="0.2">
      <c r="B22" s="14" t="s">
        <v>75</v>
      </c>
      <c r="C22" s="20">
        <f ca="1">SUM(C12:C21)</f>
        <v>26994.369460423935</v>
      </c>
      <c r="D22" s="21">
        <f ca="1">SUM(D12:D21)</f>
        <v>25252.964510243866</v>
      </c>
      <c r="E22" s="52"/>
    </row>
    <row r="23" spans="2:8" x14ac:dyDescent="0.2">
      <c r="B23" s="14" t="s">
        <v>76</v>
      </c>
      <c r="C23" s="20">
        <f ca="1">C11-C22</f>
        <v>14270.402805953032</v>
      </c>
      <c r="D23" s="21">
        <f ca="1">D11-D22</f>
        <v>8445.6938808303603</v>
      </c>
      <c r="E23" s="52"/>
    </row>
    <row r="24" spans="2:8" x14ac:dyDescent="0.2">
      <c r="B24" s="13" t="s">
        <v>77</v>
      </c>
      <c r="C24" s="61">
        <f ca="1">RAND()*(60-20)+20</f>
        <v>26.013853044747041</v>
      </c>
      <c r="D24" s="19">
        <f ca="1">RAND()*(60-20)+20</f>
        <v>55.674976270358037</v>
      </c>
      <c r="E24" s="51"/>
    </row>
    <row r="25" spans="2:8" x14ac:dyDescent="0.2">
      <c r="B25" s="13" t="s">
        <v>78</v>
      </c>
      <c r="C25" s="18">
        <f ca="1">RAND()*(2500-1500)+1500</f>
        <v>2289.1583811989431</v>
      </c>
      <c r="D25" s="19">
        <f ca="1">RAND()*(2500-1500)+1500</f>
        <v>2023.4050127388073</v>
      </c>
      <c r="E25" s="51"/>
    </row>
    <row r="26" spans="2:8" x14ac:dyDescent="0.2">
      <c r="B26" s="14" t="s">
        <v>79</v>
      </c>
      <c r="C26" s="20">
        <f ca="1">C24-C25</f>
        <v>-2263.144528154196</v>
      </c>
      <c r="D26" s="21">
        <f ca="1">D24-D25</f>
        <v>-1967.7300364684493</v>
      </c>
      <c r="E26" s="52"/>
    </row>
    <row r="27" spans="2:8" x14ac:dyDescent="0.2">
      <c r="B27" s="13" t="s">
        <v>82</v>
      </c>
      <c r="C27" s="18">
        <f ca="1">RAND()*(200-100)+100+G10+G14</f>
        <v>4314.9916451329063</v>
      </c>
      <c r="D27" s="46">
        <f ca="1">RAND()*(200-100)+100+H10+H14</f>
        <v>265.41076867317071</v>
      </c>
      <c r="E27" s="51"/>
    </row>
    <row r="28" spans="2:8" x14ac:dyDescent="0.2">
      <c r="B28" s="13" t="s">
        <v>81</v>
      </c>
      <c r="C28" s="18">
        <f ca="1">RAND()*(200-100)+100+INT(G12)</f>
        <v>1000.6033377703378</v>
      </c>
      <c r="D28" s="46">
        <f ca="1">RAND()*(200-100)+100</f>
        <v>124.59986854764009</v>
      </c>
      <c r="E28" s="51"/>
    </row>
    <row r="29" spans="2:8" x14ac:dyDescent="0.2">
      <c r="B29" s="14" t="s">
        <v>83</v>
      </c>
      <c r="C29" s="20">
        <f ca="1">C27-C28</f>
        <v>3314.3883073625684</v>
      </c>
      <c r="D29" s="21">
        <f ca="1">D27-D28</f>
        <v>140.81090012553062</v>
      </c>
      <c r="E29" s="52"/>
    </row>
    <row r="30" spans="2:8" x14ac:dyDescent="0.2">
      <c r="B30" s="13" t="s">
        <v>84</v>
      </c>
      <c r="C30" s="18">
        <f ca="1">C34/4</f>
        <v>2419.2073554192139</v>
      </c>
      <c r="D30" s="19">
        <f ca="1">D34/4</f>
        <v>1045.0697002537399</v>
      </c>
      <c r="E30" s="51"/>
    </row>
    <row r="31" spans="2:8" x14ac:dyDescent="0.2">
      <c r="B31" s="13" t="s">
        <v>85</v>
      </c>
      <c r="C31" s="18">
        <f ca="1">C34/3</f>
        <v>3225.6098072256186</v>
      </c>
      <c r="D31" s="47">
        <f ca="1">D34/3</f>
        <v>1393.4262670049866</v>
      </c>
      <c r="E31" s="53"/>
    </row>
    <row r="32" spans="2:8" x14ac:dyDescent="0.2">
      <c r="B32" s="14" t="s">
        <v>86</v>
      </c>
      <c r="C32" s="20">
        <f ca="1">C27+C24+C11</f>
        <v>45605.777764554623</v>
      </c>
      <c r="D32" s="21">
        <f ca="1">D27+D24+D11</f>
        <v>34019.744136017754</v>
      </c>
      <c r="E32" s="52"/>
    </row>
    <row r="33" spans="2:6" x14ac:dyDescent="0.2">
      <c r="B33" s="14" t="s">
        <v>87</v>
      </c>
      <c r="C33" s="20">
        <f ca="1">C22+C25+C28+C30+C31</f>
        <v>35928.948342038049</v>
      </c>
      <c r="D33" s="21">
        <f ca="1">D22+D25+D28+D30+D31</f>
        <v>29839.465358789043</v>
      </c>
      <c r="E33" s="52"/>
    </row>
    <row r="34" spans="2:6" ht="17" thickBot="1" x14ac:dyDescent="0.25">
      <c r="B34" s="15" t="s">
        <v>88</v>
      </c>
      <c r="C34" s="22">
        <f ca="1">C32-C33</f>
        <v>9676.8294225165737</v>
      </c>
      <c r="D34" s="23">
        <f ca="1">D32-D33</f>
        <v>4180.278777228712</v>
      </c>
      <c r="E34" s="52"/>
      <c r="F34" s="54"/>
    </row>
  </sheetData>
  <sheetProtection password="B534" sheet="1" formatCells="0" formatColumns="0" formatRows="0" insertColumns="0" insertRows="0" insertHyperlinks="0" deleteColumns="0" deleteRows="0" sort="0" autoFilter="0" pivotTables="0"/>
  <customSheetViews>
    <customSheetView guid="{B1BDEBDF-47A6-1249-A69C-11B2BD2D880B}" showGridLines="0" fitToPage="1">
      <pageMargins left="0.70000000000000007" right="0.70000000000000007" top="0.75000000000000011" bottom="0.75000000000000011" header="0.30000000000000004" footer="0.30000000000000004"/>
      <pageSetup paperSize="9" scale="76" orientation="landscape" horizontalDpi="0" verticalDpi="0" r:id="rId1"/>
    </customSheetView>
  </customSheetViews>
  <mergeCells count="2">
    <mergeCell ref="B2:D2"/>
    <mergeCell ref="F2:H2"/>
  </mergeCells>
  <phoneticPr fontId="3" type="noConversion"/>
  <pageMargins left="0.70000000000000007" right="0.70000000000000007" top="0.75000000000000011" bottom="0.75000000000000011" header="0.30000000000000004" footer="0.30000000000000004"/>
  <pageSetup paperSize="9" scale="76" orientation="landscape" horizontalDpi="0" verticalDpi="0" r:id="rId2"/>
  <ignoredErrors>
    <ignoredError sqref="D14" formula="1"/>
  </ignoredError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4" enableFormatConditionsCalculation="0">
    <pageSetUpPr fitToPage="1"/>
  </sheetPr>
  <dimension ref="A1:P516"/>
  <sheetViews>
    <sheetView showGridLines="0" zoomScale="78" zoomScaleNormal="78" zoomScalePageLayoutView="78" workbookViewId="0">
      <selection activeCell="G100" sqref="G100"/>
    </sheetView>
  </sheetViews>
  <sheetFormatPr baseColWidth="10" defaultRowHeight="16" x14ac:dyDescent="0.2"/>
  <cols>
    <col min="1" max="1" width="3.83203125" style="101" customWidth="1"/>
    <col min="2" max="2" width="33.83203125" style="101" customWidth="1"/>
    <col min="3" max="6" width="10.83203125" style="101"/>
    <col min="7" max="7" width="16.83203125" style="101" customWidth="1"/>
    <col min="8" max="8" width="10.83203125" style="101"/>
    <col min="9" max="9" width="29.6640625" style="101" customWidth="1"/>
    <col min="10" max="12" width="10.83203125" style="101"/>
    <col min="13" max="13" width="4.1640625" style="101" customWidth="1"/>
    <col min="14" max="14" width="33.1640625" style="101" customWidth="1"/>
    <col min="15" max="16384" width="10.83203125" style="101"/>
  </cols>
  <sheetData>
    <row r="1" spans="1:16" ht="16" customHeight="1" thickBot="1" x14ac:dyDescent="0.25"/>
    <row r="2" spans="1:16" ht="24" x14ac:dyDescent="0.3">
      <c r="B2" s="181" t="s">
        <v>129</v>
      </c>
      <c r="C2" s="182"/>
      <c r="D2" s="183"/>
      <c r="I2" s="181" t="s">
        <v>129</v>
      </c>
      <c r="J2" s="184"/>
      <c r="K2" s="185"/>
      <c r="L2" s="102"/>
      <c r="N2" s="181" t="s">
        <v>99</v>
      </c>
      <c r="O2" s="182"/>
      <c r="P2" s="183"/>
    </row>
    <row r="3" spans="1:16" x14ac:dyDescent="0.2">
      <c r="B3" s="103"/>
      <c r="C3" s="104" t="s">
        <v>3</v>
      </c>
      <c r="D3" s="105" t="s">
        <v>0</v>
      </c>
      <c r="I3" s="103"/>
      <c r="J3" s="104" t="s">
        <v>3</v>
      </c>
      <c r="K3" s="105" t="s">
        <v>0</v>
      </c>
      <c r="L3" s="106"/>
      <c r="N3" s="103"/>
      <c r="O3" s="104" t="s">
        <v>3</v>
      </c>
      <c r="P3" s="105" t="s">
        <v>0</v>
      </c>
    </row>
    <row r="4" spans="1:16" x14ac:dyDescent="0.2">
      <c r="B4" s="107" t="s">
        <v>100</v>
      </c>
      <c r="C4" s="108"/>
      <c r="D4" s="109"/>
      <c r="I4" s="110" t="s">
        <v>107</v>
      </c>
      <c r="J4" s="108"/>
      <c r="K4" s="109"/>
      <c r="L4" s="111"/>
      <c r="N4" s="192" t="s">
        <v>7</v>
      </c>
      <c r="O4" s="193"/>
      <c r="P4" s="194"/>
    </row>
    <row r="5" spans="1:16" x14ac:dyDescent="0.2">
      <c r="B5" s="112" t="s">
        <v>104</v>
      </c>
      <c r="C5" s="108"/>
      <c r="D5" s="109"/>
      <c r="I5" s="113" t="s">
        <v>146</v>
      </c>
      <c r="J5" s="108"/>
      <c r="K5" s="109"/>
      <c r="L5" s="111"/>
      <c r="N5" s="114"/>
      <c r="O5" s="115"/>
      <c r="P5" s="116"/>
    </row>
    <row r="6" spans="1:16" x14ac:dyDescent="0.2">
      <c r="B6" s="117"/>
      <c r="C6" s="115"/>
      <c r="D6" s="116"/>
      <c r="I6" s="114"/>
      <c r="J6" s="115"/>
      <c r="K6" s="116"/>
      <c r="L6" s="111"/>
      <c r="M6" s="118"/>
      <c r="N6" s="114"/>
      <c r="O6" s="115"/>
      <c r="P6" s="116"/>
    </row>
    <row r="7" spans="1:16" x14ac:dyDescent="0.2">
      <c r="A7" s="118"/>
      <c r="B7" s="117"/>
      <c r="C7" s="115"/>
      <c r="D7" s="116"/>
      <c r="F7" s="118"/>
      <c r="G7" s="118"/>
      <c r="H7" s="118"/>
      <c r="I7" s="114"/>
      <c r="J7" s="115"/>
      <c r="K7" s="116"/>
      <c r="L7" s="111"/>
      <c r="M7" s="118"/>
      <c r="N7" s="114"/>
      <c r="O7" s="115"/>
      <c r="P7" s="116"/>
    </row>
    <row r="8" spans="1:16" ht="19" x14ac:dyDescent="0.2">
      <c r="A8" s="118"/>
      <c r="B8" s="117"/>
      <c r="C8" s="115"/>
      <c r="D8" s="116"/>
      <c r="I8" s="178"/>
      <c r="J8" s="179"/>
      <c r="K8" s="180"/>
      <c r="L8" s="111"/>
      <c r="M8" s="118"/>
      <c r="N8" s="114"/>
      <c r="O8" s="115"/>
      <c r="P8" s="116"/>
    </row>
    <row r="9" spans="1:16" ht="17" thickBot="1" x14ac:dyDescent="0.25">
      <c r="A9" s="119"/>
      <c r="B9" s="120"/>
      <c r="C9" s="115"/>
      <c r="D9" s="116"/>
      <c r="I9" s="113" t="s">
        <v>109</v>
      </c>
      <c r="J9" s="108"/>
      <c r="K9" s="109"/>
      <c r="L9" s="111"/>
      <c r="M9" s="121"/>
      <c r="N9" s="122" t="s">
        <v>112</v>
      </c>
      <c r="O9" s="123"/>
      <c r="P9" s="124"/>
    </row>
    <row r="10" spans="1:16" x14ac:dyDescent="0.2">
      <c r="A10" s="118"/>
      <c r="B10" s="117"/>
      <c r="C10" s="115"/>
      <c r="D10" s="116"/>
      <c r="I10" s="114"/>
      <c r="J10" s="115"/>
      <c r="K10" s="116"/>
      <c r="L10" s="111"/>
      <c r="N10" s="195" t="s">
        <v>7</v>
      </c>
      <c r="O10" s="196"/>
      <c r="P10" s="197"/>
    </row>
    <row r="11" spans="1:16" x14ac:dyDescent="0.2">
      <c r="A11" s="118"/>
      <c r="B11" s="117"/>
      <c r="C11" s="115"/>
      <c r="D11" s="116"/>
      <c r="F11" s="118"/>
      <c r="G11" s="118"/>
      <c r="H11" s="118"/>
      <c r="I11" s="114"/>
      <c r="J11" s="115"/>
      <c r="K11" s="116"/>
      <c r="L11" s="111"/>
      <c r="N11" s="114"/>
      <c r="O11" s="115"/>
      <c r="P11" s="116"/>
    </row>
    <row r="12" spans="1:16" ht="21" x14ac:dyDescent="0.2">
      <c r="B12" s="205"/>
      <c r="C12" s="206"/>
      <c r="D12" s="207"/>
      <c r="I12" s="114"/>
      <c r="J12" s="115"/>
      <c r="K12" s="116"/>
      <c r="L12" s="111"/>
      <c r="M12" s="119"/>
      <c r="N12" s="125"/>
      <c r="O12" s="115"/>
      <c r="P12" s="116"/>
    </row>
    <row r="13" spans="1:16" x14ac:dyDescent="0.2">
      <c r="B13" s="112" t="s">
        <v>103</v>
      </c>
      <c r="C13" s="108"/>
      <c r="D13" s="109"/>
      <c r="I13" s="126" t="s">
        <v>110</v>
      </c>
      <c r="J13" s="115"/>
      <c r="K13" s="116"/>
      <c r="L13" s="111"/>
      <c r="M13" s="119"/>
      <c r="N13" s="125"/>
      <c r="O13" s="115"/>
      <c r="P13" s="116"/>
    </row>
    <row r="14" spans="1:16" x14ac:dyDescent="0.2">
      <c r="B14" s="117"/>
      <c r="C14" s="115"/>
      <c r="D14" s="116"/>
      <c r="F14" s="119"/>
      <c r="G14" s="119"/>
      <c r="H14" s="119"/>
      <c r="I14" s="126"/>
      <c r="J14" s="115"/>
      <c r="K14" s="116"/>
      <c r="L14" s="111"/>
      <c r="M14" s="119"/>
      <c r="N14" s="125"/>
      <c r="O14" s="115"/>
      <c r="P14" s="116"/>
    </row>
    <row r="15" spans="1:16" x14ac:dyDescent="0.2">
      <c r="B15" s="186"/>
      <c r="C15" s="187"/>
      <c r="D15" s="188"/>
      <c r="I15" s="113" t="s">
        <v>98</v>
      </c>
      <c r="J15" s="108"/>
      <c r="K15" s="109"/>
      <c r="L15" s="111"/>
      <c r="M15" s="118"/>
      <c r="N15" s="127"/>
      <c r="O15" s="115"/>
      <c r="P15" s="116"/>
    </row>
    <row r="16" spans="1:16" ht="17" thickBot="1" x14ac:dyDescent="0.25">
      <c r="B16" s="189"/>
      <c r="C16" s="190"/>
      <c r="D16" s="191"/>
      <c r="F16" s="119"/>
      <c r="G16" s="119"/>
      <c r="H16" s="119"/>
      <c r="I16" s="128" t="s">
        <v>102</v>
      </c>
      <c r="J16" s="123"/>
      <c r="K16" s="124"/>
      <c r="L16" s="111"/>
      <c r="M16" s="119"/>
      <c r="N16" s="129"/>
      <c r="O16" s="130"/>
      <c r="P16" s="131"/>
    </row>
    <row r="17" spans="1:16" ht="17" thickBot="1" x14ac:dyDescent="0.25">
      <c r="B17" s="107" t="s">
        <v>101</v>
      </c>
      <c r="C17" s="108"/>
      <c r="D17" s="109"/>
      <c r="J17" s="132"/>
      <c r="K17" s="132"/>
      <c r="M17" s="119"/>
      <c r="N17" s="122" t="s">
        <v>152</v>
      </c>
      <c r="O17" s="123"/>
      <c r="P17" s="124"/>
    </row>
    <row r="18" spans="1:16" ht="17" thickBot="1" x14ac:dyDescent="0.25">
      <c r="B18" s="112" t="s">
        <v>105</v>
      </c>
      <c r="C18" s="108"/>
      <c r="D18" s="109"/>
      <c r="O18" s="133"/>
      <c r="P18" s="133"/>
    </row>
    <row r="19" spans="1:16" ht="16" customHeight="1" x14ac:dyDescent="0.2">
      <c r="B19" s="117"/>
      <c r="C19" s="115"/>
      <c r="D19" s="116"/>
      <c r="F19" s="220" t="s">
        <v>147</v>
      </c>
      <c r="G19" s="221"/>
      <c r="H19" s="221"/>
      <c r="I19" s="221"/>
      <c r="J19" s="222"/>
      <c r="N19" s="211" t="s">
        <v>149</v>
      </c>
      <c r="O19" s="212"/>
      <c r="P19" s="213"/>
    </row>
    <row r="20" spans="1:16" ht="16" customHeight="1" x14ac:dyDescent="0.2">
      <c r="A20" s="118"/>
      <c r="B20" s="117"/>
      <c r="C20" s="115"/>
      <c r="D20" s="116"/>
      <c r="F20" s="223"/>
      <c r="G20" s="224"/>
      <c r="H20" s="224"/>
      <c r="I20" s="224"/>
      <c r="J20" s="225"/>
      <c r="M20" s="119"/>
      <c r="N20" s="114"/>
      <c r="O20" s="115"/>
      <c r="P20" s="116"/>
    </row>
    <row r="21" spans="1:16" x14ac:dyDescent="0.2">
      <c r="A21" s="118"/>
      <c r="B21" s="117"/>
      <c r="C21" s="115"/>
      <c r="D21" s="116"/>
      <c r="F21" s="200"/>
      <c r="G21" s="201"/>
      <c r="H21" s="134"/>
      <c r="I21" s="135"/>
      <c r="J21" s="116"/>
      <c r="M21" s="119"/>
      <c r="N21" s="125"/>
      <c r="O21" s="115"/>
      <c r="P21" s="116"/>
    </row>
    <row r="22" spans="1:16" x14ac:dyDescent="0.2">
      <c r="A22" s="118"/>
      <c r="B22" s="117"/>
      <c r="C22" s="115"/>
      <c r="D22" s="116"/>
      <c r="F22" s="218"/>
      <c r="G22" s="219"/>
      <c r="H22" s="134"/>
      <c r="I22" s="135"/>
      <c r="J22" s="116"/>
      <c r="M22" s="119"/>
      <c r="N22" s="125"/>
      <c r="O22" s="115"/>
      <c r="P22" s="116"/>
    </row>
    <row r="23" spans="1:16" ht="22" thickBot="1" x14ac:dyDescent="0.3">
      <c r="B23" s="208"/>
      <c r="C23" s="209"/>
      <c r="D23" s="210"/>
      <c r="F23" s="218"/>
      <c r="G23" s="219"/>
      <c r="H23" s="134"/>
      <c r="I23" s="135"/>
      <c r="J23" s="116"/>
      <c r="M23" s="121"/>
      <c r="N23" s="122" t="s">
        <v>116</v>
      </c>
      <c r="O23" s="123"/>
      <c r="P23" s="124"/>
    </row>
    <row r="24" spans="1:16" ht="17" thickBot="1" x14ac:dyDescent="0.25">
      <c r="B24" s="112" t="s">
        <v>106</v>
      </c>
      <c r="C24" s="108"/>
      <c r="D24" s="109"/>
      <c r="F24" s="218"/>
      <c r="G24" s="219"/>
      <c r="H24" s="134"/>
      <c r="I24" s="135"/>
      <c r="J24" s="116"/>
      <c r="O24" s="133"/>
      <c r="P24" s="133"/>
    </row>
    <row r="25" spans="1:16" x14ac:dyDescent="0.2">
      <c r="B25" s="117"/>
      <c r="C25" s="115"/>
      <c r="D25" s="116"/>
      <c r="F25" s="200"/>
      <c r="G25" s="201"/>
      <c r="H25" s="134"/>
      <c r="I25" s="135"/>
      <c r="J25" s="116"/>
      <c r="N25" s="195" t="s">
        <v>7</v>
      </c>
      <c r="O25" s="196"/>
      <c r="P25" s="197"/>
    </row>
    <row r="26" spans="1:16" x14ac:dyDescent="0.2">
      <c r="A26" s="118"/>
      <c r="B26" s="117"/>
      <c r="C26" s="115"/>
      <c r="D26" s="116"/>
      <c r="F26" s="200"/>
      <c r="G26" s="201"/>
      <c r="H26" s="134"/>
      <c r="I26" s="135"/>
      <c r="J26" s="116"/>
      <c r="N26" s="114"/>
      <c r="O26" s="115"/>
      <c r="P26" s="116"/>
    </row>
    <row r="27" spans="1:16" ht="17" thickBot="1" x14ac:dyDescent="0.25">
      <c r="A27" s="118"/>
      <c r="B27" s="136"/>
      <c r="C27" s="137"/>
      <c r="D27" s="138"/>
      <c r="F27" s="200"/>
      <c r="G27" s="201"/>
      <c r="H27" s="134"/>
      <c r="I27" s="135"/>
      <c r="J27" s="116"/>
      <c r="M27" s="119"/>
      <c r="N27" s="125"/>
      <c r="O27" s="115"/>
      <c r="P27" s="116"/>
    </row>
    <row r="28" spans="1:16" ht="17" thickBot="1" x14ac:dyDescent="0.25">
      <c r="F28" s="214"/>
      <c r="G28" s="215"/>
      <c r="H28" s="139"/>
      <c r="I28" s="140"/>
      <c r="J28" s="139"/>
      <c r="M28" s="119"/>
      <c r="N28" s="125"/>
      <c r="O28" s="115"/>
      <c r="P28" s="116"/>
    </row>
    <row r="29" spans="1:16" ht="17" thickBot="1" x14ac:dyDescent="0.25">
      <c r="F29" s="216" t="s">
        <v>8</v>
      </c>
      <c r="G29" s="217"/>
      <c r="H29" s="141"/>
      <c r="I29" s="142" t="s">
        <v>8</v>
      </c>
      <c r="J29" s="143"/>
      <c r="M29" s="119"/>
      <c r="N29" s="125"/>
      <c r="O29" s="115"/>
      <c r="P29" s="116"/>
    </row>
    <row r="30" spans="1:16" x14ac:dyDescent="0.2">
      <c r="M30" s="119"/>
      <c r="N30" s="125"/>
      <c r="O30" s="115"/>
      <c r="P30" s="116"/>
    </row>
    <row r="31" spans="1:16" ht="17" thickBot="1" x14ac:dyDescent="0.25">
      <c r="M31" s="121"/>
      <c r="N31" s="122" t="s">
        <v>119</v>
      </c>
      <c r="O31" s="123"/>
      <c r="P31" s="124"/>
    </row>
    <row r="32" spans="1:16" x14ac:dyDescent="0.2">
      <c r="I32" s="133"/>
      <c r="N32" s="202" t="s">
        <v>7</v>
      </c>
      <c r="O32" s="203"/>
      <c r="P32" s="204"/>
    </row>
    <row r="33" spans="2:16" ht="16" customHeight="1" x14ac:dyDescent="0.2">
      <c r="N33" s="114"/>
      <c r="O33" s="115"/>
      <c r="P33" s="116"/>
    </row>
    <row r="34" spans="2:16" x14ac:dyDescent="0.2">
      <c r="M34" s="118"/>
      <c r="N34" s="114"/>
      <c r="O34" s="115"/>
      <c r="P34" s="116"/>
    </row>
    <row r="35" spans="2:16" x14ac:dyDescent="0.2">
      <c r="M35" s="119"/>
      <c r="N35" s="125"/>
      <c r="O35" s="115"/>
      <c r="P35" s="116"/>
    </row>
    <row r="36" spans="2:16" x14ac:dyDescent="0.2">
      <c r="B36" s="198"/>
      <c r="C36" s="198"/>
      <c r="M36" s="118"/>
      <c r="N36" s="114"/>
      <c r="O36" s="115"/>
      <c r="P36" s="116"/>
    </row>
    <row r="37" spans="2:16" x14ac:dyDescent="0.2">
      <c r="B37" s="199"/>
      <c r="C37" s="199"/>
      <c r="M37" s="119"/>
      <c r="N37" s="125"/>
      <c r="O37" s="115"/>
      <c r="P37" s="116"/>
    </row>
    <row r="38" spans="2:16" x14ac:dyDescent="0.2">
      <c r="B38" s="144"/>
      <c r="C38" s="145"/>
      <c r="M38" s="118"/>
      <c r="N38" s="114"/>
      <c r="O38" s="115"/>
      <c r="P38" s="116"/>
    </row>
    <row r="39" spans="2:16" x14ac:dyDescent="0.2">
      <c r="B39" s="144"/>
      <c r="C39" s="145"/>
      <c r="M39" s="119"/>
      <c r="N39" s="125"/>
      <c r="O39" s="115"/>
      <c r="P39" s="116"/>
    </row>
    <row r="40" spans="2:16" ht="17" thickBot="1" x14ac:dyDescent="0.25">
      <c r="B40" s="144"/>
      <c r="C40" s="145"/>
      <c r="M40" s="121"/>
      <c r="N40" s="122" t="s">
        <v>123</v>
      </c>
      <c r="O40" s="123"/>
      <c r="P40" s="124"/>
    </row>
    <row r="41" spans="2:16" x14ac:dyDescent="0.2">
      <c r="B41" s="144"/>
      <c r="C41" s="145"/>
      <c r="N41" s="195" t="s">
        <v>7</v>
      </c>
      <c r="O41" s="196"/>
      <c r="P41" s="197"/>
    </row>
    <row r="42" spans="2:16" x14ac:dyDescent="0.2">
      <c r="B42" s="146"/>
      <c r="C42" s="145"/>
      <c r="N42" s="114"/>
      <c r="O42" s="115"/>
      <c r="P42" s="116"/>
    </row>
    <row r="43" spans="2:16" x14ac:dyDescent="0.2">
      <c r="M43" s="119"/>
      <c r="N43" s="125"/>
      <c r="O43" s="115"/>
      <c r="P43" s="116"/>
    </row>
    <row r="44" spans="2:16" x14ac:dyDescent="0.2">
      <c r="M44" s="119"/>
      <c r="N44" s="125"/>
      <c r="O44" s="115"/>
      <c r="P44" s="116"/>
    </row>
    <row r="45" spans="2:16" ht="17" thickBot="1" x14ac:dyDescent="0.25">
      <c r="M45" s="121"/>
      <c r="N45" s="122" t="s">
        <v>148</v>
      </c>
      <c r="O45" s="123"/>
      <c r="P45" s="124"/>
    </row>
    <row r="461" spans="2:16" x14ac:dyDescent="0.2">
      <c r="B461" s="226" t="s">
        <v>19</v>
      </c>
      <c r="C461" s="226"/>
      <c r="D461" s="226"/>
      <c r="E461" s="226"/>
      <c r="F461" s="226"/>
      <c r="G461" s="226"/>
      <c r="H461" s="226"/>
      <c r="I461" s="226"/>
      <c r="J461" s="226"/>
      <c r="K461" s="226"/>
      <c r="L461" s="226"/>
      <c r="M461" s="226"/>
      <c r="N461" s="226"/>
      <c r="O461" s="226"/>
      <c r="P461" s="226"/>
    </row>
    <row r="462" spans="2:16" x14ac:dyDescent="0.2">
      <c r="B462" s="226"/>
      <c r="C462" s="226"/>
      <c r="D462" s="226"/>
      <c r="E462" s="226"/>
      <c r="F462" s="226"/>
      <c r="G462" s="226"/>
      <c r="H462" s="226"/>
      <c r="I462" s="226"/>
      <c r="J462" s="226"/>
      <c r="K462" s="226"/>
      <c r="L462" s="226"/>
      <c r="M462" s="226"/>
      <c r="N462" s="226"/>
      <c r="O462" s="226"/>
      <c r="P462" s="226"/>
    </row>
    <row r="463" spans="2:16" x14ac:dyDescent="0.2">
      <c r="B463" s="227"/>
      <c r="C463" s="227"/>
      <c r="D463" s="227"/>
      <c r="E463" s="227"/>
      <c r="F463" s="227"/>
      <c r="G463" s="227"/>
      <c r="H463" s="227"/>
      <c r="I463" s="227"/>
      <c r="J463" s="227"/>
      <c r="K463" s="227"/>
      <c r="L463" s="227"/>
      <c r="M463" s="227"/>
      <c r="N463" s="227"/>
      <c r="O463" s="227"/>
      <c r="P463" s="227"/>
    </row>
    <row r="472" spans="1:16" ht="17" thickBot="1" x14ac:dyDescent="0.25"/>
    <row r="473" spans="1:16" ht="24" x14ac:dyDescent="0.3">
      <c r="B473" s="181" t="s">
        <v>129</v>
      </c>
      <c r="C473" s="182"/>
      <c r="D473" s="183"/>
      <c r="I473" s="181" t="s">
        <v>129</v>
      </c>
      <c r="J473" s="184"/>
      <c r="K473" s="185"/>
      <c r="L473" s="102"/>
      <c r="N473" s="181" t="s">
        <v>99</v>
      </c>
      <c r="O473" s="182"/>
      <c r="P473" s="183"/>
    </row>
    <row r="474" spans="1:16" x14ac:dyDescent="0.2">
      <c r="B474" s="103"/>
      <c r="C474" s="104" t="s">
        <v>3</v>
      </c>
      <c r="D474" s="105" t="s">
        <v>0</v>
      </c>
      <c r="I474" s="103"/>
      <c r="J474" s="104" t="s">
        <v>3</v>
      </c>
      <c r="K474" s="105" t="s">
        <v>0</v>
      </c>
      <c r="L474" s="106"/>
      <c r="N474" s="103"/>
      <c r="O474" s="104" t="s">
        <v>3</v>
      </c>
      <c r="P474" s="105" t="s">
        <v>0</v>
      </c>
    </row>
    <row r="475" spans="1:16" x14ac:dyDescent="0.2">
      <c r="B475" s="107" t="s">
        <v>100</v>
      </c>
      <c r="C475" s="108"/>
      <c r="D475" s="109"/>
      <c r="I475" s="110" t="s">
        <v>107</v>
      </c>
      <c r="J475" s="108"/>
      <c r="K475" s="109"/>
      <c r="L475" s="111"/>
      <c r="N475" s="192" t="s">
        <v>7</v>
      </c>
      <c r="O475" s="193"/>
      <c r="P475" s="194"/>
    </row>
    <row r="476" spans="1:16" x14ac:dyDescent="0.2">
      <c r="B476" s="112" t="s">
        <v>104</v>
      </c>
      <c r="C476" s="108"/>
      <c r="D476" s="109"/>
      <c r="I476" s="113" t="s">
        <v>146</v>
      </c>
      <c r="J476" s="108"/>
      <c r="K476" s="109"/>
      <c r="L476" s="111"/>
      <c r="N476" s="114"/>
      <c r="O476" s="115"/>
      <c r="P476" s="116"/>
    </row>
    <row r="477" spans="1:16" x14ac:dyDescent="0.2">
      <c r="B477" s="117"/>
      <c r="C477" s="115"/>
      <c r="D477" s="116"/>
      <c r="I477" s="114"/>
      <c r="J477" s="115"/>
      <c r="K477" s="116"/>
      <c r="L477" s="111"/>
      <c r="M477" s="118"/>
      <c r="N477" s="114"/>
      <c r="O477" s="115"/>
      <c r="P477" s="116"/>
    </row>
    <row r="478" spans="1:16" x14ac:dyDescent="0.2">
      <c r="A478" s="118"/>
      <c r="B478" s="117"/>
      <c r="C478" s="115"/>
      <c r="D478" s="116"/>
      <c r="F478" s="118"/>
      <c r="G478" s="118"/>
      <c r="H478" s="118"/>
      <c r="I478" s="114"/>
      <c r="J478" s="115"/>
      <c r="K478" s="116"/>
      <c r="L478" s="111"/>
      <c r="M478" s="118"/>
      <c r="N478" s="114"/>
      <c r="O478" s="115"/>
      <c r="P478" s="116"/>
    </row>
    <row r="479" spans="1:16" ht="19" x14ac:dyDescent="0.2">
      <c r="A479" s="118"/>
      <c r="B479" s="117"/>
      <c r="C479" s="115"/>
      <c r="D479" s="116"/>
      <c r="I479" s="178"/>
      <c r="J479" s="179"/>
      <c r="K479" s="180"/>
      <c r="L479" s="111"/>
      <c r="M479" s="118"/>
      <c r="N479" s="114"/>
      <c r="O479" s="115"/>
      <c r="P479" s="116"/>
    </row>
    <row r="480" spans="1:16" ht="17" thickBot="1" x14ac:dyDescent="0.25">
      <c r="A480" s="119"/>
      <c r="B480" s="120"/>
      <c r="C480" s="115"/>
      <c r="D480" s="116"/>
      <c r="I480" s="113" t="s">
        <v>109</v>
      </c>
      <c r="J480" s="108"/>
      <c r="K480" s="109"/>
      <c r="L480" s="111"/>
      <c r="M480" s="121"/>
      <c r="N480" s="122" t="s">
        <v>112</v>
      </c>
      <c r="O480" s="123"/>
      <c r="P480" s="124"/>
    </row>
    <row r="481" spans="1:16" x14ac:dyDescent="0.2">
      <c r="A481" s="118"/>
      <c r="B481" s="117"/>
      <c r="C481" s="115"/>
      <c r="D481" s="116"/>
      <c r="I481" s="114"/>
      <c r="J481" s="115"/>
      <c r="K481" s="116"/>
      <c r="L481" s="111"/>
      <c r="N481" s="195" t="s">
        <v>7</v>
      </c>
      <c r="O481" s="196"/>
      <c r="P481" s="197"/>
    </row>
    <row r="482" spans="1:16" x14ac:dyDescent="0.2">
      <c r="A482" s="118"/>
      <c r="B482" s="117"/>
      <c r="C482" s="115"/>
      <c r="D482" s="116"/>
      <c r="F482" s="118"/>
      <c r="G482" s="118"/>
      <c r="H482" s="118"/>
      <c r="I482" s="114"/>
      <c r="J482" s="115"/>
      <c r="K482" s="116"/>
      <c r="L482" s="111"/>
      <c r="N482" s="114"/>
      <c r="O482" s="115"/>
      <c r="P482" s="116"/>
    </row>
    <row r="483" spans="1:16" ht="21" x14ac:dyDescent="0.2">
      <c r="B483" s="205"/>
      <c r="C483" s="206"/>
      <c r="D483" s="207"/>
      <c r="I483" s="114"/>
      <c r="J483" s="115"/>
      <c r="K483" s="116"/>
      <c r="L483" s="111"/>
      <c r="M483" s="119"/>
      <c r="N483" s="125"/>
      <c r="O483" s="115"/>
      <c r="P483" s="116"/>
    </row>
    <row r="484" spans="1:16" x14ac:dyDescent="0.2">
      <c r="B484" s="112" t="s">
        <v>103</v>
      </c>
      <c r="C484" s="108"/>
      <c r="D484" s="109"/>
      <c r="I484" s="126" t="s">
        <v>110</v>
      </c>
      <c r="J484" s="115"/>
      <c r="K484" s="116"/>
      <c r="L484" s="111"/>
      <c r="M484" s="119"/>
      <c r="N484" s="125"/>
      <c r="O484" s="115"/>
      <c r="P484" s="116"/>
    </row>
    <row r="485" spans="1:16" x14ac:dyDescent="0.2">
      <c r="B485" s="117"/>
      <c r="C485" s="115"/>
      <c r="D485" s="116"/>
      <c r="F485" s="119"/>
      <c r="G485" s="119"/>
      <c r="H485" s="119"/>
      <c r="I485" s="126"/>
      <c r="J485" s="115"/>
      <c r="K485" s="116"/>
      <c r="L485" s="111"/>
      <c r="M485" s="119"/>
      <c r="N485" s="125"/>
      <c r="O485" s="115"/>
      <c r="P485" s="116"/>
    </row>
    <row r="486" spans="1:16" x14ac:dyDescent="0.2">
      <c r="B486" s="186"/>
      <c r="C486" s="187"/>
      <c r="D486" s="188"/>
      <c r="I486" s="113" t="s">
        <v>98</v>
      </c>
      <c r="J486" s="108"/>
      <c r="K486" s="109"/>
      <c r="L486" s="111"/>
      <c r="M486" s="118"/>
      <c r="N486" s="127"/>
      <c r="O486" s="115"/>
      <c r="P486" s="116"/>
    </row>
    <row r="487" spans="1:16" ht="17" thickBot="1" x14ac:dyDescent="0.25">
      <c r="B487" s="189"/>
      <c r="C487" s="190"/>
      <c r="D487" s="191"/>
      <c r="F487" s="119"/>
      <c r="G487" s="119"/>
      <c r="H487" s="119"/>
      <c r="I487" s="128" t="s">
        <v>102</v>
      </c>
      <c r="J487" s="123"/>
      <c r="K487" s="124"/>
      <c r="L487" s="111"/>
      <c r="M487" s="119"/>
      <c r="N487" s="129"/>
      <c r="O487" s="130"/>
      <c r="P487" s="131"/>
    </row>
    <row r="488" spans="1:16" ht="17" thickBot="1" x14ac:dyDescent="0.25">
      <c r="B488" s="107" t="s">
        <v>101</v>
      </c>
      <c r="C488" s="108"/>
      <c r="D488" s="109"/>
      <c r="J488" s="132"/>
      <c r="K488" s="132"/>
      <c r="M488" s="119"/>
      <c r="N488" s="122" t="s">
        <v>152</v>
      </c>
      <c r="O488" s="123"/>
      <c r="P488" s="124"/>
    </row>
    <row r="489" spans="1:16" ht="17" thickBot="1" x14ac:dyDescent="0.25">
      <c r="B489" s="112" t="s">
        <v>105</v>
      </c>
      <c r="C489" s="108"/>
      <c r="D489" s="109"/>
      <c r="O489" s="133"/>
      <c r="P489" s="133"/>
    </row>
    <row r="490" spans="1:16" ht="16" customHeight="1" x14ac:dyDescent="0.2">
      <c r="B490" s="117"/>
      <c r="C490" s="115"/>
      <c r="D490" s="116"/>
      <c r="F490" s="220" t="s">
        <v>147</v>
      </c>
      <c r="G490" s="221"/>
      <c r="H490" s="221"/>
      <c r="I490" s="221"/>
      <c r="J490" s="222"/>
      <c r="N490" s="211" t="s">
        <v>149</v>
      </c>
      <c r="O490" s="212"/>
      <c r="P490" s="213"/>
    </row>
    <row r="491" spans="1:16" ht="16" customHeight="1" x14ac:dyDescent="0.2">
      <c r="A491" s="118"/>
      <c r="B491" s="117"/>
      <c r="C491" s="115"/>
      <c r="D491" s="116"/>
      <c r="F491" s="223"/>
      <c r="G491" s="224"/>
      <c r="H491" s="224"/>
      <c r="I491" s="224"/>
      <c r="J491" s="225"/>
      <c r="M491" s="119"/>
      <c r="N491" s="114"/>
      <c r="O491" s="115"/>
      <c r="P491" s="116"/>
    </row>
    <row r="492" spans="1:16" x14ac:dyDescent="0.2">
      <c r="A492" s="118"/>
      <c r="B492" s="117"/>
      <c r="C492" s="115"/>
      <c r="D492" s="116"/>
      <c r="F492" s="200"/>
      <c r="G492" s="201"/>
      <c r="H492" s="134"/>
      <c r="I492" s="135"/>
      <c r="J492" s="116"/>
      <c r="M492" s="119"/>
      <c r="N492" s="125"/>
      <c r="O492" s="115"/>
      <c r="P492" s="116"/>
    </row>
    <row r="493" spans="1:16" x14ac:dyDescent="0.2">
      <c r="A493" s="118"/>
      <c r="B493" s="117"/>
      <c r="C493" s="115"/>
      <c r="D493" s="116"/>
      <c r="F493" s="218"/>
      <c r="G493" s="219"/>
      <c r="H493" s="134"/>
      <c r="I493" s="135"/>
      <c r="J493" s="116"/>
      <c r="M493" s="119"/>
      <c r="N493" s="125"/>
      <c r="O493" s="115"/>
      <c r="P493" s="116"/>
    </row>
    <row r="494" spans="1:16" ht="22" thickBot="1" x14ac:dyDescent="0.3">
      <c r="B494" s="208"/>
      <c r="C494" s="209"/>
      <c r="D494" s="210"/>
      <c r="F494" s="218"/>
      <c r="G494" s="219"/>
      <c r="H494" s="134"/>
      <c r="I494" s="135"/>
      <c r="J494" s="116"/>
      <c r="M494" s="121"/>
      <c r="N494" s="122" t="s">
        <v>116</v>
      </c>
      <c r="O494" s="123"/>
      <c r="P494" s="124"/>
    </row>
    <row r="495" spans="1:16" ht="17" thickBot="1" x14ac:dyDescent="0.25">
      <c r="B495" s="112" t="s">
        <v>106</v>
      </c>
      <c r="C495" s="108"/>
      <c r="D495" s="109"/>
      <c r="F495" s="218"/>
      <c r="G495" s="219"/>
      <c r="H495" s="134"/>
      <c r="I495" s="135"/>
      <c r="J495" s="116"/>
      <c r="O495" s="133"/>
      <c r="P495" s="133"/>
    </row>
    <row r="496" spans="1:16" x14ac:dyDescent="0.2">
      <c r="B496" s="117"/>
      <c r="C496" s="115"/>
      <c r="D496" s="116"/>
      <c r="F496" s="200"/>
      <c r="G496" s="201"/>
      <c r="H496" s="134"/>
      <c r="I496" s="135"/>
      <c r="J496" s="116"/>
      <c r="N496" s="195" t="s">
        <v>7</v>
      </c>
      <c r="O496" s="196"/>
      <c r="P496" s="197"/>
    </row>
    <row r="497" spans="1:16" x14ac:dyDescent="0.2">
      <c r="A497" s="118"/>
      <c r="B497" s="117"/>
      <c r="C497" s="115"/>
      <c r="D497" s="116"/>
      <c r="F497" s="200"/>
      <c r="G497" s="201"/>
      <c r="H497" s="134"/>
      <c r="I497" s="135"/>
      <c r="J497" s="116"/>
      <c r="N497" s="114"/>
      <c r="O497" s="115"/>
      <c r="P497" s="116"/>
    </row>
    <row r="498" spans="1:16" ht="17" thickBot="1" x14ac:dyDescent="0.25">
      <c r="A498" s="118"/>
      <c r="B498" s="136"/>
      <c r="C498" s="137"/>
      <c r="D498" s="138"/>
      <c r="F498" s="200"/>
      <c r="G498" s="201"/>
      <c r="H498" s="134"/>
      <c r="I498" s="135"/>
      <c r="J498" s="116"/>
      <c r="M498" s="119"/>
      <c r="N498" s="125"/>
      <c r="O498" s="115"/>
      <c r="P498" s="116"/>
    </row>
    <row r="499" spans="1:16" ht="17" thickBot="1" x14ac:dyDescent="0.25">
      <c r="F499" s="214"/>
      <c r="G499" s="215"/>
      <c r="H499" s="139"/>
      <c r="I499" s="140"/>
      <c r="J499" s="139"/>
      <c r="M499" s="119"/>
      <c r="N499" s="125"/>
      <c r="O499" s="115"/>
      <c r="P499" s="116"/>
    </row>
    <row r="500" spans="1:16" ht="17" thickBot="1" x14ac:dyDescent="0.25">
      <c r="F500" s="216" t="s">
        <v>8</v>
      </c>
      <c r="G500" s="217"/>
      <c r="H500" s="141"/>
      <c r="I500" s="142" t="s">
        <v>8</v>
      </c>
      <c r="J500" s="143"/>
      <c r="M500" s="119"/>
      <c r="N500" s="125"/>
      <c r="O500" s="115"/>
      <c r="P500" s="116"/>
    </row>
    <row r="501" spans="1:16" x14ac:dyDescent="0.2">
      <c r="M501" s="119"/>
      <c r="N501" s="125"/>
      <c r="O501" s="115"/>
      <c r="P501" s="116"/>
    </row>
    <row r="502" spans="1:16" ht="17" thickBot="1" x14ac:dyDescent="0.25">
      <c r="M502" s="121"/>
      <c r="N502" s="122" t="s">
        <v>119</v>
      </c>
      <c r="O502" s="123"/>
      <c r="P502" s="124"/>
    </row>
    <row r="503" spans="1:16" x14ac:dyDescent="0.2">
      <c r="I503" s="133"/>
      <c r="N503" s="202" t="s">
        <v>7</v>
      </c>
      <c r="O503" s="203"/>
      <c r="P503" s="204"/>
    </row>
    <row r="504" spans="1:16" x14ac:dyDescent="0.2">
      <c r="N504" s="114"/>
      <c r="O504" s="115"/>
      <c r="P504" s="116"/>
    </row>
    <row r="505" spans="1:16" x14ac:dyDescent="0.2">
      <c r="M505" s="118"/>
      <c r="N505" s="114"/>
      <c r="O505" s="115"/>
      <c r="P505" s="116"/>
    </row>
    <row r="506" spans="1:16" x14ac:dyDescent="0.2">
      <c r="M506" s="119"/>
      <c r="N506" s="125"/>
      <c r="O506" s="115"/>
      <c r="P506" s="116"/>
    </row>
    <row r="507" spans="1:16" x14ac:dyDescent="0.2">
      <c r="B507" s="198"/>
      <c r="C507" s="198"/>
      <c r="M507" s="118"/>
      <c r="N507" s="114"/>
      <c r="O507" s="115"/>
      <c r="P507" s="116"/>
    </row>
    <row r="508" spans="1:16" x14ac:dyDescent="0.2">
      <c r="B508" s="199"/>
      <c r="C508" s="199"/>
      <c r="M508" s="119"/>
      <c r="N508" s="125"/>
      <c r="O508" s="115"/>
      <c r="P508" s="116"/>
    </row>
    <row r="509" spans="1:16" x14ac:dyDescent="0.2">
      <c r="B509" s="144"/>
      <c r="C509" s="145"/>
      <c r="M509" s="118"/>
      <c r="N509" s="114"/>
      <c r="O509" s="115"/>
      <c r="P509" s="116"/>
    </row>
    <row r="510" spans="1:16" x14ac:dyDescent="0.2">
      <c r="B510" s="144"/>
      <c r="C510" s="145"/>
      <c r="M510" s="119"/>
      <c r="N510" s="125"/>
      <c r="O510" s="115"/>
      <c r="P510" s="116"/>
    </row>
    <row r="511" spans="1:16" ht="17" thickBot="1" x14ac:dyDescent="0.25">
      <c r="B511" s="144"/>
      <c r="C511" s="145"/>
      <c r="M511" s="121"/>
      <c r="N511" s="122" t="s">
        <v>123</v>
      </c>
      <c r="O511" s="123"/>
      <c r="P511" s="124"/>
    </row>
    <row r="512" spans="1:16" x14ac:dyDescent="0.2">
      <c r="B512" s="144"/>
      <c r="C512" s="145"/>
      <c r="N512" s="195" t="s">
        <v>7</v>
      </c>
      <c r="O512" s="196"/>
      <c r="P512" s="197"/>
    </row>
    <row r="513" spans="2:16" x14ac:dyDescent="0.2">
      <c r="B513" s="146"/>
      <c r="C513" s="145"/>
      <c r="N513" s="114"/>
      <c r="O513" s="115"/>
      <c r="P513" s="116"/>
    </row>
    <row r="514" spans="2:16" x14ac:dyDescent="0.2">
      <c r="M514" s="119"/>
      <c r="N514" s="125"/>
      <c r="O514" s="115"/>
      <c r="P514" s="116"/>
    </row>
    <row r="515" spans="2:16" x14ac:dyDescent="0.2">
      <c r="M515" s="119"/>
      <c r="N515" s="125"/>
      <c r="O515" s="115"/>
      <c r="P515" s="116"/>
    </row>
    <row r="516" spans="2:16" ht="17" thickBot="1" x14ac:dyDescent="0.25">
      <c r="M516" s="121"/>
      <c r="N516" s="122" t="s">
        <v>148</v>
      </c>
      <c r="O516" s="123"/>
      <c r="P516" s="124"/>
    </row>
  </sheetData>
  <customSheetViews>
    <customSheetView guid="{B1BDEBDF-47A6-1249-A69C-11B2BD2D880B}" scale="78" showGridLines="0" fitToPage="1" printArea="1">
      <selection activeCell="B5" sqref="B5"/>
      <pageMargins left="0.70000000000000007" right="0.70000000000000007" top="0.75000000000000011" bottom="0.75000000000000011" header="0.30000000000000004" footer="0.30000000000000004"/>
      <pageSetup paperSize="9" scale="51" orientation="landscape" horizontalDpi="0" verticalDpi="0"/>
    </customSheetView>
  </customSheetViews>
  <mergeCells count="51">
    <mergeCell ref="N481:P481"/>
    <mergeCell ref="B483:D483"/>
    <mergeCell ref="B486:D487"/>
    <mergeCell ref="F490:J491"/>
    <mergeCell ref="N490:P490"/>
    <mergeCell ref="B507:C507"/>
    <mergeCell ref="B508:C508"/>
    <mergeCell ref="F492:G492"/>
    <mergeCell ref="F493:G493"/>
    <mergeCell ref="B494:D494"/>
    <mergeCell ref="F494:G494"/>
    <mergeCell ref="F495:G495"/>
    <mergeCell ref="N512:P512"/>
    <mergeCell ref="F496:G496"/>
    <mergeCell ref="N496:P496"/>
    <mergeCell ref="F497:G497"/>
    <mergeCell ref="F498:G498"/>
    <mergeCell ref="F499:G499"/>
    <mergeCell ref="F500:G500"/>
    <mergeCell ref="N503:P503"/>
    <mergeCell ref="I473:K473"/>
    <mergeCell ref="N473:P473"/>
    <mergeCell ref="N475:P475"/>
    <mergeCell ref="I479:K479"/>
    <mergeCell ref="N41:P41"/>
    <mergeCell ref="B461:P463"/>
    <mergeCell ref="B473:D473"/>
    <mergeCell ref="N32:P32"/>
    <mergeCell ref="N25:P25"/>
    <mergeCell ref="B12:D12"/>
    <mergeCell ref="B23:D23"/>
    <mergeCell ref="N19:P19"/>
    <mergeCell ref="F28:G28"/>
    <mergeCell ref="F29:G29"/>
    <mergeCell ref="F22:G22"/>
    <mergeCell ref="F23:G23"/>
    <mergeCell ref="F24:G24"/>
    <mergeCell ref="F21:G21"/>
    <mergeCell ref="F19:J20"/>
    <mergeCell ref="B36:C36"/>
    <mergeCell ref="B37:C37"/>
    <mergeCell ref="F25:G25"/>
    <mergeCell ref="F26:G26"/>
    <mergeCell ref="F27:G27"/>
    <mergeCell ref="I8:K8"/>
    <mergeCell ref="B2:D2"/>
    <mergeCell ref="I2:K2"/>
    <mergeCell ref="N2:P2"/>
    <mergeCell ref="B15:D16"/>
    <mergeCell ref="N4:P4"/>
    <mergeCell ref="N10:P10"/>
  </mergeCells>
  <phoneticPr fontId="3" type="noConversion"/>
  <conditionalFormatting sqref="F492:G492">
    <cfRule type="cellIs" dxfId="214" priority="698" operator="equal">
      <formula>0</formula>
    </cfRule>
  </conditionalFormatting>
  <conditionalFormatting sqref="I492">
    <cfRule type="cellIs" dxfId="213" priority="697" operator="equal">
      <formula>0</formula>
    </cfRule>
  </conditionalFormatting>
  <conditionalFormatting sqref="I492 F496:G498 I499:J499 I497:I498">
    <cfRule type="cellIs" dxfId="212" priority="696" operator="equal">
      <formula>0</formula>
    </cfRule>
  </conditionalFormatting>
  <conditionalFormatting sqref="H499">
    <cfRule type="cellIs" dxfId="211" priority="695" operator="equal">
      <formula>0</formula>
    </cfRule>
  </conditionalFormatting>
  <conditionalFormatting sqref="F492:J499">
    <cfRule type="cellIs" dxfId="210" priority="694" operator="equal">
      <formula>0</formula>
    </cfRule>
    <cfRule type="cellIs" dxfId="209" priority="612" operator="equal">
      <formula>0</formula>
    </cfRule>
    <cfRule type="cellIs" dxfId="208" priority="491" operator="equal">
      <formula>0</formula>
    </cfRule>
  </conditionalFormatting>
  <conditionalFormatting sqref="F21:G21">
    <cfRule type="cellIs" dxfId="6" priority="7" operator="equal">
      <formula>0</formula>
    </cfRule>
  </conditionalFormatting>
  <conditionalFormatting sqref="I21">
    <cfRule type="cellIs" dxfId="5" priority="6" operator="equal">
      <formula>0</formula>
    </cfRule>
  </conditionalFormatting>
  <conditionalFormatting sqref="I21 F25:G27 I28:J28 I26:I27">
    <cfRule type="cellIs" dxfId="4" priority="5" operator="equal">
      <formula>0</formula>
    </cfRule>
  </conditionalFormatting>
  <conditionalFormatting sqref="H28">
    <cfRule type="cellIs" dxfId="3" priority="4" operator="equal">
      <formula>0</formula>
    </cfRule>
  </conditionalFormatting>
  <conditionalFormatting sqref="F21:J28">
    <cfRule type="cellIs" dxfId="0" priority="1" operator="equal">
      <formula>0</formula>
    </cfRule>
    <cfRule type="cellIs" dxfId="1" priority="2" operator="equal">
      <formula>0</formula>
    </cfRule>
    <cfRule type="cellIs" dxfId="2" priority="3" operator="equal">
      <formula>0</formula>
    </cfRule>
  </conditionalFormatting>
  <pageMargins left="0.70000000000000007" right="0.70000000000000007" top="0.75000000000000011" bottom="0.75000000000000011" header="0.30000000000000004" footer="0.30000000000000004"/>
  <pageSetup paperSize="9" scale="51"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le3" enableFormatConditionsCalculation="0">
    <pageSetUpPr fitToPage="1"/>
  </sheetPr>
  <dimension ref="A1:P45"/>
  <sheetViews>
    <sheetView showGridLines="0" showRowColHeaders="0" zoomScale="78" zoomScaleNormal="78" zoomScalePageLayoutView="78" workbookViewId="0">
      <selection activeCell="H130" sqref="H130"/>
    </sheetView>
  </sheetViews>
  <sheetFormatPr baseColWidth="10" defaultRowHeight="16" x14ac:dyDescent="0.2"/>
  <cols>
    <col min="1" max="1" width="3.83203125" customWidth="1"/>
    <col min="2" max="2" width="33.6640625" customWidth="1"/>
    <col min="7" max="7" width="16.83203125" customWidth="1"/>
    <col min="9" max="9" width="29.6640625" customWidth="1"/>
    <col min="13" max="13" width="4.33203125" customWidth="1"/>
    <col min="14" max="14" width="33.1640625" customWidth="1"/>
  </cols>
  <sheetData>
    <row r="1" spans="1:16" ht="16" customHeight="1" thickBot="1" x14ac:dyDescent="0.25"/>
    <row r="2" spans="1:16" ht="24" customHeight="1" x14ac:dyDescent="0.3">
      <c r="B2" s="242" t="s">
        <v>129</v>
      </c>
      <c r="C2" s="243"/>
      <c r="D2" s="244"/>
      <c r="I2" s="242" t="s">
        <v>129</v>
      </c>
      <c r="J2" s="245"/>
      <c r="K2" s="246"/>
      <c r="L2" s="42"/>
      <c r="N2" s="242" t="s">
        <v>99</v>
      </c>
      <c r="O2" s="243"/>
      <c r="P2" s="244"/>
    </row>
    <row r="3" spans="1:16" x14ac:dyDescent="0.2">
      <c r="B3" s="5"/>
      <c r="C3" s="3" t="s">
        <v>3</v>
      </c>
      <c r="D3" s="4" t="s">
        <v>0</v>
      </c>
      <c r="I3" s="5"/>
      <c r="J3" s="3" t="s">
        <v>3</v>
      </c>
      <c r="K3" s="4" t="s">
        <v>0</v>
      </c>
      <c r="L3" s="2"/>
      <c r="N3" s="5"/>
      <c r="O3" s="3" t="s">
        <v>3</v>
      </c>
      <c r="P3" s="4" t="s">
        <v>0</v>
      </c>
    </row>
    <row r="4" spans="1:16" x14ac:dyDescent="0.2">
      <c r="B4" s="66" t="s">
        <v>100</v>
      </c>
      <c r="C4" s="89">
        <f ca="1">C5-C13</f>
        <v>73270.476345429866</v>
      </c>
      <c r="D4" s="90">
        <f ca="1">D5-D13</f>
        <v>34118.887534207141</v>
      </c>
      <c r="I4" s="6" t="s">
        <v>107</v>
      </c>
      <c r="J4" s="89">
        <f ca="1">J5-J9</f>
        <v>54675.195474574539</v>
      </c>
      <c r="K4" s="90">
        <f ca="1">K5-K9</f>
        <v>18379.31499087506</v>
      </c>
      <c r="L4" s="1"/>
      <c r="N4" s="261" t="s">
        <v>7</v>
      </c>
      <c r="O4" s="262"/>
      <c r="P4" s="263"/>
    </row>
    <row r="5" spans="1:16" x14ac:dyDescent="0.2">
      <c r="B5" s="69" t="s">
        <v>104</v>
      </c>
      <c r="C5" s="89">
        <f ca="1">C6+C7+C10+C11+C8-C9</f>
        <v>163628.49811229837</v>
      </c>
      <c r="D5" s="90">
        <f ca="1">D6+D7+D10+D11+D8-D9</f>
        <v>120891.52452464229</v>
      </c>
      <c r="I5" s="37" t="s">
        <v>108</v>
      </c>
      <c r="J5" s="89">
        <f ca="1">J6+J7</f>
        <v>65995.396399847916</v>
      </c>
      <c r="K5" s="90">
        <f ca="1">K6+K7</f>
        <v>25339.580409417049</v>
      </c>
      <c r="L5" s="1"/>
      <c r="N5" s="38" t="s">
        <v>111</v>
      </c>
      <c r="O5" s="67">
        <f ca="1">'Income statement'!C6</f>
        <v>40131.792266717144</v>
      </c>
      <c r="P5" s="68">
        <f ca="1">'Income statement'!D6</f>
        <v>32825.887859673436</v>
      </c>
    </row>
    <row r="6" spans="1:16" x14ac:dyDescent="0.2">
      <c r="B6" s="70" t="s">
        <v>130</v>
      </c>
      <c r="C6" s="67">
        <f ca="1">'Balance Sheet'!H11</f>
        <v>57607.959085949995</v>
      </c>
      <c r="D6" s="68">
        <f ca="1">'Balance Sheet'!I11</f>
        <v>31245.972186871935</v>
      </c>
      <c r="I6" s="38" t="s">
        <v>31</v>
      </c>
      <c r="J6" s="67">
        <f ca="1">'Balance Sheet'!C15</f>
        <v>691.91137415701962</v>
      </c>
      <c r="K6" s="68">
        <f ca="1">'Balance Sheet'!F15</f>
        <v>11713.011152781581</v>
      </c>
      <c r="L6" s="1"/>
      <c r="M6" s="34" t="s">
        <v>6</v>
      </c>
      <c r="N6" s="38" t="s">
        <v>60</v>
      </c>
      <c r="O6" s="67">
        <f ca="1">'Income statement'!C7</f>
        <v>691.72533176038996</v>
      </c>
      <c r="P6" s="68">
        <f ca="1">'Income statement'!D7</f>
        <v>500.97826934746297</v>
      </c>
    </row>
    <row r="7" spans="1:16" x14ac:dyDescent="0.2">
      <c r="A7" s="34" t="s">
        <v>6</v>
      </c>
      <c r="B7" s="70" t="s">
        <v>131</v>
      </c>
      <c r="C7" s="67">
        <f ca="1">'Balance Sheet'!H12</f>
        <v>981.98108499357136</v>
      </c>
      <c r="D7" s="68">
        <f ca="1">'Balance Sheet'!I12</f>
        <v>730.38955841455322</v>
      </c>
      <c r="F7" s="34"/>
      <c r="G7" s="34"/>
      <c r="H7" s="34" t="s">
        <v>6</v>
      </c>
      <c r="I7" s="38" t="s">
        <v>32</v>
      </c>
      <c r="J7" s="67">
        <f ca="1">'Balance Sheet'!C16</f>
        <v>65303.485147991392</v>
      </c>
      <c r="K7" s="68">
        <f ca="1">'Balance Sheet'!F16</f>
        <v>13626.569186733044</v>
      </c>
      <c r="L7" s="1"/>
      <c r="M7" s="34" t="s">
        <v>6</v>
      </c>
      <c r="N7" s="38" t="s">
        <v>151</v>
      </c>
      <c r="O7" s="67">
        <f ca="1">'Income statement'!C8</f>
        <v>247.60005125567639</v>
      </c>
      <c r="P7" s="68">
        <f ca="1">'Income statement'!D8</f>
        <v>163.90479925344937</v>
      </c>
    </row>
    <row r="8" spans="1:16" ht="19" x14ac:dyDescent="0.2">
      <c r="A8" s="34" t="s">
        <v>6</v>
      </c>
      <c r="B8" s="70" t="s">
        <v>132</v>
      </c>
      <c r="C8" s="67">
        <f ca="1">'Balance Sheet'!H13</f>
        <v>94449.411527340519</v>
      </c>
      <c r="D8" s="68">
        <f ca="1">'Balance Sheet'!I13</f>
        <v>72559.243875116445</v>
      </c>
      <c r="I8" s="39" t="s">
        <v>5</v>
      </c>
      <c r="J8" s="67"/>
      <c r="K8" s="68"/>
      <c r="L8" s="1"/>
      <c r="M8" s="34" t="s">
        <v>6</v>
      </c>
      <c r="N8" s="38" t="s">
        <v>62</v>
      </c>
      <c r="O8" s="67">
        <f ca="1">'Income statement'!C9</f>
        <v>134.33683231196454</v>
      </c>
      <c r="P8" s="68">
        <f ca="1">'Income statement'!D9</f>
        <v>174.88009225559938</v>
      </c>
    </row>
    <row r="9" spans="1:16" ht="17" thickBot="1" x14ac:dyDescent="0.25">
      <c r="A9" s="35" t="s">
        <v>5</v>
      </c>
      <c r="B9" s="71" t="s">
        <v>133</v>
      </c>
      <c r="C9" s="67">
        <f ca="1">'Balance Sheet'!H19</f>
        <v>9084.6508894699964</v>
      </c>
      <c r="D9" s="68">
        <f ca="1">'Balance Sheet'!I19</f>
        <v>5057.9294529131967</v>
      </c>
      <c r="I9" s="37" t="s">
        <v>109</v>
      </c>
      <c r="J9" s="89">
        <f ca="1">J10+J11</f>
        <v>11320.201134931349</v>
      </c>
      <c r="K9" s="90">
        <f ca="1">K10+K11</f>
        <v>6960.2652987092515</v>
      </c>
      <c r="L9" s="1"/>
      <c r="M9" s="36" t="s">
        <v>4</v>
      </c>
      <c r="N9" s="7" t="s">
        <v>112</v>
      </c>
      <c r="O9" s="91">
        <f ca="1">SUM(O5:O8)</f>
        <v>41205.454482045177</v>
      </c>
      <c r="P9" s="92">
        <f ca="1">SUM(P5:P8)</f>
        <v>33665.651020529942</v>
      </c>
    </row>
    <row r="10" spans="1:16" x14ac:dyDescent="0.2">
      <c r="A10" s="34" t="s">
        <v>6</v>
      </c>
      <c r="B10" s="70" t="s">
        <v>135</v>
      </c>
      <c r="C10" s="67">
        <f ca="1">'Balance Sheet'!D17</f>
        <v>4486.945066425742</v>
      </c>
      <c r="D10" s="68">
        <f ca="1">'Income statement'!H16+'Income statement'!H17</f>
        <v>4204.6270108264953</v>
      </c>
      <c r="I10" s="38" t="s">
        <v>133</v>
      </c>
      <c r="J10" s="67">
        <f ca="1">'Balance Sheet'!H19</f>
        <v>9084.6508894699964</v>
      </c>
      <c r="K10" s="68">
        <f ca="1">'Balance Sheet'!I19</f>
        <v>5057.9294529131967</v>
      </c>
      <c r="L10" s="1"/>
      <c r="N10" s="239" t="s">
        <v>7</v>
      </c>
      <c r="O10" s="240"/>
      <c r="P10" s="241"/>
    </row>
    <row r="11" spans="1:16" x14ac:dyDescent="0.2">
      <c r="A11" s="34" t="s">
        <v>6</v>
      </c>
      <c r="B11" s="70" t="s">
        <v>134</v>
      </c>
      <c r="C11" s="67">
        <f ca="1">'Balance Sheet'!D9</f>
        <v>15186.852165716597</v>
      </c>
      <c r="D11" s="68">
        <f ca="1">'Balance Sheet'!D9-'Income statement'!C20+'Income statement'!G11-'Income statement'!G12</f>
        <v>17209.221387102483</v>
      </c>
      <c r="F11" s="34"/>
      <c r="G11" s="34"/>
      <c r="H11" s="34" t="s">
        <v>6</v>
      </c>
      <c r="I11" s="38" t="s">
        <v>139</v>
      </c>
      <c r="J11" s="67">
        <f ca="1">'Income statement'!G6</f>
        <v>2235.5502454613525</v>
      </c>
      <c r="K11" s="68">
        <f ca="1">'Income statement'!H6</f>
        <v>1902.3358457960553</v>
      </c>
      <c r="L11" s="1"/>
      <c r="N11" s="38" t="s">
        <v>113</v>
      </c>
      <c r="O11" s="67">
        <f ca="1">O9</f>
        <v>41205.454482045177</v>
      </c>
      <c r="P11" s="68">
        <f ca="1">P9</f>
        <v>33665.651020529942</v>
      </c>
    </row>
    <row r="12" spans="1:16" ht="21" x14ac:dyDescent="0.2">
      <c r="B12" s="72" t="s">
        <v>5</v>
      </c>
      <c r="C12" s="67"/>
      <c r="D12" s="68"/>
      <c r="I12" s="38"/>
      <c r="J12" s="67"/>
      <c r="K12" s="68"/>
      <c r="L12" s="1"/>
      <c r="M12" s="35" t="s">
        <v>5</v>
      </c>
      <c r="N12" s="43" t="s">
        <v>114</v>
      </c>
      <c r="O12" s="67">
        <f ca="1">'Income statement'!C12+'Income statement'!C14</f>
        <v>6327.265595147288</v>
      </c>
      <c r="P12" s="68">
        <f ca="1">'Income statement'!D12+'Income statement'!D14</f>
        <v>5612.1982182107677</v>
      </c>
    </row>
    <row r="13" spans="1:16" x14ac:dyDescent="0.2">
      <c r="B13" s="69" t="s">
        <v>103</v>
      </c>
      <c r="C13" s="89">
        <f ca="1">C14</f>
        <v>90358.021644568013</v>
      </c>
      <c r="D13" s="90">
        <f ca="1">D14</f>
        <v>86772.637060337584</v>
      </c>
      <c r="I13" s="40" t="s">
        <v>110</v>
      </c>
      <c r="J13" s="67"/>
      <c r="K13" s="68"/>
      <c r="L13" s="1"/>
      <c r="M13" s="35" t="s">
        <v>5</v>
      </c>
      <c r="N13" s="43" t="s">
        <v>115</v>
      </c>
      <c r="O13" s="67">
        <f ca="1">'Income statement'!C13+'Income statement'!C15</f>
        <v>85.365206817810304</v>
      </c>
      <c r="P13" s="68">
        <f ca="1">'Income statement'!D13+'Income statement'!D15</f>
        <v>509.26914251494611</v>
      </c>
    </row>
    <row r="14" spans="1:16" x14ac:dyDescent="0.2">
      <c r="B14" s="70" t="s">
        <v>136</v>
      </c>
      <c r="C14" s="67">
        <f ca="1">'Balance Sheet'!C9</f>
        <v>90358.021644568013</v>
      </c>
      <c r="D14" s="68">
        <f ca="1">D11+'Balance Sheet'!F9</f>
        <v>86772.637060337584</v>
      </c>
      <c r="F14" s="35"/>
      <c r="G14" s="35"/>
      <c r="H14" s="35"/>
      <c r="I14" s="40"/>
      <c r="J14" s="67"/>
      <c r="K14" s="68"/>
      <c r="L14" s="1"/>
      <c r="M14" s="35" t="s">
        <v>5</v>
      </c>
      <c r="N14" s="43" t="s">
        <v>69</v>
      </c>
      <c r="O14" s="67">
        <f ca="1">'Income statement'!C16</f>
        <v>3652.9840975085222</v>
      </c>
      <c r="P14" s="68">
        <f ca="1">'Income statement'!D16</f>
        <v>2996.066812482351</v>
      </c>
    </row>
    <row r="15" spans="1:16" x14ac:dyDescent="0.2">
      <c r="B15" s="247"/>
      <c r="C15" s="248"/>
      <c r="D15" s="249"/>
      <c r="I15" s="37" t="s">
        <v>98</v>
      </c>
      <c r="J15" s="89">
        <f ca="1">C4</f>
        <v>73270.476345429866</v>
      </c>
      <c r="K15" s="90">
        <f ca="1">D4</f>
        <v>34118.887534207141</v>
      </c>
      <c r="L15" s="1"/>
      <c r="M15" s="34" t="s">
        <v>6</v>
      </c>
      <c r="N15" s="44" t="s">
        <v>91</v>
      </c>
      <c r="O15" s="67">
        <f ca="1">'Income statement'!G8</f>
        <v>841.94161814633389</v>
      </c>
      <c r="P15" s="68">
        <f ca="1">'Income statement'!H8</f>
        <v>818.89692946462583</v>
      </c>
    </row>
    <row r="16" spans="1:16" ht="17" thickBot="1" x14ac:dyDescent="0.25">
      <c r="B16" s="250"/>
      <c r="C16" s="251"/>
      <c r="D16" s="252"/>
      <c r="F16" s="35"/>
      <c r="G16" s="35"/>
      <c r="H16" s="35" t="s">
        <v>5</v>
      </c>
      <c r="I16" s="41" t="s">
        <v>102</v>
      </c>
      <c r="J16" s="91">
        <f ca="1">C17</f>
        <v>18595.281080513309</v>
      </c>
      <c r="K16" s="92">
        <f ca="1">D17</f>
        <v>15739.572423499329</v>
      </c>
      <c r="L16" s="1"/>
      <c r="M16" s="35" t="s">
        <v>5</v>
      </c>
      <c r="N16" s="45" t="s">
        <v>70</v>
      </c>
      <c r="O16" s="77">
        <f ca="1">'Income statement'!C17</f>
        <v>1145.7290706813562</v>
      </c>
      <c r="P16" s="78">
        <f ca="1">'Income statement'!D17</f>
        <v>1189.6007954832789</v>
      </c>
    </row>
    <row r="17" spans="1:16" ht="17" thickBot="1" x14ac:dyDescent="0.25">
      <c r="B17" s="66" t="s">
        <v>101</v>
      </c>
      <c r="C17" s="89">
        <f ca="1">C18-C24</f>
        <v>18595.281080513309</v>
      </c>
      <c r="D17" s="90">
        <f ca="1">D18-D24</f>
        <v>15739.572423499329</v>
      </c>
      <c r="J17" s="82"/>
      <c r="K17" s="82"/>
      <c r="M17" s="35" t="s">
        <v>4</v>
      </c>
      <c r="N17" s="7" t="s">
        <v>152</v>
      </c>
      <c r="O17" s="91">
        <f ca="1">O11-O12-O13-O14+O15-O16</f>
        <v>30836.052130036533</v>
      </c>
      <c r="P17" s="92">
        <f ca="1">P11-P12-P13-P14+P15-P16</f>
        <v>24177.412981303227</v>
      </c>
    </row>
    <row r="18" spans="1:16" ht="17" thickBot="1" x14ac:dyDescent="0.25">
      <c r="B18" s="69" t="s">
        <v>105</v>
      </c>
      <c r="C18" s="89">
        <f ca="1">C19+C20+C21+C22</f>
        <v>35999.114529413964</v>
      </c>
      <c r="D18" s="90">
        <f ca="1">D19+D20+D21+D22</f>
        <v>33898.191256538266</v>
      </c>
      <c r="O18" s="79"/>
      <c r="P18" s="79"/>
    </row>
    <row r="19" spans="1:16" ht="15.75" customHeight="1" x14ac:dyDescent="0.2">
      <c r="B19" s="70" t="s">
        <v>137</v>
      </c>
      <c r="C19" s="67">
        <f ca="1">'Balance Sheet'!C10+'Balance Sheet'!C11+'Balance Sheet'!C12</f>
        <v>19883.159019311657</v>
      </c>
      <c r="D19" s="68">
        <f ca="1">'Balance Sheet'!F10+'Balance Sheet'!F11+'Balance Sheet'!F12+'Income statement'!H16</f>
        <v>19276.798894369076</v>
      </c>
      <c r="F19" s="253" t="s">
        <v>128</v>
      </c>
      <c r="G19" s="254"/>
      <c r="H19" s="254"/>
      <c r="I19" s="254"/>
      <c r="J19" s="255"/>
      <c r="N19" s="264" t="s">
        <v>149</v>
      </c>
      <c r="O19" s="265"/>
      <c r="P19" s="266"/>
    </row>
    <row r="20" spans="1:16" ht="15.75" customHeight="1" x14ac:dyDescent="0.2">
      <c r="A20" s="34" t="s">
        <v>6</v>
      </c>
      <c r="B20" s="70" t="s">
        <v>138</v>
      </c>
      <c r="C20" s="67">
        <f ca="1">'Balance Sheet'!C13</f>
        <v>11448.47559010234</v>
      </c>
      <c r="D20" s="68">
        <f ca="1">'Balance Sheet'!F13+'Income statement'!H17</f>
        <v>10303.628031092108</v>
      </c>
      <c r="F20" s="256"/>
      <c r="G20" s="257"/>
      <c r="H20" s="257"/>
      <c r="I20" s="257"/>
      <c r="J20" s="258"/>
      <c r="M20" s="35"/>
      <c r="N20" s="38" t="s">
        <v>57</v>
      </c>
      <c r="O20" s="67">
        <f ca="1">'Income statement'!C4</f>
        <v>6810.3569432656086</v>
      </c>
      <c r="P20" s="68">
        <f ca="1">'Income statement'!D4</f>
        <v>5615.6723839713222</v>
      </c>
    </row>
    <row r="21" spans="1:16" x14ac:dyDescent="0.2">
      <c r="A21" s="34" t="s">
        <v>6</v>
      </c>
      <c r="B21" s="70" t="s">
        <v>30</v>
      </c>
      <c r="C21" s="67">
        <f ca="1">'Balance Sheet'!C14</f>
        <v>2431.9296745386146</v>
      </c>
      <c r="D21" s="68">
        <f ca="1">'Balance Sheet'!F14</f>
        <v>2415.4284852810238</v>
      </c>
      <c r="F21" s="235">
        <f ca="1">IF(O45&lt;=0,"Cash Flow&lt;0",)</f>
        <v>0</v>
      </c>
      <c r="G21" s="236"/>
      <c r="H21" s="80">
        <f ca="1">IF(O45&lt;=0,-O45,)</f>
        <v>0</v>
      </c>
      <c r="I21" s="81" t="str">
        <f ca="1">IF(O45&gt;=0,"Cash Flow&gt;0",)</f>
        <v>Cash Flow&gt;0</v>
      </c>
      <c r="J21" s="68">
        <f ca="1">IF(O45&gt;=0,O45,)</f>
        <v>12433.465084150912</v>
      </c>
      <c r="M21" s="35" t="s">
        <v>5</v>
      </c>
      <c r="N21" s="43" t="s">
        <v>65</v>
      </c>
      <c r="O21" s="67">
        <f ca="1">'Income statement'!C12</f>
        <v>3456.0398674018024</v>
      </c>
      <c r="P21" s="68">
        <f ca="1">'Income statement'!D12</f>
        <v>3729.870485306441</v>
      </c>
    </row>
    <row r="22" spans="1:16" x14ac:dyDescent="0.2">
      <c r="A22" s="34" t="s">
        <v>6</v>
      </c>
      <c r="B22" s="70" t="s">
        <v>139</v>
      </c>
      <c r="C22" s="67">
        <f ca="1">'Income statement'!G6</f>
        <v>2235.5502454613525</v>
      </c>
      <c r="D22" s="68">
        <f ca="1">'Income statement'!H6</f>
        <v>1902.3358457960553</v>
      </c>
      <c r="F22" s="259" t="s">
        <v>89</v>
      </c>
      <c r="G22" s="260"/>
      <c r="H22" s="80">
        <f ca="1">'Income statement'!G4</f>
        <v>156.72571308612811</v>
      </c>
      <c r="I22" s="81" t="s">
        <v>142</v>
      </c>
      <c r="J22" s="68">
        <f ca="1">'Balance Sheet'!H5-'Balance Sheet'!I5-('Balance Sheet'!I7-'Balance Sheet'!H7+'Balance Sheet'!I8-'Income statement'!G4)+'Balance Sheet'!H6-'Balance Sheet'!I6</f>
        <v>16129.759944890284</v>
      </c>
      <c r="M22" s="35" t="s">
        <v>5</v>
      </c>
      <c r="N22" s="43" t="s">
        <v>66</v>
      </c>
      <c r="O22" s="67">
        <f ca="1">'Income statement'!C13</f>
        <v>413.32511851072331</v>
      </c>
      <c r="P22" s="68">
        <f ca="1">'Income statement'!D13</f>
        <v>236.03786775836463</v>
      </c>
    </row>
    <row r="23" spans="1:16" ht="22" thickBot="1" x14ac:dyDescent="0.3">
      <c r="B23" s="73" t="s">
        <v>5</v>
      </c>
      <c r="C23" s="67"/>
      <c r="D23" s="68"/>
      <c r="F23" s="259" t="s">
        <v>140</v>
      </c>
      <c r="G23" s="260"/>
      <c r="H23" s="80">
        <f ca="1">'Balance Sheet'!E5+'Balance Sheet'!E6-('Balance Sheet'!F5+'Balance Sheet'!F6)+'Income statement'!C20+'Income statement'!G12</f>
        <v>8471.0110034082572</v>
      </c>
      <c r="I23" s="81" t="s">
        <v>143</v>
      </c>
      <c r="J23" s="68">
        <f ca="1">'Income statement'!G10</f>
        <v>4072.0216090120166</v>
      </c>
      <c r="M23" s="36" t="s">
        <v>4</v>
      </c>
      <c r="N23" s="7" t="s">
        <v>116</v>
      </c>
      <c r="O23" s="91">
        <f ca="1">O20-O21-O22</f>
        <v>2940.9919573530829</v>
      </c>
      <c r="P23" s="92">
        <f ca="1">P20-P21-P22</f>
        <v>1649.7640309065166</v>
      </c>
    </row>
    <row r="24" spans="1:16" ht="17" thickBot="1" x14ac:dyDescent="0.25">
      <c r="B24" s="69" t="s">
        <v>106</v>
      </c>
      <c r="C24" s="89">
        <f ca="1">C25+C26+C27</f>
        <v>17403.833448900656</v>
      </c>
      <c r="D24" s="90">
        <f ca="1">D25+D26+D27</f>
        <v>18158.618833038938</v>
      </c>
      <c r="F24" s="259" t="s">
        <v>141</v>
      </c>
      <c r="G24" s="260"/>
      <c r="H24" s="80">
        <f ca="1">'Balance Sheet'!E7-'Balance Sheet'!F7</f>
        <v>3891.2121866269708</v>
      </c>
      <c r="I24" s="81" t="s">
        <v>144</v>
      </c>
      <c r="J24" s="68">
        <f ca="1">'Balance Sheet'!F8-'Balance Sheet'!E8</f>
        <v>449.84494214765891</v>
      </c>
      <c r="O24" s="79"/>
      <c r="P24" s="79"/>
    </row>
    <row r="25" spans="1:16" x14ac:dyDescent="0.2">
      <c r="B25" s="70" t="s">
        <v>49</v>
      </c>
      <c r="C25" s="67">
        <f ca="1">'Balance Sheet'!H14</f>
        <v>14834.143552266072</v>
      </c>
      <c r="D25" s="68">
        <f ca="1">'Balance Sheet'!I14</f>
        <v>14408.960805618633</v>
      </c>
      <c r="F25" s="235">
        <f ca="1">IF(-(('Balance Sheet'!H13-'Balance Sheet'!I13)+('Income statement'!G6-'Income statement'!H6))=H25,"Financial debt decrease",0)</f>
        <v>0</v>
      </c>
      <c r="G25" s="236"/>
      <c r="H25" s="80">
        <f ca="1">IF(('Balance Sheet'!H13-'Balance Sheet'!I13)+('Income statement'!G6-'Income statement'!H6)&lt;0,-(('Balance Sheet'!H13-'Balance Sheet'!I13)+('Income statement'!G6-'Income statement'!H6)),0)</f>
        <v>0</v>
      </c>
      <c r="I25" s="81" t="s">
        <v>145</v>
      </c>
      <c r="J25" s="68">
        <f ca="1">'Balance Sheet'!H9-'Balance Sheet'!I9+'Income statement'!G14</f>
        <v>722</v>
      </c>
      <c r="N25" s="239" t="s">
        <v>7</v>
      </c>
      <c r="O25" s="240"/>
      <c r="P25" s="241"/>
    </row>
    <row r="26" spans="1:16" x14ac:dyDescent="0.2">
      <c r="A26" s="34" t="s">
        <v>6</v>
      </c>
      <c r="B26" s="70" t="s">
        <v>50</v>
      </c>
      <c r="C26" s="67">
        <f ca="1">'Balance Sheet'!H15</f>
        <v>2027.1493430652217</v>
      </c>
      <c r="D26" s="68">
        <f ca="1">'Balance Sheet'!I15</f>
        <v>2771.6392177624184</v>
      </c>
      <c r="F26" s="235" t="str">
        <f ca="1">IF(('Balance Sheet'!C15+'Balance Sheet'!C16)-('Balance Sheet'!F16+'Balance Sheet'!F15)&gt;0,"Cash increase",)</f>
        <v>Cash increase</v>
      </c>
      <c r="G26" s="236"/>
      <c r="H26" s="80">
        <f ca="1">IF(('Balance Sheet'!C15+'Balance Sheet'!C16)-('Balance Sheet'!F15+'Balance Sheet'!F16)&gt;0,('Balance Sheet'!C15+'Balance Sheet'!C16)-('Balance Sheet'!F15+'Balance Sheet'!F16),)</f>
        <v>40655.816182633789</v>
      </c>
      <c r="I26" s="81" t="str">
        <f ca="1">IF('Balance Sheet'!H13-'Balance Sheet'!I13+'Income statement'!G6-'Income statement'!H6=J26,"Financial debt increase",)</f>
        <v>Financial debt increase</v>
      </c>
      <c r="J26" s="68">
        <f ca="1">IF('Balance Sheet'!H13-'Balance Sheet'!I13+'Income statement'!G6-'Income statement'!H6&gt;0,'Balance Sheet'!H13-'Balance Sheet'!I13+'Income statement'!G6-'Income statement'!H6,0)</f>
        <v>22223.38205188937</v>
      </c>
      <c r="N26" s="38" t="s">
        <v>117</v>
      </c>
      <c r="O26" s="67">
        <f ca="1">O17</f>
        <v>30836.052130036533</v>
      </c>
      <c r="P26" s="68">
        <f ca="1">P17</f>
        <v>24177.412981303227</v>
      </c>
    </row>
    <row r="27" spans="1:16" ht="17" thickBot="1" x14ac:dyDescent="0.25">
      <c r="A27" s="34" t="s">
        <v>6</v>
      </c>
      <c r="B27" s="74" t="s">
        <v>51</v>
      </c>
      <c r="C27" s="75">
        <f ca="1">'Balance Sheet'!H16</f>
        <v>542.54055356936169</v>
      </c>
      <c r="D27" s="76">
        <f ca="1">'Balance Sheet'!I16</f>
        <v>978.01880965788564</v>
      </c>
      <c r="F27" s="235" t="str">
        <f ca="1">IF(C17-D17&gt;0,"WCR increase",)</f>
        <v>WCR increase</v>
      </c>
      <c r="G27" s="236"/>
      <c r="H27" s="80">
        <f ca="1">IF(C17-D17&gt;0,C17-D17,)</f>
        <v>2855.70865701398</v>
      </c>
      <c r="I27" s="81">
        <f ca="1">IF(('Balance Sheet'!E15+'Balance Sheet'!E16-('Balance Sheet'!F15+'Balance Sheet'!F16))&lt;0,"Cash decrease",)</f>
        <v>0</v>
      </c>
      <c r="J27" s="68">
        <f ca="1">IF(('Balance Sheet'!E15+'Balance Sheet'!E16-('Balance Sheet'!F16+'Balance Sheet'!F15))&lt;0,-('Balance Sheet'!E15+'Balance Sheet'!E16-('Balance Sheet'!F16+'Balance Sheet'!F15)),)</f>
        <v>0</v>
      </c>
      <c r="M27" s="35" t="s">
        <v>5</v>
      </c>
      <c r="N27" s="43" t="s">
        <v>71</v>
      </c>
      <c r="O27" s="67">
        <f ca="1">'Income statement'!C18</f>
        <v>6434.4515051240278</v>
      </c>
      <c r="P27" s="68">
        <f ca="1">'Income statement'!D18</f>
        <v>6794.9861100112785</v>
      </c>
    </row>
    <row r="28" spans="1:16" ht="17" thickBot="1" x14ac:dyDescent="0.25">
      <c r="F28" s="237"/>
      <c r="G28" s="238"/>
      <c r="H28" s="97"/>
      <c r="I28" s="98">
        <f ca="1">IF(C17-D17&lt;0,"WCR decrease",)</f>
        <v>0</v>
      </c>
      <c r="J28" s="97">
        <f ca="1">IF(C17-D17&lt;0,-(C17-D17),)</f>
        <v>0</v>
      </c>
      <c r="M28" s="35" t="s">
        <v>5</v>
      </c>
      <c r="N28" s="43" t="s">
        <v>72</v>
      </c>
      <c r="O28" s="67">
        <f ca="1">'Income statement'!C19</f>
        <v>3217.2257525620139</v>
      </c>
      <c r="P28" s="68">
        <f ca="1">'Income statement'!D19</f>
        <v>3397.4930550056392</v>
      </c>
    </row>
    <row r="29" spans="1:16" ht="17" thickBot="1" x14ac:dyDescent="0.25">
      <c r="F29" s="233" t="s">
        <v>8</v>
      </c>
      <c r="G29" s="234"/>
      <c r="H29" s="99">
        <f ca="1">SUM(H21:H28)</f>
        <v>56030.473742769129</v>
      </c>
      <c r="I29" s="99" t="s">
        <v>8</v>
      </c>
      <c r="J29" s="100">
        <f ca="1">SUM(J21:J28)</f>
        <v>56030.473632090245</v>
      </c>
      <c r="M29" s="35" t="s">
        <v>5</v>
      </c>
      <c r="N29" s="43" t="s">
        <v>118</v>
      </c>
      <c r="O29" s="67">
        <f ca="1">'Income statement'!C30</f>
        <v>2419.2073557790918</v>
      </c>
      <c r="P29" s="68">
        <f ca="1">'Income statement'!D30</f>
        <v>1045.0696900596349</v>
      </c>
    </row>
    <row r="30" spans="1:16" x14ac:dyDescent="0.2">
      <c r="M30" s="35" t="s">
        <v>5</v>
      </c>
      <c r="N30" s="43" t="s">
        <v>91</v>
      </c>
      <c r="O30" s="67">
        <f ca="1">'Income statement'!G8</f>
        <v>841.94161814633389</v>
      </c>
      <c r="P30" s="68">
        <f ca="1">'Income statement'!H8</f>
        <v>818.89692946462583</v>
      </c>
    </row>
    <row r="31" spans="1:16" ht="17" thickBot="1" x14ac:dyDescent="0.25">
      <c r="M31" s="36" t="s">
        <v>4</v>
      </c>
      <c r="N31" s="7" t="s">
        <v>119</v>
      </c>
      <c r="O31" s="91">
        <f ca="1">O26-O27-O28-O29-O30</f>
        <v>17923.225898425062</v>
      </c>
      <c r="P31" s="92">
        <f ca="1">P26-P27-P28-P29-P30</f>
        <v>12120.967196762045</v>
      </c>
    </row>
    <row r="32" spans="1:16" x14ac:dyDescent="0.2">
      <c r="I32" s="79"/>
      <c r="N32" s="228" t="s">
        <v>7</v>
      </c>
      <c r="O32" s="229"/>
      <c r="P32" s="230"/>
    </row>
    <row r="33" spans="2:16" x14ac:dyDescent="0.2">
      <c r="N33" s="38" t="s">
        <v>120</v>
      </c>
      <c r="O33" s="67">
        <f ca="1">O31</f>
        <v>17923.225898425062</v>
      </c>
      <c r="P33" s="68">
        <f ca="1">P31</f>
        <v>12120.967196762045</v>
      </c>
    </row>
    <row r="34" spans="2:16" x14ac:dyDescent="0.2">
      <c r="M34" s="34" t="s">
        <v>6</v>
      </c>
      <c r="N34" s="38" t="s">
        <v>80</v>
      </c>
      <c r="O34" s="67">
        <f ca="1">'Income statement'!C27</f>
        <v>4314.9916451329063</v>
      </c>
      <c r="P34" s="68">
        <f ca="1">'Income statement'!D27</f>
        <v>265.41076867317071</v>
      </c>
    </row>
    <row r="35" spans="2:16" x14ac:dyDescent="0.2">
      <c r="M35" s="35" t="s">
        <v>5</v>
      </c>
      <c r="N35" s="43" t="s">
        <v>121</v>
      </c>
      <c r="O35" s="67">
        <f ca="1">'Income statement'!C28</f>
        <v>1000.6033377703378</v>
      </c>
      <c r="P35" s="68">
        <f ca="1">'Income statement'!D28</f>
        <v>124.59986854764009</v>
      </c>
    </row>
    <row r="36" spans="2:16" x14ac:dyDescent="0.2">
      <c r="B36" s="231" t="s">
        <v>12</v>
      </c>
      <c r="C36" s="231"/>
      <c r="M36" s="34" t="s">
        <v>6</v>
      </c>
      <c r="N36" s="38" t="s">
        <v>122</v>
      </c>
      <c r="O36" s="67">
        <f ca="1">'Income statement'!C24</f>
        <v>26.013853044747041</v>
      </c>
      <c r="P36" s="68">
        <f ca="1">'Income statement'!D24</f>
        <v>55.674976270358037</v>
      </c>
    </row>
    <row r="37" spans="2:16" x14ac:dyDescent="0.2">
      <c r="B37" s="232" t="s">
        <v>18</v>
      </c>
      <c r="C37" s="232"/>
      <c r="M37" s="35" t="s">
        <v>5</v>
      </c>
      <c r="N37" s="43" t="s">
        <v>95</v>
      </c>
      <c r="O37" s="67">
        <f ca="1">'Income statement'!G14</f>
        <v>103.63360283751237</v>
      </c>
      <c r="P37" s="68">
        <f ca="1">'Income statement'!H14</f>
        <v>108.932695279108</v>
      </c>
    </row>
    <row r="38" spans="2:16" x14ac:dyDescent="0.2">
      <c r="B38" s="86" t="s">
        <v>15</v>
      </c>
      <c r="C38" s="87" t="str">
        <f ca="1">IF(INT('Balance Sheet'!F18)=INT('Balance Sheet'!I18),"VALIDE","INVALIDE")</f>
        <v>VALIDE</v>
      </c>
      <c r="M38" s="34" t="s">
        <v>6</v>
      </c>
      <c r="N38" s="38" t="s">
        <v>94</v>
      </c>
      <c r="O38" s="67">
        <f ca="1">'Income statement'!G12</f>
        <v>860.26042463294743</v>
      </c>
      <c r="P38" s="68">
        <f>'Income statement'!H12</f>
        <v>0</v>
      </c>
    </row>
    <row r="39" spans="2:16" x14ac:dyDescent="0.2">
      <c r="B39" s="86" t="s">
        <v>14</v>
      </c>
      <c r="C39" s="87" t="str">
        <f ca="1">IF(INT('Balance Sheet'!E18)=INT('Balance Sheet'!H18),"VALIDE","INVALIDE")</f>
        <v>VALIDE</v>
      </c>
      <c r="M39" s="35" t="s">
        <v>5</v>
      </c>
      <c r="N39" s="43" t="s">
        <v>92</v>
      </c>
      <c r="O39" s="67">
        <f ca="1">'Income statement'!G10</f>
        <v>4072.0216090120166</v>
      </c>
      <c r="P39" s="68">
        <f>'Income statement'!H10</f>
        <v>0</v>
      </c>
    </row>
    <row r="40" spans="2:16" ht="17" thickBot="1" x14ac:dyDescent="0.25">
      <c r="B40" s="86" t="s">
        <v>16</v>
      </c>
      <c r="C40" s="87" t="str">
        <f ca="1">IF(INT(K15-K16)=INT(K4),"VALIDE","INVALIDE")</f>
        <v>VALIDE</v>
      </c>
      <c r="M40" s="36" t="s">
        <v>4</v>
      </c>
      <c r="N40" s="7" t="s">
        <v>123</v>
      </c>
      <c r="O40" s="91">
        <f ca="1">O33+O34-O35+O36-O37+O38-O39</f>
        <v>17948.233271615798</v>
      </c>
      <c r="P40" s="92">
        <f ca="1">P33+P34-P35+P36-P37+P38-P39</f>
        <v>12208.520377878825</v>
      </c>
    </row>
    <row r="41" spans="2:16" x14ac:dyDescent="0.2">
      <c r="B41" s="86" t="s">
        <v>17</v>
      </c>
      <c r="C41" s="87" t="str">
        <f ca="1">IF(INT(J15-J16)=INT(J4),"VALIDE","INVALIDE")</f>
        <v>VALIDE</v>
      </c>
      <c r="N41" s="239" t="s">
        <v>7</v>
      </c>
      <c r="O41" s="240"/>
      <c r="P41" s="241"/>
    </row>
    <row r="42" spans="2:16" x14ac:dyDescent="0.2">
      <c r="B42" s="88" t="s">
        <v>13</v>
      </c>
      <c r="C42" s="87" t="str">
        <f ca="1">IF(INT(H29)=INT(J29),"VALIDE","INVALIDE")</f>
        <v>VALIDE</v>
      </c>
      <c r="N42" s="38" t="s">
        <v>124</v>
      </c>
      <c r="O42" s="67">
        <f ca="1">O40</f>
        <v>17948.233271615798</v>
      </c>
      <c r="P42" s="68">
        <f ca="1">P40</f>
        <v>12208.520377878825</v>
      </c>
    </row>
    <row r="43" spans="2:16" x14ac:dyDescent="0.2">
      <c r="M43" s="35" t="s">
        <v>5</v>
      </c>
      <c r="N43" s="43" t="s">
        <v>125</v>
      </c>
      <c r="O43" s="67">
        <f ca="1">'Income statement'!C25</f>
        <v>2289.1583811989431</v>
      </c>
      <c r="P43" s="68">
        <f ca="1">'Income statement'!D25</f>
        <v>2023.4050127388073</v>
      </c>
    </row>
    <row r="44" spans="2:16" x14ac:dyDescent="0.2">
      <c r="M44" s="35" t="s">
        <v>5</v>
      </c>
      <c r="N44" s="43" t="s">
        <v>126</v>
      </c>
      <c r="O44" s="67">
        <f ca="1">'Income statement'!C31</f>
        <v>3225.6098077054558</v>
      </c>
      <c r="P44" s="68">
        <f ca="1">'Income statement'!D31</f>
        <v>1393.4262534128466</v>
      </c>
    </row>
    <row r="45" spans="2:16" ht="17" thickBot="1" x14ac:dyDescent="0.25">
      <c r="M45" s="36" t="s">
        <v>4</v>
      </c>
      <c r="N45" s="7" t="s">
        <v>127</v>
      </c>
      <c r="O45" s="91">
        <f ca="1">O42-O43-O44</f>
        <v>12433.465082711398</v>
      </c>
      <c r="P45" s="92">
        <f ca="1">P42-P43-P44</f>
        <v>8791.6891117271716</v>
      </c>
    </row>
  </sheetData>
  <sheetProtection password="B534" sheet="1" formatCells="0" formatColumns="0" formatRows="0" insertColumns="0" insertRows="0" insertHyperlinks="0" deleteColumns="0" deleteRows="0" sort="0" autoFilter="0" pivotTables="0"/>
  <customSheetViews>
    <customSheetView guid="{B1BDEBDF-47A6-1249-A69C-11B2BD2D880B}" scale="78" showGridLines="0" fitToPage="1" printArea="1">
      <pageMargins left="0.70000000000000007" right="0.70000000000000007" top="0.75000000000000011" bottom="0.75000000000000011" header="0.30000000000000004" footer="0.30000000000000004"/>
      <pageSetup paperSize="9" scale="51" orientation="landscape" horizontalDpi="0" verticalDpi="0"/>
    </customSheetView>
  </customSheetViews>
  <mergeCells count="22">
    <mergeCell ref="N41:P41"/>
    <mergeCell ref="F26:G26"/>
    <mergeCell ref="B2:D2"/>
    <mergeCell ref="I2:K2"/>
    <mergeCell ref="B15:D16"/>
    <mergeCell ref="N2:P2"/>
    <mergeCell ref="F19:J20"/>
    <mergeCell ref="F21:G21"/>
    <mergeCell ref="F22:G22"/>
    <mergeCell ref="F23:G23"/>
    <mergeCell ref="F24:G24"/>
    <mergeCell ref="F25:G25"/>
    <mergeCell ref="N10:P10"/>
    <mergeCell ref="N4:P4"/>
    <mergeCell ref="N19:P19"/>
    <mergeCell ref="N25:P25"/>
    <mergeCell ref="N32:P32"/>
    <mergeCell ref="B36:C36"/>
    <mergeCell ref="B37:C37"/>
    <mergeCell ref="F29:G29"/>
    <mergeCell ref="F27:G27"/>
    <mergeCell ref="F28:G28"/>
  </mergeCells>
  <phoneticPr fontId="3" type="noConversion"/>
  <conditionalFormatting sqref="F21:G21">
    <cfRule type="cellIs" dxfId="200" priority="7" operator="equal">
      <formula>0</formula>
    </cfRule>
  </conditionalFormatting>
  <conditionalFormatting sqref="I21">
    <cfRule type="cellIs" dxfId="199" priority="6" operator="equal">
      <formula>0</formula>
    </cfRule>
  </conditionalFormatting>
  <conditionalFormatting sqref="I21 F25:G27 I28:J28 I26:I27">
    <cfRule type="cellIs" dxfId="198" priority="5" operator="equal">
      <formula>0</formula>
    </cfRule>
  </conditionalFormatting>
  <conditionalFormatting sqref="H28">
    <cfRule type="cellIs" dxfId="197" priority="2" operator="equal">
      <formula>0</formula>
    </cfRule>
  </conditionalFormatting>
  <conditionalFormatting sqref="F21:J28">
    <cfRule type="cellIs" dxfId="196" priority="1" operator="equal">
      <formula>0</formula>
    </cfRule>
  </conditionalFormatting>
  <pageMargins left="0.70000000000000007" right="0.70000000000000007" top="0.75000000000000011" bottom="0.75000000000000011" header="0.30000000000000004" footer="0.30000000000000004"/>
  <pageSetup paperSize="9" scale="51" orientation="landscape" horizontalDpi="0" verticalDpi="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5</vt:i4>
      </vt:variant>
    </vt:vector>
  </HeadingPairs>
  <TitlesOfParts>
    <vt:vector size="5" baseType="lpstr">
      <vt:lpstr>Intro</vt:lpstr>
      <vt:lpstr>Balance Sheet</vt:lpstr>
      <vt:lpstr>Income statement</vt:lpstr>
      <vt:lpstr>Fill it</vt:lpstr>
      <vt:lpstr>Correction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julien elkaim</cp:lastModifiedBy>
  <cp:lastPrinted>2016-06-28T10:53:18Z</cp:lastPrinted>
  <dcterms:created xsi:type="dcterms:W3CDTF">2016-06-19T14:56:44Z</dcterms:created>
  <dcterms:modified xsi:type="dcterms:W3CDTF">2016-07-01T12:21:40Z</dcterms:modified>
</cp:coreProperties>
</file>