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EA2F" lockStructure="1"/>
  <bookViews>
    <workbookView xWindow="120" yWindow="240" windowWidth="28515" windowHeight="12465"/>
  </bookViews>
  <sheets>
    <sheet name="Feuille de personnage" sheetId="4" r:id="rId1"/>
    <sheet name="Feuil3" sheetId="6" state="hidden" r:id="rId2"/>
    <sheet name="Feuil1" sheetId="1" state="hidden" r:id="rId3"/>
    <sheet name="Equipements" sheetId="5" r:id="rId4"/>
  </sheets>
  <definedNames>
    <definedName name="_dbBonus">'Feuille de personnage'!$AT$1:$AV$7</definedName>
    <definedName name="_dbCarac">'Feuille de personnage'!$AW$56:$BB$62</definedName>
    <definedName name="_lstCarac">'Feuille de personnage'!$AW$56:$AW$62</definedName>
    <definedName name="alignements">Feuil1!$N$2:$N$10</definedName>
    <definedName name="Arme">Feuil1!$M$31:$M$40</definedName>
    <definedName name="Arme12">Equipements!$I$3:$I$42</definedName>
    <definedName name="Armes">Equipements!$A$1:$A$42</definedName>
    <definedName name="Armur">Equipements!$A$56:$A$59,Equipements!$A$50:$A$54,Equipements!$A$46:$A$48</definedName>
    <definedName name="Armure">Equipements!$A$45:$A$59</definedName>
    <definedName name="Armure1">Equipements!$O$45:$O$58</definedName>
    <definedName name="Armures">Equipements!$A$44:$A$61</definedName>
    <definedName name="attaque1">'Feuille de personnage'!$A$59</definedName>
    <definedName name="attaque2">'Feuille de personnage'!$A$60</definedName>
    <definedName name="attaque3">'Feuille de personnage'!$A$61</definedName>
    <definedName name="attaque4">'Feuille de personnage'!$A$62</definedName>
    <definedName name="attaque5">'Feuille de personnage'!$A$63</definedName>
    <definedName name="Background">Feuil1!$O$70:$O$87</definedName>
    <definedName name="Bouclier">Equipements!$A$61</definedName>
    <definedName name="Carac">Feuil1!$A$16:$A$28</definedName>
    <definedName name="Caract">Feuil1!$H$23:$H$28</definedName>
    <definedName name="Classe">Feuil1!$B$1:$M$1</definedName>
    <definedName name="classe1">'Feuille de personnage'!$B$11</definedName>
    <definedName name="Classe2">'Feuille de personnage'!$B$12</definedName>
    <definedName name="Classe3">'Feuille de personnage'!$B$13</definedName>
    <definedName name="Classes">Feuil1!$A$2:$A$13</definedName>
    <definedName name="Couleur">Feuil1!$K$31:$K$40</definedName>
    <definedName name="Equipement">Equipements!$A$63:$A$277</definedName>
    <definedName name="Langues">Feuil1!$A$39:$A$55</definedName>
    <definedName name="Niveau">Feuil1!$F$12:$F$31</definedName>
    <definedName name="Poids">Feuil1!$D$28:$D$72</definedName>
    <definedName name="Races">Feuil1!$O$2:$O$27</definedName>
    <definedName name="Specialisation">Feuil1!$B$2:$M$9</definedName>
    <definedName name="trace">'Feuille de personnage'!$E$4</definedName>
    <definedName name="Type">Feuil1!$L$31:$L$40</definedName>
    <definedName name="_xlnm.Print_Area" localSheetId="0">'Feuille de personnage'!$A$1:$AR$197</definedName>
  </definedNames>
  <calcPr calcId="145621"/>
</workbook>
</file>

<file path=xl/calcChain.xml><?xml version="1.0" encoding="utf-8"?>
<calcChain xmlns="http://schemas.openxmlformats.org/spreadsheetml/2006/main">
  <c r="K50" i="5" l="1"/>
  <c r="X3" i="5"/>
  <c r="W3" i="5"/>
  <c r="V3" i="5"/>
  <c r="U3" i="5"/>
  <c r="T3" i="5"/>
  <c r="K46" i="5"/>
  <c r="AH42" i="5"/>
  <c r="AG42" i="5"/>
  <c r="AF42" i="5"/>
  <c r="AE42" i="5"/>
  <c r="AD42" i="5"/>
  <c r="AH41" i="5"/>
  <c r="AG41" i="5"/>
  <c r="AF41" i="5"/>
  <c r="AE41" i="5"/>
  <c r="AD41" i="5"/>
  <c r="AH40" i="5"/>
  <c r="AG40" i="5"/>
  <c r="AF40" i="5"/>
  <c r="AE40" i="5"/>
  <c r="AD40" i="5"/>
  <c r="AH39" i="5"/>
  <c r="AG39" i="5"/>
  <c r="AF39" i="5"/>
  <c r="AE39" i="5"/>
  <c r="AD39" i="5"/>
  <c r="AH38" i="5"/>
  <c r="AG38" i="5"/>
  <c r="AF38" i="5"/>
  <c r="AE38" i="5"/>
  <c r="AD38" i="5"/>
  <c r="AH36" i="5"/>
  <c r="AG36" i="5"/>
  <c r="AF36" i="5"/>
  <c r="AE36" i="5"/>
  <c r="AD36" i="5"/>
  <c r="AH35" i="5"/>
  <c r="AG35" i="5"/>
  <c r="AF35" i="5"/>
  <c r="AE35" i="5"/>
  <c r="AD35" i="5"/>
  <c r="AH34" i="5"/>
  <c r="AG34" i="5"/>
  <c r="AF34" i="5"/>
  <c r="AE34" i="5"/>
  <c r="AD34" i="5"/>
  <c r="AH33" i="5"/>
  <c r="AG33" i="5"/>
  <c r="AF33" i="5"/>
  <c r="AE33" i="5"/>
  <c r="AD33" i="5"/>
  <c r="AH31" i="5"/>
  <c r="AG31" i="5"/>
  <c r="AF31" i="5"/>
  <c r="AE31" i="5"/>
  <c r="AD31" i="5"/>
  <c r="AH30" i="5"/>
  <c r="AG30" i="5"/>
  <c r="AF30" i="5"/>
  <c r="AE30" i="5"/>
  <c r="AD30" i="5"/>
  <c r="AH29" i="5"/>
  <c r="AG29" i="5"/>
  <c r="AF29" i="5"/>
  <c r="AE29" i="5"/>
  <c r="AD29" i="5"/>
  <c r="AH26" i="5"/>
  <c r="AG26" i="5"/>
  <c r="AF26" i="5"/>
  <c r="AE26" i="5"/>
  <c r="AD26" i="5"/>
  <c r="AH25" i="5"/>
  <c r="AG25" i="5"/>
  <c r="AF25" i="5"/>
  <c r="AE25" i="5"/>
  <c r="AD25" i="5"/>
  <c r="AH24" i="5"/>
  <c r="AG24" i="5"/>
  <c r="AF24" i="5"/>
  <c r="AE24" i="5"/>
  <c r="AD24" i="5"/>
  <c r="AH23" i="5"/>
  <c r="AG23" i="5"/>
  <c r="AF23" i="5"/>
  <c r="AE23" i="5"/>
  <c r="AD23" i="5"/>
  <c r="AH22" i="5"/>
  <c r="AG22" i="5"/>
  <c r="AF22" i="5"/>
  <c r="AE22" i="5"/>
  <c r="AD22" i="5"/>
  <c r="AH21" i="5"/>
  <c r="AG21" i="5"/>
  <c r="AF21" i="5"/>
  <c r="AE21" i="5"/>
  <c r="AD21" i="5"/>
  <c r="AH20" i="5"/>
  <c r="AG20" i="5"/>
  <c r="AF20" i="5"/>
  <c r="AE20" i="5"/>
  <c r="AD20" i="5"/>
  <c r="AH18" i="5"/>
  <c r="AG18" i="5"/>
  <c r="AF18" i="5"/>
  <c r="AE18" i="5"/>
  <c r="AD18" i="5"/>
  <c r="AH17" i="5"/>
  <c r="AG17" i="5"/>
  <c r="AF17" i="5"/>
  <c r="AE17" i="5"/>
  <c r="AD17" i="5"/>
  <c r="AH16" i="5"/>
  <c r="AG16" i="5"/>
  <c r="AF16" i="5"/>
  <c r="AE16" i="5"/>
  <c r="AD16" i="5"/>
  <c r="AH15" i="5"/>
  <c r="AG15" i="5"/>
  <c r="AF15" i="5"/>
  <c r="AE15" i="5"/>
  <c r="AD15" i="5"/>
  <c r="AH14" i="5"/>
  <c r="AG14" i="5"/>
  <c r="AF14" i="5"/>
  <c r="AE14" i="5"/>
  <c r="AD14" i="5"/>
  <c r="AH12" i="5"/>
  <c r="AG12" i="5"/>
  <c r="AF12" i="5"/>
  <c r="AE12" i="5"/>
  <c r="AD12" i="5"/>
  <c r="AH11" i="5"/>
  <c r="AG11" i="5"/>
  <c r="AF11" i="5"/>
  <c r="AE11" i="5"/>
  <c r="AD11" i="5"/>
  <c r="AH9" i="5"/>
  <c r="AG9" i="5"/>
  <c r="AF9" i="5"/>
  <c r="AE9" i="5"/>
  <c r="AD9" i="5"/>
  <c r="AH8" i="5"/>
  <c r="AG8" i="5"/>
  <c r="AF8" i="5"/>
  <c r="AE8" i="5"/>
  <c r="AD8" i="5"/>
  <c r="AH7" i="5"/>
  <c r="AG7" i="5"/>
  <c r="AF7" i="5"/>
  <c r="AE7" i="5"/>
  <c r="AD7" i="5"/>
  <c r="AH6" i="5"/>
  <c r="AG6" i="5"/>
  <c r="AF6" i="5"/>
  <c r="AE6" i="5"/>
  <c r="AD6" i="5"/>
  <c r="AH5" i="5"/>
  <c r="AG5" i="5"/>
  <c r="AF5" i="5"/>
  <c r="AE5" i="5"/>
  <c r="AD5" i="5"/>
  <c r="AH4" i="5"/>
  <c r="AG4" i="5"/>
  <c r="AF4" i="5"/>
  <c r="AE4" i="5"/>
  <c r="AD4" i="5"/>
  <c r="AH3" i="5"/>
  <c r="AG3" i="5"/>
  <c r="AF3" i="5"/>
  <c r="AE3" i="5"/>
  <c r="AD3" i="5"/>
  <c r="AC42" i="5"/>
  <c r="AB42" i="5"/>
  <c r="AA42" i="5"/>
  <c r="Z42" i="5"/>
  <c r="Y42" i="5"/>
  <c r="AC41" i="5"/>
  <c r="AB41" i="5"/>
  <c r="AA41" i="5"/>
  <c r="Z41" i="5"/>
  <c r="Y41" i="5"/>
  <c r="AC40" i="5"/>
  <c r="AB40" i="5"/>
  <c r="AA40" i="5"/>
  <c r="Z40" i="5"/>
  <c r="Y40" i="5"/>
  <c r="AC39" i="5"/>
  <c r="AB39" i="5"/>
  <c r="AA39" i="5"/>
  <c r="Z39" i="5"/>
  <c r="Y39" i="5"/>
  <c r="AC38" i="5"/>
  <c r="AB38" i="5"/>
  <c r="AA38" i="5"/>
  <c r="Z38" i="5"/>
  <c r="Y38" i="5"/>
  <c r="AC36" i="5"/>
  <c r="AB36" i="5"/>
  <c r="AA36" i="5"/>
  <c r="Z36" i="5"/>
  <c r="Y36" i="5"/>
  <c r="AC35" i="5"/>
  <c r="AB35" i="5"/>
  <c r="AA35" i="5"/>
  <c r="Z35" i="5"/>
  <c r="Y35" i="5"/>
  <c r="Y31" i="5"/>
  <c r="AC34" i="5"/>
  <c r="AB34" i="5"/>
  <c r="AA34" i="5"/>
  <c r="Z34" i="5"/>
  <c r="Y34" i="5"/>
  <c r="AC33" i="5"/>
  <c r="AB33" i="5"/>
  <c r="AA33" i="5"/>
  <c r="Z33" i="5"/>
  <c r="Y33" i="5"/>
  <c r="AC31" i="5"/>
  <c r="AB31" i="5"/>
  <c r="AA31" i="5"/>
  <c r="Z31" i="5"/>
  <c r="Y4" i="5"/>
  <c r="AC7" i="5"/>
  <c r="AB7" i="5"/>
  <c r="AA7" i="5"/>
  <c r="Z7" i="5"/>
  <c r="Y7" i="5"/>
  <c r="AC9" i="5"/>
  <c r="AB9" i="5"/>
  <c r="AA9" i="5"/>
  <c r="Z9" i="5"/>
  <c r="Y9" i="5"/>
  <c r="AC8" i="5"/>
  <c r="AB8" i="5"/>
  <c r="AA8" i="5"/>
  <c r="Z8" i="5"/>
  <c r="Y8" i="5"/>
  <c r="AC6" i="5"/>
  <c r="AB6" i="5"/>
  <c r="AA6" i="5"/>
  <c r="Z6" i="5"/>
  <c r="Y6" i="5"/>
  <c r="AC4" i="5"/>
  <c r="AB4" i="5"/>
  <c r="Z4" i="5"/>
  <c r="AA4" i="5"/>
  <c r="X41" i="5"/>
  <c r="W41" i="5"/>
  <c r="V41" i="5"/>
  <c r="U41" i="5"/>
  <c r="T41" i="5"/>
  <c r="X42" i="5"/>
  <c r="W42" i="5"/>
  <c r="V42" i="5"/>
  <c r="U42" i="5"/>
  <c r="T42" i="5"/>
  <c r="X40" i="5"/>
  <c r="W40" i="5"/>
  <c r="V40" i="5"/>
  <c r="U40" i="5"/>
  <c r="T40" i="5"/>
  <c r="X39" i="5"/>
  <c r="W39" i="5"/>
  <c r="V39" i="5"/>
  <c r="U39" i="5"/>
  <c r="T39" i="5"/>
  <c r="X38" i="5"/>
  <c r="W38" i="5"/>
  <c r="V38" i="5"/>
  <c r="U38" i="5"/>
  <c r="T38" i="5"/>
  <c r="X35" i="5"/>
  <c r="W35" i="5"/>
  <c r="V35" i="5"/>
  <c r="U35" i="5"/>
  <c r="T35" i="5"/>
  <c r="X34" i="5"/>
  <c r="W34" i="5"/>
  <c r="V34" i="5"/>
  <c r="U34" i="5"/>
  <c r="T34" i="5"/>
  <c r="X33" i="5"/>
  <c r="W33" i="5"/>
  <c r="V33" i="5"/>
  <c r="U33" i="5"/>
  <c r="T33" i="5"/>
  <c r="X31" i="5"/>
  <c r="W31" i="5"/>
  <c r="V31" i="5"/>
  <c r="U31" i="5"/>
  <c r="T31" i="5"/>
  <c r="X30" i="5"/>
  <c r="W30" i="5"/>
  <c r="V30" i="5"/>
  <c r="U30" i="5"/>
  <c r="T30" i="5"/>
  <c r="X29" i="5"/>
  <c r="W29" i="5"/>
  <c r="V29" i="5"/>
  <c r="U29" i="5"/>
  <c r="T29" i="5"/>
  <c r="X28" i="5"/>
  <c r="W28" i="5"/>
  <c r="V28" i="5"/>
  <c r="U28" i="5"/>
  <c r="T28" i="5"/>
  <c r="X27" i="5"/>
  <c r="W27" i="5"/>
  <c r="V27" i="5"/>
  <c r="U27" i="5"/>
  <c r="T27" i="5"/>
  <c r="X26" i="5"/>
  <c r="W26" i="5"/>
  <c r="V26" i="5"/>
  <c r="U26" i="5"/>
  <c r="T26" i="5"/>
  <c r="X25" i="5"/>
  <c r="W25" i="5"/>
  <c r="V25" i="5"/>
  <c r="U25" i="5"/>
  <c r="T25" i="5"/>
  <c r="X24" i="5"/>
  <c r="W24" i="5"/>
  <c r="V24" i="5"/>
  <c r="U24" i="5"/>
  <c r="T24" i="5"/>
  <c r="X23" i="5"/>
  <c r="W23" i="5"/>
  <c r="V23" i="5"/>
  <c r="U23" i="5"/>
  <c r="T23" i="5"/>
  <c r="X22" i="5"/>
  <c r="W22" i="5"/>
  <c r="V22" i="5"/>
  <c r="U22" i="5"/>
  <c r="T22" i="5"/>
  <c r="X21" i="5"/>
  <c r="W21" i="5"/>
  <c r="V21" i="5"/>
  <c r="U21" i="5"/>
  <c r="T21" i="5"/>
  <c r="X20" i="5"/>
  <c r="W20" i="5"/>
  <c r="V20" i="5"/>
  <c r="U20" i="5"/>
  <c r="T20" i="5"/>
  <c r="X19" i="5"/>
  <c r="W19" i="5"/>
  <c r="V19" i="5"/>
  <c r="U19" i="5"/>
  <c r="T19" i="5"/>
  <c r="X18" i="5"/>
  <c r="W18" i="5"/>
  <c r="V18" i="5"/>
  <c r="U18" i="5"/>
  <c r="T18" i="5"/>
  <c r="X17" i="5"/>
  <c r="W17" i="5"/>
  <c r="V17" i="5"/>
  <c r="U17" i="5"/>
  <c r="T17" i="5"/>
  <c r="X16" i="5"/>
  <c r="W16" i="5"/>
  <c r="V16" i="5"/>
  <c r="U16" i="5"/>
  <c r="T16" i="5"/>
  <c r="X15" i="5"/>
  <c r="W15" i="5"/>
  <c r="V15" i="5"/>
  <c r="U15" i="5"/>
  <c r="T15" i="5"/>
  <c r="X14" i="5"/>
  <c r="W14" i="5"/>
  <c r="V14" i="5"/>
  <c r="U14" i="5"/>
  <c r="T14" i="5"/>
  <c r="AF43" i="5" l="1"/>
  <c r="AG61" i="4" s="1"/>
  <c r="X12" i="5"/>
  <c r="W12" i="5"/>
  <c r="V12" i="5"/>
  <c r="U12" i="5"/>
  <c r="T12" i="5"/>
  <c r="X11" i="5"/>
  <c r="W11" i="5"/>
  <c r="V11" i="5"/>
  <c r="U11" i="5"/>
  <c r="T11" i="5"/>
  <c r="X10" i="5"/>
  <c r="W10" i="5"/>
  <c r="V10" i="5"/>
  <c r="U10" i="5"/>
  <c r="T10" i="5"/>
  <c r="X9" i="5"/>
  <c r="W9" i="5"/>
  <c r="V9" i="5"/>
  <c r="U9" i="5"/>
  <c r="T9" i="5"/>
  <c r="X8" i="5"/>
  <c r="W8" i="5"/>
  <c r="V8" i="5"/>
  <c r="U8" i="5"/>
  <c r="T8" i="5"/>
  <c r="Z43" i="5"/>
  <c r="X60" i="4" s="1"/>
  <c r="AA43" i="5"/>
  <c r="X61" i="4" s="1"/>
  <c r="AB43" i="5"/>
  <c r="X62" i="4" s="1"/>
  <c r="AC43" i="5"/>
  <c r="X63" i="4" s="1"/>
  <c r="X7" i="5"/>
  <c r="W7" i="5"/>
  <c r="V7" i="5"/>
  <c r="U7" i="5"/>
  <c r="T7" i="5"/>
  <c r="X6" i="5"/>
  <c r="W6" i="5"/>
  <c r="V6" i="5"/>
  <c r="U6" i="5"/>
  <c r="T6" i="5"/>
  <c r="X5" i="5"/>
  <c r="W5" i="5"/>
  <c r="V5" i="5"/>
  <c r="U5" i="5"/>
  <c r="T5" i="5"/>
  <c r="X4" i="5"/>
  <c r="W4" i="5"/>
  <c r="V4" i="5"/>
  <c r="U4" i="5"/>
  <c r="T4" i="5"/>
  <c r="S23" i="5"/>
  <c r="R23" i="5"/>
  <c r="Q23" i="5"/>
  <c r="P23" i="5"/>
  <c r="O23" i="5"/>
  <c r="S22" i="5"/>
  <c r="R22" i="5"/>
  <c r="Q22" i="5"/>
  <c r="P22" i="5"/>
  <c r="O22" i="5"/>
  <c r="S21" i="5"/>
  <c r="R21" i="5"/>
  <c r="Q21" i="5"/>
  <c r="P21" i="5"/>
  <c r="O21" i="5"/>
  <c r="S20" i="5"/>
  <c r="R20" i="5"/>
  <c r="Q20" i="5"/>
  <c r="P20" i="5"/>
  <c r="O20" i="5"/>
  <c r="S18" i="5"/>
  <c r="R18" i="5"/>
  <c r="Q18" i="5"/>
  <c r="P18" i="5"/>
  <c r="O18" i="5"/>
  <c r="S16" i="5"/>
  <c r="R16" i="5"/>
  <c r="Q16" i="5"/>
  <c r="P16" i="5"/>
  <c r="O16" i="5"/>
  <c r="S15" i="5"/>
  <c r="R15" i="5"/>
  <c r="Q15" i="5"/>
  <c r="P15" i="5"/>
  <c r="O15" i="5"/>
  <c r="S14" i="5"/>
  <c r="R14" i="5"/>
  <c r="Q14" i="5"/>
  <c r="P14" i="5"/>
  <c r="O14" i="5"/>
  <c r="S12" i="5"/>
  <c r="R12" i="5"/>
  <c r="Q12" i="5"/>
  <c r="P12" i="5"/>
  <c r="O12" i="5"/>
  <c r="S6" i="5"/>
  <c r="R6" i="5"/>
  <c r="Q6" i="5"/>
  <c r="P6" i="5"/>
  <c r="O6" i="5"/>
  <c r="S42" i="5"/>
  <c r="R42" i="5"/>
  <c r="Q42" i="5"/>
  <c r="P42" i="5"/>
  <c r="O42" i="5"/>
  <c r="S40" i="5"/>
  <c r="R40" i="5"/>
  <c r="Q40" i="5"/>
  <c r="P40" i="5"/>
  <c r="O40" i="5"/>
  <c r="S39" i="5"/>
  <c r="R39" i="5"/>
  <c r="Q39" i="5"/>
  <c r="P39" i="5"/>
  <c r="O39" i="5"/>
  <c r="S38" i="5"/>
  <c r="R38" i="5"/>
  <c r="Q38" i="5"/>
  <c r="P38" i="5"/>
  <c r="O38" i="5"/>
  <c r="S35" i="5"/>
  <c r="R35" i="5"/>
  <c r="Q35" i="5"/>
  <c r="P35" i="5"/>
  <c r="O35" i="5"/>
  <c r="S34" i="5"/>
  <c r="R34" i="5"/>
  <c r="Q34" i="5"/>
  <c r="P34" i="5"/>
  <c r="O34" i="5"/>
  <c r="S33" i="5"/>
  <c r="R33" i="5"/>
  <c r="Q33" i="5"/>
  <c r="P33" i="5"/>
  <c r="O33" i="5"/>
  <c r="S31" i="5"/>
  <c r="R31" i="5"/>
  <c r="Q31" i="5"/>
  <c r="P31" i="5"/>
  <c r="O31" i="5"/>
  <c r="S30" i="5"/>
  <c r="R30" i="5"/>
  <c r="Q30" i="5"/>
  <c r="P30" i="5"/>
  <c r="O30" i="5"/>
  <c r="S29" i="5"/>
  <c r="R29" i="5"/>
  <c r="Q29" i="5"/>
  <c r="P29" i="5"/>
  <c r="O29" i="5"/>
  <c r="S28" i="5"/>
  <c r="R28" i="5"/>
  <c r="Q28" i="5"/>
  <c r="P28" i="5"/>
  <c r="O28" i="5"/>
  <c r="S27" i="5"/>
  <c r="R27" i="5"/>
  <c r="Q27" i="5"/>
  <c r="P27" i="5"/>
  <c r="O27" i="5"/>
  <c r="S24" i="5"/>
  <c r="R24" i="5"/>
  <c r="Q24" i="5"/>
  <c r="P24" i="5"/>
  <c r="O24" i="5"/>
  <c r="S17" i="5"/>
  <c r="R17" i="5"/>
  <c r="Q17" i="5"/>
  <c r="P17" i="5"/>
  <c r="O17" i="5"/>
  <c r="S8" i="5"/>
  <c r="R8" i="5"/>
  <c r="Q8" i="5"/>
  <c r="P8" i="5"/>
  <c r="O8" i="5"/>
  <c r="S7" i="5"/>
  <c r="R7" i="5"/>
  <c r="Q7" i="5"/>
  <c r="P7" i="5"/>
  <c r="O7" i="5"/>
  <c r="S4" i="5"/>
  <c r="R4" i="5"/>
  <c r="Q4" i="5"/>
  <c r="P4" i="5"/>
  <c r="O4" i="5"/>
  <c r="S36" i="5"/>
  <c r="R36" i="5"/>
  <c r="Q36" i="5"/>
  <c r="P36" i="5"/>
  <c r="O36" i="5"/>
  <c r="S26" i="5"/>
  <c r="R26" i="5"/>
  <c r="Q26" i="5"/>
  <c r="P26" i="5"/>
  <c r="O26" i="5"/>
  <c r="S25" i="5"/>
  <c r="R25" i="5"/>
  <c r="Q25" i="5"/>
  <c r="P25" i="5"/>
  <c r="O25" i="5"/>
  <c r="S19" i="5"/>
  <c r="R19" i="5"/>
  <c r="Q19" i="5"/>
  <c r="P19" i="5"/>
  <c r="O19" i="5"/>
  <c r="S11" i="5"/>
  <c r="R11" i="5"/>
  <c r="Q11" i="5"/>
  <c r="P11" i="5"/>
  <c r="O11" i="5"/>
  <c r="S10" i="5"/>
  <c r="R10" i="5"/>
  <c r="Q10" i="5"/>
  <c r="P10" i="5"/>
  <c r="O10" i="5"/>
  <c r="S9" i="5"/>
  <c r="R9" i="5"/>
  <c r="Q9" i="5"/>
  <c r="P9" i="5"/>
  <c r="O9" i="5"/>
  <c r="S5" i="5"/>
  <c r="R5" i="5"/>
  <c r="Q5" i="5"/>
  <c r="P5" i="5"/>
  <c r="O5" i="5"/>
  <c r="S3" i="5"/>
  <c r="R3" i="5"/>
  <c r="Q3" i="5"/>
  <c r="P3" i="5"/>
  <c r="O3" i="5"/>
  <c r="T36" i="5"/>
  <c r="U36" i="5"/>
  <c r="V36" i="5"/>
  <c r="W36" i="5"/>
  <c r="X36" i="5"/>
  <c r="N40" i="5"/>
  <c r="N39" i="5"/>
  <c r="N38" i="5"/>
  <c r="N36" i="5"/>
  <c r="N35" i="5"/>
  <c r="N34" i="5"/>
  <c r="N33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2" i="5"/>
  <c r="N11" i="5"/>
  <c r="N10" i="5"/>
  <c r="N9" i="5"/>
  <c r="N8" i="5"/>
  <c r="N7" i="5"/>
  <c r="N6" i="5"/>
  <c r="N5" i="5"/>
  <c r="N4" i="5"/>
  <c r="M40" i="5"/>
  <c r="M39" i="5"/>
  <c r="M38" i="5"/>
  <c r="M36" i="5"/>
  <c r="M35" i="5"/>
  <c r="M34" i="5"/>
  <c r="M33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2" i="5"/>
  <c r="M11" i="5"/>
  <c r="M10" i="5"/>
  <c r="M9" i="5"/>
  <c r="M8" i="5"/>
  <c r="M7" i="5"/>
  <c r="M6" i="5"/>
  <c r="M5" i="5"/>
  <c r="M4" i="5"/>
  <c r="L40" i="5"/>
  <c r="L39" i="5"/>
  <c r="L38" i="5"/>
  <c r="L36" i="5"/>
  <c r="L35" i="5"/>
  <c r="L34" i="5"/>
  <c r="L33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2" i="5"/>
  <c r="L11" i="5"/>
  <c r="L10" i="5"/>
  <c r="L9" i="5"/>
  <c r="L8" i="5"/>
  <c r="L7" i="5"/>
  <c r="L6" i="5"/>
  <c r="L5" i="5"/>
  <c r="L4" i="5"/>
  <c r="Q43" i="5" l="1"/>
  <c r="U61" i="4" s="1"/>
  <c r="S43" i="5"/>
  <c r="U63" i="4" s="1"/>
  <c r="R43" i="5"/>
  <c r="U62" i="4" s="1"/>
  <c r="P43" i="5"/>
  <c r="U60" i="4" s="1"/>
  <c r="AG43" i="5"/>
  <c r="AG62" i="4" s="1"/>
  <c r="AH43" i="5"/>
  <c r="AG63" i="4" s="1"/>
  <c r="AD43" i="5"/>
  <c r="AG59" i="4" s="1"/>
  <c r="AE43" i="5"/>
  <c r="AG60" i="4" s="1"/>
  <c r="O43" i="5"/>
  <c r="U59" i="4" s="1"/>
  <c r="Y43" i="5"/>
  <c r="X59" i="4" s="1"/>
  <c r="W43" i="5"/>
  <c r="AC62" i="4" s="1"/>
  <c r="T43" i="5"/>
  <c r="AC59" i="4" s="1"/>
  <c r="X43" i="5"/>
  <c r="AC63" i="4" s="1"/>
  <c r="V43" i="5"/>
  <c r="AC61" i="4" s="1"/>
  <c r="U43" i="5"/>
  <c r="AC60" i="4" s="1"/>
  <c r="N3" i="5"/>
  <c r="M3" i="5"/>
  <c r="L3" i="5"/>
  <c r="L43" i="5" s="1"/>
  <c r="P61" i="4" s="1"/>
  <c r="N42" i="5"/>
  <c r="M42" i="5"/>
  <c r="L42" i="5"/>
  <c r="K42" i="5"/>
  <c r="K26" i="5"/>
  <c r="K40" i="5"/>
  <c r="K39" i="5"/>
  <c r="K38" i="5"/>
  <c r="K36" i="5"/>
  <c r="K35" i="5"/>
  <c r="K34" i="5"/>
  <c r="K33" i="5"/>
  <c r="K31" i="5"/>
  <c r="K30" i="5"/>
  <c r="K29" i="5"/>
  <c r="K28" i="5"/>
  <c r="K27" i="5"/>
  <c r="K25" i="5"/>
  <c r="K24" i="5"/>
  <c r="K23" i="5"/>
  <c r="K22" i="5"/>
  <c r="K21" i="5"/>
  <c r="K20" i="5"/>
  <c r="K19" i="5"/>
  <c r="K18" i="5"/>
  <c r="K17" i="5"/>
  <c r="K16" i="5"/>
  <c r="K15" i="5"/>
  <c r="K14" i="5"/>
  <c r="K12" i="5"/>
  <c r="K11" i="5"/>
  <c r="K10" i="5"/>
  <c r="K9" i="5"/>
  <c r="K8" i="5"/>
  <c r="K7" i="5"/>
  <c r="K6" i="5"/>
  <c r="K5" i="5"/>
  <c r="K4" i="5"/>
  <c r="K3" i="5"/>
  <c r="J39" i="5"/>
  <c r="J36" i="5"/>
  <c r="J35" i="5"/>
  <c r="J33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6" i="5"/>
  <c r="J15" i="5"/>
  <c r="J14" i="5"/>
  <c r="J12" i="5"/>
  <c r="J10" i="5"/>
  <c r="J11" i="5"/>
  <c r="J9" i="5"/>
  <c r="J5" i="5"/>
  <c r="J4" i="5"/>
  <c r="J40" i="5"/>
  <c r="J42" i="5"/>
  <c r="J38" i="5"/>
  <c r="J34" i="5"/>
  <c r="J31" i="5"/>
  <c r="J17" i="5"/>
  <c r="J8" i="5"/>
  <c r="J7" i="5"/>
  <c r="J6" i="5"/>
  <c r="J3" i="5"/>
  <c r="AQ24" i="4"/>
  <c r="AK24" i="4"/>
  <c r="AM23" i="4"/>
  <c r="K59" i="5"/>
  <c r="K58" i="5"/>
  <c r="K57" i="5"/>
  <c r="K56" i="5"/>
  <c r="K54" i="5"/>
  <c r="K53" i="5"/>
  <c r="K52" i="5"/>
  <c r="K51" i="5"/>
  <c r="K48" i="5"/>
  <c r="K47" i="5"/>
  <c r="AP22" i="4"/>
  <c r="J52" i="5"/>
  <c r="J51" i="5"/>
  <c r="J50" i="5"/>
  <c r="J48" i="5"/>
  <c r="J47" i="5"/>
  <c r="J46" i="5"/>
  <c r="J53" i="5"/>
  <c r="J54" i="5"/>
  <c r="J59" i="5"/>
  <c r="J58" i="5"/>
  <c r="J57" i="5"/>
  <c r="J56" i="5"/>
  <c r="I62" i="5"/>
  <c r="I61" i="5"/>
  <c r="I60" i="5"/>
  <c r="I59" i="5"/>
  <c r="I57" i="5"/>
  <c r="I56" i="5"/>
  <c r="I55" i="5"/>
  <c r="I54" i="5"/>
  <c r="I51" i="5"/>
  <c r="I49" i="5"/>
  <c r="K60" i="5" l="1"/>
  <c r="AF23" i="4" s="1"/>
  <c r="M43" i="5"/>
  <c r="P62" i="4" s="1"/>
  <c r="N43" i="5"/>
  <c r="P63" i="4" s="1"/>
  <c r="K43" i="5"/>
  <c r="P60" i="4" s="1"/>
  <c r="J43" i="5"/>
  <c r="P59" i="4" s="1"/>
  <c r="J60" i="5"/>
  <c r="AI22" i="4" s="1"/>
  <c r="A58" i="4"/>
  <c r="BS30" i="4" l="1"/>
  <c r="AG58" i="4" s="1"/>
  <c r="BQ30" i="4"/>
  <c r="U58" i="4" s="1"/>
  <c r="BB30" i="4"/>
  <c r="D14" i="6"/>
  <c r="D12" i="6"/>
  <c r="D11" i="6"/>
  <c r="D9" i="6"/>
  <c r="D8" i="6"/>
  <c r="D7" i="6"/>
  <c r="D5" i="6"/>
  <c r="D3" i="6"/>
  <c r="B7" i="6"/>
  <c r="B9" i="6"/>
  <c r="B10" i="6"/>
  <c r="H4" i="6"/>
  <c r="I4" i="6"/>
  <c r="J4" i="6"/>
  <c r="K4" i="6"/>
  <c r="H5" i="6"/>
  <c r="I5" i="6"/>
  <c r="J5" i="6"/>
  <c r="K5" i="6"/>
  <c r="H6" i="6"/>
  <c r="I6" i="6"/>
  <c r="J6" i="6"/>
  <c r="K6" i="6"/>
  <c r="H7" i="6"/>
  <c r="I7" i="6"/>
  <c r="J7" i="6"/>
  <c r="K7" i="6"/>
  <c r="H8" i="6"/>
  <c r="I8" i="6"/>
  <c r="J8" i="6"/>
  <c r="K8" i="6"/>
  <c r="H9" i="6"/>
  <c r="I9" i="6"/>
  <c r="J9" i="6"/>
  <c r="K9" i="6"/>
  <c r="H10" i="6"/>
  <c r="I10" i="6"/>
  <c r="J10" i="6"/>
  <c r="K10" i="6"/>
  <c r="H11" i="6"/>
  <c r="I11" i="6"/>
  <c r="J11" i="6"/>
  <c r="K11" i="6"/>
  <c r="H12" i="6"/>
  <c r="I12" i="6"/>
  <c r="J12" i="6"/>
  <c r="K12" i="6"/>
  <c r="H13" i="6"/>
  <c r="I13" i="6"/>
  <c r="J13" i="6"/>
  <c r="K13" i="6"/>
  <c r="H14" i="6"/>
  <c r="I14" i="6"/>
  <c r="J14" i="6"/>
  <c r="K14" i="6"/>
  <c r="G14" i="6"/>
  <c r="G13" i="6"/>
  <c r="G12" i="6"/>
  <c r="G11" i="6"/>
  <c r="G10" i="6"/>
  <c r="G9" i="6"/>
  <c r="G8" i="6"/>
  <c r="G7" i="6"/>
  <c r="G6" i="6"/>
  <c r="G5" i="6"/>
  <c r="G4" i="6"/>
  <c r="H3" i="6"/>
  <c r="I3" i="6"/>
  <c r="J3" i="6"/>
  <c r="K3" i="6"/>
  <c r="G3" i="6"/>
  <c r="K15" i="6" l="1"/>
  <c r="BB38" i="4" s="1"/>
  <c r="J15" i="6"/>
  <c r="BB33" i="4" s="1"/>
  <c r="I15" i="6"/>
  <c r="AB19" i="4" s="1"/>
  <c r="H15" i="6"/>
  <c r="AB17" i="4" s="1"/>
  <c r="G15" i="6"/>
  <c r="AB15" i="4" s="1"/>
  <c r="J22" i="4" s="1"/>
  <c r="AH38" i="4" l="1"/>
  <c r="AC38" i="4"/>
  <c r="M14" i="1"/>
  <c r="M18" i="1" s="1"/>
  <c r="M13" i="1"/>
  <c r="M17" i="1" s="1"/>
  <c r="L14" i="1"/>
  <c r="L13" i="1"/>
  <c r="K14" i="1"/>
  <c r="K18" i="1" s="1"/>
  <c r="K13" i="1"/>
  <c r="K17" i="1" s="1"/>
  <c r="M12" i="1"/>
  <c r="M16" i="1" s="1"/>
  <c r="L12" i="1"/>
  <c r="K12" i="1"/>
  <c r="J14" i="1"/>
  <c r="J18" i="1" s="1"/>
  <c r="J13" i="1"/>
  <c r="J17" i="1" s="1"/>
  <c r="J12" i="1"/>
  <c r="AC11" i="4" l="1"/>
  <c r="AG11" i="4"/>
  <c r="AE11" i="4"/>
  <c r="AA11" i="4"/>
  <c r="AB31" i="1"/>
  <c r="AB32" i="1"/>
  <c r="AA32" i="1"/>
  <c r="AA31" i="1"/>
  <c r="AB29" i="1"/>
  <c r="AA29" i="1"/>
  <c r="Z30" i="1"/>
  <c r="Z32" i="1"/>
  <c r="Y32" i="1"/>
  <c r="Z31" i="1"/>
  <c r="Z29" i="1"/>
  <c r="Y30" i="1"/>
  <c r="X30" i="1"/>
  <c r="X29" i="1"/>
  <c r="Y29" i="1"/>
  <c r="X32" i="1"/>
  <c r="W32" i="1"/>
  <c r="W30" i="1"/>
  <c r="W29" i="1"/>
  <c r="O66" i="1" l="1"/>
  <c r="O65" i="1"/>
  <c r="O64" i="1"/>
  <c r="O63" i="1"/>
  <c r="S32" i="1"/>
  <c r="S31" i="1"/>
  <c r="S30" i="1"/>
  <c r="S29" i="1"/>
  <c r="R29" i="1"/>
  <c r="R30" i="1"/>
  <c r="R31" i="1"/>
  <c r="R32" i="1"/>
  <c r="Q29" i="1"/>
  <c r="Q30" i="1"/>
  <c r="Q31" i="1"/>
  <c r="Q32" i="1"/>
  <c r="X31" i="1"/>
  <c r="Y31" i="1"/>
  <c r="W31" i="1"/>
  <c r="P32" i="1"/>
  <c r="P31" i="1"/>
  <c r="P30" i="1"/>
  <c r="P29" i="1"/>
  <c r="Q33" i="1" l="1"/>
  <c r="J24" i="4" s="1"/>
  <c r="BB23" i="4"/>
  <c r="AA7" i="4"/>
  <c r="B80" i="4"/>
  <c r="B82" i="4"/>
  <c r="B84" i="4"/>
  <c r="AA80" i="4"/>
  <c r="AA82" i="4"/>
  <c r="AA84" i="4"/>
  <c r="AA78" i="4"/>
  <c r="S78" i="4"/>
  <c r="B78" i="4"/>
  <c r="A35" i="1" l="1"/>
  <c r="A34" i="1"/>
  <c r="A33" i="1"/>
  <c r="A32" i="1"/>
  <c r="A30" i="1"/>
  <c r="A31" i="1"/>
  <c r="A36" i="1" l="1"/>
  <c r="BD12" i="4" s="1"/>
  <c r="A17" i="4"/>
  <c r="J7" i="4"/>
  <c r="L22" i="4"/>
  <c r="A24" i="4"/>
  <c r="A31" i="4"/>
  <c r="K16" i="1" s="1"/>
  <c r="V34" i="4"/>
  <c r="Z37" i="4"/>
  <c r="O22" i="4" s="1"/>
  <c r="A38" i="4"/>
  <c r="AN38" i="4"/>
  <c r="A45" i="4"/>
  <c r="A52" i="4"/>
  <c r="I50" i="5" l="1"/>
  <c r="I64" i="5"/>
  <c r="I53" i="5" s="1"/>
  <c r="J16" i="1"/>
  <c r="L16" i="1"/>
  <c r="L17" i="1"/>
  <c r="L18" i="1"/>
  <c r="Q7" i="4"/>
  <c r="AQ14" i="4"/>
  <c r="R41" i="4" s="1"/>
  <c r="R46" i="4"/>
  <c r="Q22" i="4"/>
  <c r="R54" i="4"/>
  <c r="R31" i="4"/>
  <c r="R30" i="4"/>
  <c r="G18" i="4"/>
  <c r="R40" i="4" l="1"/>
  <c r="R28" i="4"/>
  <c r="R29" i="4"/>
  <c r="I63" i="5"/>
  <c r="AM22" i="4" s="1"/>
  <c r="V22" i="4" s="1"/>
  <c r="R32" i="4"/>
  <c r="R44" i="4"/>
  <c r="R50" i="4"/>
  <c r="R53" i="4"/>
  <c r="R48" i="4"/>
  <c r="R33" i="4"/>
  <c r="R47" i="4"/>
  <c r="R38" i="4"/>
  <c r="R52" i="4"/>
  <c r="R42" i="4"/>
  <c r="R45" i="4"/>
  <c r="R37" i="4"/>
  <c r="R51" i="4"/>
  <c r="R43" i="4"/>
  <c r="R39" i="4"/>
  <c r="R49" i="4"/>
  <c r="G15" i="4" s="1"/>
  <c r="AG28" i="4"/>
</calcChain>
</file>

<file path=xl/sharedStrings.xml><?xml version="1.0" encoding="utf-8"?>
<sst xmlns="http://schemas.openxmlformats.org/spreadsheetml/2006/main" count="1686" uniqueCount="977">
  <si>
    <t>NOTES</t>
  </si>
  <si>
    <t>Dégâts</t>
  </si>
  <si>
    <t>Bonus Atq</t>
  </si>
  <si>
    <t>CHA</t>
  </si>
  <si>
    <t>SAG</t>
  </si>
  <si>
    <t>INT</t>
  </si>
  <si>
    <t>CON</t>
  </si>
  <si>
    <t>DEX</t>
  </si>
  <si>
    <t>FOR</t>
  </si>
  <si>
    <t>Vitesse</t>
  </si>
  <si>
    <t>PV Max / Courant</t>
  </si>
  <si>
    <t>CA</t>
  </si>
  <si>
    <t>Type/Nom</t>
  </si>
  <si>
    <t>COMPAGNON ANIMAL</t>
  </si>
  <si>
    <t>Poids</t>
  </si>
  <si>
    <t>Qté</t>
  </si>
  <si>
    <t>TRESORS</t>
  </si>
  <si>
    <t>AUTRES EQUIP.</t>
  </si>
  <si>
    <t>ANTECEDENTS / ALLIES &amp; ORGANISATIONS</t>
  </si>
  <si>
    <t>Notes</t>
  </si>
  <si>
    <t>Action</t>
  </si>
  <si>
    <t>Effet</t>
  </si>
  <si>
    <t>Utilisées</t>
  </si>
  <si>
    <t>Réserve</t>
  </si>
  <si>
    <t>Nom</t>
  </si>
  <si>
    <t>CAPACITES - DONS</t>
  </si>
  <si>
    <r>
      <t xml:space="preserve">Capacité de </t>
    </r>
    <r>
      <rPr>
        <b/>
        <i/>
        <sz val="11"/>
        <rFont val="Eras Medium ITC"/>
        <family val="2"/>
      </rPr>
      <t>background</t>
    </r>
  </si>
  <si>
    <t>Marques distinctives</t>
  </si>
  <si>
    <t>Défaut</t>
  </si>
  <si>
    <t>Yeux</t>
  </si>
  <si>
    <t>Cheveux</t>
  </si>
  <si>
    <t>Lien</t>
  </si>
  <si>
    <t>Peau</t>
  </si>
  <si>
    <t>Idéal</t>
  </si>
  <si>
    <t>Taille</t>
  </si>
  <si>
    <t>Age</t>
  </si>
  <si>
    <t>Trait</t>
  </si>
  <si>
    <t>PERSONNALITE</t>
  </si>
  <si>
    <t>Sexe</t>
  </si>
  <si>
    <t>APPARENCE PHYSIQUE</t>
  </si>
  <si>
    <t>/</t>
  </si>
  <si>
    <t>Propriétés</t>
  </si>
  <si>
    <t>Portée</t>
  </si>
  <si>
    <t>Type</t>
  </si>
  <si>
    <t>Bonus</t>
  </si>
  <si>
    <t>Carac.</t>
  </si>
  <si>
    <t>ATTAQUES &amp; SORTS</t>
  </si>
  <si>
    <t>Valeur</t>
  </si>
  <si>
    <t>Persuasion (CHA)</t>
  </si>
  <si>
    <r>
      <t xml:space="preserve">Représentation </t>
    </r>
    <r>
      <rPr>
        <sz val="10"/>
        <color theme="1"/>
        <rFont val="Eras Medium ITC"/>
        <family val="2"/>
      </rPr>
      <t>(CHA)</t>
    </r>
  </si>
  <si>
    <t>Intimidation (CHA)</t>
  </si>
  <si>
    <t>Tromperie (CHA)</t>
  </si>
  <si>
    <t>Survie (SAG)</t>
  </si>
  <si>
    <t>Perception (SAG)</t>
  </si>
  <si>
    <t>Médecine (SAG)</t>
  </si>
  <si>
    <t>Intuition (SAG)</t>
  </si>
  <si>
    <t>Dressage (SAG)</t>
  </si>
  <si>
    <t>Religion (INT)</t>
  </si>
  <si>
    <t>Nature (INT)</t>
  </si>
  <si>
    <t>Investigation (INT)</t>
  </si>
  <si>
    <t>Histoire (INT)</t>
  </si>
  <si>
    <t>Arcanes (INT)</t>
  </si>
  <si>
    <t>EQUIPEMENT PORTE</t>
  </si>
  <si>
    <t>Discrétion (DEX)</t>
  </si>
  <si>
    <t>Vitesse : 1 case</t>
  </si>
  <si>
    <t>Vitesse : -4 cases *</t>
  </si>
  <si>
    <t>Vitesse : -2 cases</t>
  </si>
  <si>
    <t>Escamotage (DEX)</t>
  </si>
  <si>
    <t>Acrobaties (DEX)</t>
  </si>
  <si>
    <t>Soulever</t>
  </si>
  <si>
    <t>Très encombré</t>
  </si>
  <si>
    <t>Encombré</t>
  </si>
  <si>
    <t>POIDS PORTE</t>
  </si>
  <si>
    <t>Athlétisme (FOR)</t>
  </si>
  <si>
    <t>Expertise (Roublard)</t>
  </si>
  <si>
    <t>Maitrises</t>
  </si>
  <si>
    <t>* : Désavantage jets impliquant For/Dex/Con</t>
  </si>
  <si>
    <t>COMPETENCES</t>
  </si>
  <si>
    <t>EPO</t>
  </si>
  <si>
    <t>Platine</t>
  </si>
  <si>
    <t>Or</t>
  </si>
  <si>
    <t>Electrum</t>
  </si>
  <si>
    <t>Argent</t>
  </si>
  <si>
    <t>Cuivre</t>
  </si>
  <si>
    <t>RICHESSE</t>
  </si>
  <si>
    <t>Charisme</t>
  </si>
  <si>
    <t>Sagesse</t>
  </si>
  <si>
    <t>Intelligence</t>
  </si>
  <si>
    <t>Echecs</t>
  </si>
  <si>
    <t>Constitution</t>
  </si>
  <si>
    <t>CONDITIONS</t>
  </si>
  <si>
    <t>Dextérité</t>
  </si>
  <si>
    <t>Succès</t>
  </si>
  <si>
    <t>Force</t>
  </si>
  <si>
    <t>Sauv. vs mort</t>
  </si>
  <si>
    <t>POINTS DE VIE MAX</t>
  </si>
  <si>
    <t>POINTS DE VIE TEMPORAIRES</t>
  </si>
  <si>
    <t>POINTS DE VIE ACTUELS</t>
  </si>
  <si>
    <t>JETS DE SAUVEGARDE</t>
  </si>
  <si>
    <t>Bonus divers</t>
  </si>
  <si>
    <t>Bonus magique</t>
  </si>
  <si>
    <t>Bouclier</t>
  </si>
  <si>
    <t>VISION &amp; SENS</t>
  </si>
  <si>
    <t>-</t>
  </si>
  <si>
    <t>Discrétion</t>
  </si>
  <si>
    <t>Légère</t>
  </si>
  <si>
    <t>For min</t>
  </si>
  <si>
    <t>Armure portée</t>
  </si>
  <si>
    <t>CLASSE D'ARMURE</t>
  </si>
  <si>
    <t>Modifiée</t>
  </si>
  <si>
    <t>Base</t>
  </si>
  <si>
    <t>VITESSE (mètres)</t>
  </si>
  <si>
    <t>Outils</t>
  </si>
  <si>
    <t>INITIATIVE</t>
  </si>
  <si>
    <t>Armes</t>
  </si>
  <si>
    <t>Boucliers</t>
  </si>
  <si>
    <t>Armures</t>
  </si>
  <si>
    <t>PERCEPTION PASSIVE</t>
  </si>
  <si>
    <t>BONUS DE MAITRISE</t>
  </si>
  <si>
    <t>MAITRISES</t>
  </si>
  <si>
    <t>INSPIRATION</t>
  </si>
  <si>
    <t>D12</t>
  </si>
  <si>
    <t>D10</t>
  </si>
  <si>
    <t>D8</t>
  </si>
  <si>
    <t>D6</t>
  </si>
  <si>
    <t>DES DE VIE</t>
  </si>
  <si>
    <t>Niveau</t>
  </si>
  <si>
    <t>Spécialisation</t>
  </si>
  <si>
    <t>Classe</t>
  </si>
  <si>
    <t>LANGUES CONNUES</t>
  </si>
  <si>
    <t>PX</t>
  </si>
  <si>
    <t>NIVEAU TOTAL</t>
  </si>
  <si>
    <t>DIVINITE</t>
  </si>
  <si>
    <t>ALIGNEMENT</t>
  </si>
  <si>
    <t>BACKGROUND</t>
  </si>
  <si>
    <t>RACE</t>
  </si>
  <si>
    <t>JOUEUR</t>
  </si>
  <si>
    <t>PERSONNAGE</t>
  </si>
  <si>
    <t>Points de caractéristiques restant</t>
  </si>
  <si>
    <t>Classes</t>
  </si>
  <si>
    <t>Barbare</t>
  </si>
  <si>
    <t>Barde</t>
  </si>
  <si>
    <t>Clerc</t>
  </si>
  <si>
    <t>Druide</t>
  </si>
  <si>
    <t>Ensorceleur</t>
  </si>
  <si>
    <t>Guerrier</t>
  </si>
  <si>
    <t>Magicien</t>
  </si>
  <si>
    <t>Moine</t>
  </si>
  <si>
    <t>Paladin</t>
  </si>
  <si>
    <t>Rôdeur</t>
  </si>
  <si>
    <t>Roublard</t>
  </si>
  <si>
    <t>Sorcier</t>
  </si>
  <si>
    <t>Races</t>
  </si>
  <si>
    <t>Elfe</t>
  </si>
  <si>
    <t>Humain</t>
  </si>
  <si>
    <t>Nain</t>
  </si>
  <si>
    <t>Demi-Elfe</t>
  </si>
  <si>
    <t>Demi-Orque</t>
  </si>
  <si>
    <t>Drakéide</t>
  </si>
  <si>
    <t>Gnome</t>
  </si>
  <si>
    <t>Tieffelin</t>
  </si>
  <si>
    <t>Aarakocra</t>
  </si>
  <si>
    <t>Génasi</t>
  </si>
  <si>
    <t>Gnome des Profondeurs</t>
  </si>
  <si>
    <t>Goliath</t>
  </si>
  <si>
    <t>Neutre</t>
  </si>
  <si>
    <t>alignements</t>
  </si>
  <si>
    <t>Halfelin</t>
  </si>
  <si>
    <t>Carac</t>
  </si>
  <si>
    <t>Méthode standard: 15, 14, 13, 12, 10 et 8 à placer dans les caractéristiques. Sinon…</t>
  </si>
  <si>
    <t>Haut-Elfe</t>
  </si>
  <si>
    <t>Elfe des Bois</t>
  </si>
  <si>
    <t>Elfe Noir - Drow</t>
  </si>
  <si>
    <t>Halfelin Pied-Léger</t>
  </si>
  <si>
    <t>Halfelin Corpulent</t>
  </si>
  <si>
    <t>Nain des Collines</t>
  </si>
  <si>
    <t>Nain des Montagnes</t>
  </si>
  <si>
    <t>Gnome des Forets</t>
  </si>
  <si>
    <t>Gnome des Roches</t>
  </si>
  <si>
    <t>Génasi de L'Air</t>
  </si>
  <si>
    <t>Génasi de la Terre</t>
  </si>
  <si>
    <t>Génasi du Feu</t>
  </si>
  <si>
    <t>Génasi de L'Eau</t>
  </si>
  <si>
    <t>Loyal Bon</t>
  </si>
  <si>
    <t>Chaotique Bon</t>
  </si>
  <si>
    <t>Loyal Neutre</t>
  </si>
  <si>
    <t>Loyal Mauvais</t>
  </si>
  <si>
    <t>Neutre Bon</t>
  </si>
  <si>
    <t>Chaotique Neutre</t>
  </si>
  <si>
    <t>Neutre Mauvais</t>
  </si>
  <si>
    <t>Chaotique Mauvais</t>
  </si>
  <si>
    <t>pts restant</t>
  </si>
  <si>
    <t>Voie du Berserk</t>
  </si>
  <si>
    <t>Voie du Guerrier Totem</t>
  </si>
  <si>
    <t>Collège de la Connaissance</t>
  </si>
  <si>
    <t>Collège de la Valeur</t>
  </si>
  <si>
    <t>Domaine de la Vie</t>
  </si>
  <si>
    <t>Domaine de la Connaissance</t>
  </si>
  <si>
    <t>Domaine de la Duperie</t>
  </si>
  <si>
    <t>Domaine de la Guerre</t>
  </si>
  <si>
    <t>Domaine de la Lumière</t>
  </si>
  <si>
    <t>Domaine de la Nature</t>
  </si>
  <si>
    <t>Domaine de la Tempête</t>
  </si>
  <si>
    <t>Cercle de la terre</t>
  </si>
  <si>
    <t>Cercle de la lune</t>
  </si>
  <si>
    <t>Lignée draconique</t>
  </si>
  <si>
    <t>Magie sauvage</t>
  </si>
  <si>
    <t>Champion</t>
  </si>
  <si>
    <t>Maître d'armes</t>
  </si>
  <si>
    <t>Chevalier occultiste</t>
  </si>
  <si>
    <t>Ecole d'évocation</t>
  </si>
  <si>
    <t>École d'abjuration</t>
  </si>
  <si>
    <t>École de divination</t>
  </si>
  <si>
    <t>École d'enchantement</t>
  </si>
  <si>
    <t>École d'illusion</t>
  </si>
  <si>
    <t>École d'invocation</t>
  </si>
  <si>
    <t>École de nécromancie</t>
  </si>
  <si>
    <t>École de transmutation</t>
  </si>
  <si>
    <t>Voie de la paume</t>
  </si>
  <si>
    <t>Voie de l'ombre</t>
  </si>
  <si>
    <t>Voie des quatre éléments</t>
  </si>
  <si>
    <t>Serment de Dévotion</t>
  </si>
  <si>
    <t>Serment des Anciens</t>
  </si>
  <si>
    <t>Serment de Vengeance</t>
  </si>
  <si>
    <t>Chasseur</t>
  </si>
  <si>
    <t>Maître des bêtes</t>
  </si>
  <si>
    <t>Voleur</t>
  </si>
  <si>
    <t>Assassin</t>
  </si>
  <si>
    <t>Mystificateur profane</t>
  </si>
  <si>
    <t>Mastermind</t>
  </si>
  <si>
    <t>Pacte de la Chaîne</t>
  </si>
  <si>
    <t>Pacte de la Lame</t>
  </si>
  <si>
    <t>Pacte du Tome</t>
  </si>
  <si>
    <t>Spé/classe</t>
  </si>
  <si>
    <t>barbare</t>
  </si>
  <si>
    <t>Backgrounds</t>
  </si>
  <si>
    <t>Acolyte</t>
  </si>
  <si>
    <t>Amuseur</t>
  </si>
  <si>
    <t>Artisan de guilde</t>
  </si>
  <si>
    <t>Charlatan</t>
  </si>
  <si>
    <t>Criminel</t>
  </si>
  <si>
    <t>Ermite</t>
  </si>
  <si>
    <t>Etranger</t>
  </si>
  <si>
    <t>Gamin des rues</t>
  </si>
  <si>
    <t>Héros du peuple</t>
  </si>
  <si>
    <t>Marin</t>
  </si>
  <si>
    <t>Noble</t>
  </si>
  <si>
    <t>Sage</t>
  </si>
  <si>
    <t>Soldat</t>
  </si>
  <si>
    <t>Chasseur de primes urbain</t>
  </si>
  <si>
    <t>Tourmenté</t>
  </si>
  <si>
    <t>Voyageur</t>
  </si>
  <si>
    <t>Captif</t>
  </si>
  <si>
    <t>Idiot du village</t>
  </si>
  <si>
    <t>Langues</t>
  </si>
  <si>
    <t>Commun</t>
  </si>
  <si>
    <t>Elfique</t>
  </si>
  <si>
    <t>Géant</t>
  </si>
  <si>
    <t>Gobelin</t>
  </si>
  <si>
    <t>Orque</t>
  </si>
  <si>
    <t>Abyssal</t>
  </si>
  <si>
    <t>Céleste</t>
  </si>
  <si>
    <t>Commun des Profondeurs</t>
  </si>
  <si>
    <t>Draconique</t>
  </si>
  <si>
    <t>Infernal</t>
  </si>
  <si>
    <t>Primaire</t>
  </si>
  <si>
    <t>Profond</t>
  </si>
  <si>
    <t>Sylvestre</t>
  </si>
  <si>
    <t>Gnééééééé !?</t>
  </si>
  <si>
    <t>Serre</t>
  </si>
  <si>
    <t>1d4</t>
  </si>
  <si>
    <t>tranchant</t>
  </si>
  <si>
    <t>Traits Raciaux</t>
  </si>
  <si>
    <t>Vol</t>
  </si>
  <si>
    <t>15m</t>
  </si>
  <si>
    <t>sans armure ou en armure légére uniquement</t>
  </si>
  <si>
    <t>Vision dans le noir</t>
  </si>
  <si>
    <t>18m</t>
  </si>
  <si>
    <t>lumière faible comme lumière vive et le noir comme lumière faible en nuance de gris</t>
  </si>
  <si>
    <t>Endurance tenace</t>
  </si>
  <si>
    <t>Lorsque réduit à 0 PV, mais pas tué sur le coup, vous pouvez remonter à 1 PV 1x/jour</t>
  </si>
  <si>
    <t>Attaques sauvages</t>
  </si>
  <si>
    <t>Si coup critique, vous pouvez jeter l'un des dés de dégâts de l'arme une deuxième fois et l'ajouter aux dégâts supplémentaires du coup critique</t>
  </si>
  <si>
    <t>Héritage des Fées</t>
  </si>
  <si>
    <t>Avantage aux jets de sauvegarde contre les effets de charme et la magie ne peut pas vous endormir</t>
  </si>
  <si>
    <t>Transe</t>
  </si>
  <si>
    <t xml:space="preserve">Méditation profonde, restant à demi conscients, 4 heures par jour </t>
  </si>
  <si>
    <t>Camouflage de la nature</t>
  </si>
  <si>
    <t>Vous vous cacher dans une zone à visibilité réduite</t>
  </si>
  <si>
    <t>Vision dans le noir supérieure</t>
  </si>
  <si>
    <t>36m</t>
  </si>
  <si>
    <t>Sensibilité à la lumière du soleil</t>
  </si>
  <si>
    <t>Désavantage aux jets d'attaque et de Sagesse basés sur ​​la vue</t>
  </si>
  <si>
    <t>Lumières dansantes</t>
  </si>
  <si>
    <t>Souffle sans fin</t>
  </si>
  <si>
    <t>Vous pouvez retenir votre respiration indéfiniment tant que vous n’êtes pas incapable d'agir</t>
  </si>
  <si>
    <t>Lévitation</t>
  </si>
  <si>
    <t>Sort sur la Constitution sans compo 1x/jour</t>
  </si>
  <si>
    <t>Marche de la terre</t>
  </si>
  <si>
    <t>Pas de mouvement supplémentaire sur terrains difficiles</t>
  </si>
  <si>
    <t>Passage sans trace</t>
  </si>
  <si>
    <t>lumière faible comme lumière vive et le noir comme lumière faible en nuance de rouge</t>
  </si>
  <si>
    <t>Résistance au feu</t>
  </si>
  <si>
    <t>Flamme</t>
  </si>
  <si>
    <t>Amphibie</t>
  </si>
  <si>
    <t>Manipulation de l'eau</t>
  </si>
  <si>
    <t>Résistance à l'acide</t>
  </si>
  <si>
    <t>Nage</t>
  </si>
  <si>
    <t>9m</t>
  </si>
  <si>
    <t>Connaissance gnome</t>
  </si>
  <si>
    <t>Avantage aux jets de sauvegarde d'Intelligence, de Sagesse et de Charisme contre la magie</t>
  </si>
  <si>
    <t>Illusion mineure</t>
  </si>
  <si>
    <t>Parler avec les petits animaux</t>
  </si>
  <si>
    <t>A l'aide de sons et de gestes, vous pouvez communiquer des idées simples à des bêtes de taille P ou plus petite</t>
  </si>
  <si>
    <t>Ingénieur</t>
  </si>
  <si>
    <t>Si jet d'Intelligence (Histoire) en relation avec l'alchimie, des objets magiques ou des dispositifs technologiques alors maitrise x2</t>
  </si>
  <si>
    <t>Teint pierreux</t>
  </si>
  <si>
    <t>Vous avez l'avantage aux jets de Dextérité (Discrétion) pour vous cacher sur un terrain rocheux</t>
  </si>
  <si>
    <t>Endurance de la pierre</t>
  </si>
  <si>
    <t>1x après chaque repos -1d12+Mod Con aux dégats</t>
  </si>
  <si>
    <t>Puissamment bâtit</t>
  </si>
  <si>
    <t>Taille G pour le calcul de la capacité de charge ou le poids poussé, trainé ou soulever</t>
  </si>
  <si>
    <t>Montagnard</t>
  </si>
  <si>
    <t>Acclimaté à la haute altitude et aux climats froids</t>
  </si>
  <si>
    <t>Chanceux</t>
  </si>
  <si>
    <t>Si 1 aux jets d'attaque, de caractéristique ou de sauvegarde, relance possible 1 fois</t>
  </si>
  <si>
    <t>Vaillant</t>
  </si>
  <si>
    <t>Avantage aux jets de sauvegarde contre la peur</t>
  </si>
  <si>
    <t>Agilité halfeline</t>
  </si>
  <si>
    <t>Vous pouvez passer dans l'espace de toute créature d'une taille supérieure à la vôtre</t>
  </si>
  <si>
    <t>Résistance du corpulent</t>
  </si>
  <si>
    <t>Avantage aux jets de sauvegarde contre le poison et la résistance contre les dégâts de type poison</t>
  </si>
  <si>
    <t>Discrétion naturelle</t>
  </si>
  <si>
    <t>Vous pouvez tenter de vous cacher si vous vous trouvez derrière une créature d'une taille supérieure à la vôtre</t>
  </si>
  <si>
    <t>Résistance naine</t>
  </si>
  <si>
    <t>Avantage aux jets de sauvegarde contre le poison et obtenez la résistance contre les dégâts de type poison</t>
  </si>
  <si>
    <t>Connaissance de la pierre</t>
  </si>
  <si>
    <t>Si jet d'Intelligence en relation avec l'origine d'un travail lié à la pierre, considérez que vous maîtrisez la compétence Histoire et ajoutez le double de votre bonus de maîtrise</t>
  </si>
  <si>
    <t>Robustesse naine</t>
  </si>
  <si>
    <t>PV Max +1 par niveau</t>
  </si>
  <si>
    <t>Résistence infernale</t>
  </si>
  <si>
    <t>Résistance aux dégats de feu</t>
  </si>
  <si>
    <t>Couleur dragon</t>
  </si>
  <si>
    <t>Blanc</t>
  </si>
  <si>
    <t>Bleu</t>
  </si>
  <si>
    <t>Noir</t>
  </si>
  <si>
    <t>Rouge</t>
  </si>
  <si>
    <t>Vert</t>
  </si>
  <si>
    <t>Airain</t>
  </si>
  <si>
    <t>Bronze</t>
  </si>
  <si>
    <t>Froid</t>
  </si>
  <si>
    <t>Foudre</t>
  </si>
  <si>
    <t>Acide</t>
  </si>
  <si>
    <t>Feu</t>
  </si>
  <si>
    <t>Poison</t>
  </si>
  <si>
    <t>Cône de 4,50m (JdS de Dex)</t>
  </si>
  <si>
    <t>Cône de 4,50m (JdS de Con)</t>
  </si>
  <si>
    <t>Ligne de 1,50 x 9m (JdS de Dex)</t>
  </si>
  <si>
    <t>Arme</t>
  </si>
  <si>
    <t>/  27</t>
  </si>
  <si>
    <t>Commun, Aarakocra, Aérien</t>
  </si>
  <si>
    <t>Commun, Orque</t>
  </si>
  <si>
    <t>Commun, Draconique</t>
  </si>
  <si>
    <t>Commun, Elfe</t>
  </si>
  <si>
    <t>Commun, Elfe - Magie Drow</t>
  </si>
  <si>
    <t>Commun, primordial</t>
  </si>
  <si>
    <t>Commun, Gnome</t>
  </si>
  <si>
    <t>Commun, Gnome, Commun des profondeurs</t>
  </si>
  <si>
    <t>Commun, Gnome - Bricoleur</t>
  </si>
  <si>
    <t>Commun, Géant</t>
  </si>
  <si>
    <t>Commun, Halfelin</t>
  </si>
  <si>
    <t>Commun, Nain</t>
  </si>
  <si>
    <t>Commun, Infernal</t>
  </si>
  <si>
    <t>Dex +2 - Sag +1 - Maitrise: Athlétisme</t>
  </si>
  <si>
    <t>Cha +2 - +1 à 2 autres carac. - Maitrise: 2 compétences au choix - Langue: +1 au choix</t>
  </si>
  <si>
    <t>For +2 - Con +1 - Maitrise: Intimidation</t>
  </si>
  <si>
    <t>For +2 - Cha +1 - Arme de souffle</t>
  </si>
  <si>
    <t>Dex +2 - Maitrise: Perception</t>
  </si>
  <si>
    <t>Dex +2 - Sag +1 - Maitrise: Perception,épées, arcs</t>
  </si>
  <si>
    <t>Dex +2 - Cha +1 - Maitrise: Perception,rapières, épées courtes, arbalètes de poing - Magie Drow</t>
  </si>
  <si>
    <t>Con +2</t>
  </si>
  <si>
    <t>Con +2 - For +1</t>
  </si>
  <si>
    <t>Con +2 - Dex +1</t>
  </si>
  <si>
    <t>Con +2 - Sag +1 - Appeler le vague</t>
  </si>
  <si>
    <t>Con +2 - Int +1 - Atteindre le brasier</t>
  </si>
  <si>
    <t>Int +2</t>
  </si>
  <si>
    <t>Int +2 - Dex +1</t>
  </si>
  <si>
    <t>Int +2 - Con +1 - Bricoleur</t>
  </si>
  <si>
    <t>For +2 - Con +1 - Maitrise: Athlétisme</t>
  </si>
  <si>
    <t>Dex +2</t>
  </si>
  <si>
    <t>Dex +2 - Con +1</t>
  </si>
  <si>
    <t>Dex +2 - Cha +1</t>
  </si>
  <si>
    <t>Dex +2 - Int +1 - Maitrise: Perception, épées, arcs - Langue: +1 au choix - +1 sort mineur de magicien au choix</t>
  </si>
  <si>
    <t>Toutes les carac  +1 - Langue: +1 au choix</t>
  </si>
  <si>
    <t>Con +2 - Maitrise: Haches, haches d'armes, marteaux légers et de guerre, plus: outils de forgeron ou de brasseur ou de maçon</t>
  </si>
  <si>
    <t>Con +2 - Sag +1 - Maitrise: Haches, haches d'armes, marteaux légers et de guerre, plus: outils de forgeron ou de brasseur ou de maçon</t>
  </si>
  <si>
    <t>Con +2 - For +2 - Maitrise: Armures légères et intermédiaires, haches, haches d'armes, marteaux légers et de guerre, plus: outils de forgeron ou de brasseur ou de maçon</t>
  </si>
  <si>
    <t>Cha +2 - Int +1 - Héritage infernal</t>
  </si>
  <si>
    <t>Classe 1</t>
  </si>
  <si>
    <t>Classe 2</t>
  </si>
  <si>
    <t>Classe 3</t>
  </si>
  <si>
    <t>PdV</t>
  </si>
  <si>
    <t>Dé de Vie</t>
  </si>
  <si>
    <t>kg</t>
  </si>
  <si>
    <t>Dégât</t>
  </si>
  <si>
    <t>Prix</t>
  </si>
  <si>
    <t>Armes courantes de corps à corps</t>
  </si>
  <si>
    <t>Bâton</t>
  </si>
  <si>
    <t>1d6 contondant</t>
  </si>
  <si>
    <t>2 kg</t>
  </si>
  <si>
    <t>2 pa</t>
  </si>
  <si>
    <t>Versatile (1d8)</t>
  </si>
  <si>
    <t>Dague</t>
  </si>
  <si>
    <t>1d4 perforant</t>
  </si>
  <si>
    <t>500 g</t>
  </si>
  <si>
    <t>2 po</t>
  </si>
  <si>
    <t>Finesse, légère, lancer (portée 6 m/18 m)</t>
  </si>
  <si>
    <t>Gourdin</t>
  </si>
  <si>
    <t>1d4 contondant</t>
  </si>
  <si>
    <t>1 kg</t>
  </si>
  <si>
    <t>1 pa</t>
  </si>
  <si>
    <t>Hache</t>
  </si>
  <si>
    <t>1d6 tranchant</t>
  </si>
  <si>
    <t>5 po</t>
  </si>
  <si>
    <t>Légère, lancer (portée 6 m/18 m)</t>
  </si>
  <si>
    <t>Javeline</t>
  </si>
  <si>
    <t>1d6 perforant</t>
  </si>
  <si>
    <t>5 pa</t>
  </si>
  <si>
    <t>Lancer (portée 9 m/36 m)</t>
  </si>
  <si>
    <t>Lance</t>
  </si>
  <si>
    <t>1,5 kg</t>
  </si>
  <si>
    <t>1 po</t>
  </si>
  <si>
    <t>Lancer (portée 6 m/18 m), versatile (1d8)</t>
  </si>
  <si>
    <t>Marteau léger</t>
  </si>
  <si>
    <t>Masse d'armes</t>
  </si>
  <si>
    <t>Massue</t>
  </si>
  <si>
    <t>1d8 contondant</t>
  </si>
  <si>
    <t>5 kg</t>
  </si>
  <si>
    <t>À deux mains</t>
  </si>
  <si>
    <t>Serpe</t>
  </si>
  <si>
    <t>1d4 tranchant</t>
  </si>
  <si>
    <t>Armes courantes à distance</t>
  </si>
  <si>
    <t>Arbalète légère</t>
  </si>
  <si>
    <t>1d8 perforant</t>
  </si>
  <si>
    <t>2,5 kg</t>
  </si>
  <si>
    <t>25 po</t>
  </si>
  <si>
    <t>Munitions (portée 24 m/96 m), chargement, à deux mains</t>
  </si>
  <si>
    <t>Arc court</t>
  </si>
  <si>
    <t>Munitions (portée 24 m/96 m), à deux mains</t>
  </si>
  <si>
    <t>Fléchette</t>
  </si>
  <si>
    <t>100 g</t>
  </si>
  <si>
    <t>5 pc</t>
  </si>
  <si>
    <t>Finesse, lancer (portée 6 m/18 m)</t>
  </si>
  <si>
    <t>Fronde</t>
  </si>
  <si>
    <t>Munitions (portée 9 m/36 m)</t>
  </si>
  <si>
    <t>Armes de guerre de corps à corps</t>
  </si>
  <si>
    <t>Cimeterre</t>
  </si>
  <si>
    <t>Finesse, légère</t>
  </si>
  <si>
    <t>Coutille</t>
  </si>
  <si>
    <t>1d10 tranchant</t>
  </si>
  <si>
    <t>3 kg</t>
  </si>
  <si>
    <t>20 po</t>
  </si>
  <si>
    <t>Lourde, allonge, à deux mains</t>
  </si>
  <si>
    <t>Épée à deux mains</t>
  </si>
  <si>
    <t>2d6 tranchant</t>
  </si>
  <si>
    <t>50 po</t>
  </si>
  <si>
    <t>Lourde, à deux mains</t>
  </si>
  <si>
    <t>Épée courte</t>
  </si>
  <si>
    <t>10 po</t>
  </si>
  <si>
    <t>Épée longue</t>
  </si>
  <si>
    <t>1d8 tranchant</t>
  </si>
  <si>
    <t>15 po</t>
  </si>
  <si>
    <t>Versatile (1d10)</t>
  </si>
  <si>
    <t>Fléau d'armes</t>
  </si>
  <si>
    <t>Fouet</t>
  </si>
  <si>
    <t>Finesse, allonge</t>
  </si>
  <si>
    <t>Grande hache</t>
  </si>
  <si>
    <t>1d12 tranchant</t>
  </si>
  <si>
    <t>3,5 kg</t>
  </si>
  <si>
    <t>30 po</t>
  </si>
  <si>
    <t>Hache d'armes</t>
  </si>
  <si>
    <t>Hallebarde</t>
  </si>
  <si>
    <t>Lance d’arçon</t>
  </si>
  <si>
    <t>1d12 perforant</t>
  </si>
  <si>
    <t>Allonge, spécial</t>
  </si>
  <si>
    <t>Maillet</t>
  </si>
  <si>
    <t>2d6 contondant</t>
  </si>
  <si>
    <t>Marteau de guerre</t>
  </si>
  <si>
    <t>Morgenstern</t>
  </si>
  <si>
    <t>Pic de guerre</t>
  </si>
  <si>
    <t>1d8 perforant</t>
  </si>
  <si>
    <t>Pique</t>
  </si>
  <si>
    <t>1d10 perforant</t>
  </si>
  <si>
    <t>9 kg</t>
  </si>
  <si>
    <t>Rapière</t>
  </si>
  <si>
    <t>Finesse</t>
  </si>
  <si>
    <t>Trident</t>
  </si>
  <si>
    <t>Armes de guerre à distance</t>
  </si>
  <si>
    <t>Arbalète de poing</t>
  </si>
  <si>
    <t>75 po</t>
  </si>
  <si>
    <t>Munitions (portée 9 m/36 m), légère, chargement</t>
  </si>
  <si>
    <t>Arbalète lourde</t>
  </si>
  <si>
    <t>Munitions (portée 30 m/120 m), lourde, chargement, à deux mains</t>
  </si>
  <si>
    <t>Arc long</t>
  </si>
  <si>
    <t>Munitions (portée 45 m/180 m), lourde, à deux mains</t>
  </si>
  <si>
    <t>Filet</t>
  </si>
  <si>
    <t>Spécial, lancer (portée 1,50 m/ 4,50 m)</t>
  </si>
  <si>
    <t>Sarbacane</t>
  </si>
  <si>
    <t>1 perforant</t>
  </si>
  <si>
    <t>10 po </t>
  </si>
  <si>
    <t>Munitions (portée 7,50 m/30 m), chargement</t>
  </si>
  <si>
    <t>Armure</t>
  </si>
  <si>
    <t>Armure légère</t>
  </si>
  <si>
    <t>Armure matelassée</t>
  </si>
  <si>
    <t>11 + Mod.Dex</t>
  </si>
  <si>
    <t>Désavantage</t>
  </si>
  <si>
    <t>4 kg</t>
  </si>
  <si>
    <t>Armure de cuir</t>
  </si>
  <si>
    <t>Armure de cuir cloutée</t>
  </si>
  <si>
    <t>12 + Mod.Dex</t>
  </si>
  <si>
    <t>6,5 kg</t>
  </si>
  <si>
    <t>45 po</t>
  </si>
  <si>
    <t>Armure intermédiaire</t>
  </si>
  <si>
    <t>Armure de peau</t>
  </si>
  <si>
    <t>12 + Mod.Dex (max +2)</t>
  </si>
  <si>
    <t>6 kg</t>
  </si>
  <si>
    <t>Chemise de mailles</t>
  </si>
  <si>
    <t>13 + Mod.Dex (max +2)</t>
  </si>
  <si>
    <t>10 kg</t>
  </si>
  <si>
    <t>Armure d'écailles</t>
  </si>
  <si>
    <t>14 + Mod.Dex (max +2)</t>
  </si>
  <si>
    <t>22 kg</t>
  </si>
  <si>
    <t>Cuirasse</t>
  </si>
  <si>
    <t>400 po</t>
  </si>
  <si>
    <t>Armure à plaques</t>
  </si>
  <si>
    <t>15 + Mod.Dex (max +2)</t>
  </si>
  <si>
    <t>20 kg</t>
  </si>
  <si>
    <t>750 po</t>
  </si>
  <si>
    <t>Armure lourde</t>
  </si>
  <si>
    <t>Broigne</t>
  </si>
  <si>
    <t>Cotte de mailles</t>
  </si>
  <si>
    <t>For 13</t>
  </si>
  <si>
    <t>27 kg</t>
  </si>
  <si>
    <t>Clibanion</t>
  </si>
  <si>
    <t>For 15</t>
  </si>
  <si>
    <t>30 kg</t>
  </si>
  <si>
    <t>200 po</t>
  </si>
  <si>
    <t>Harnois</t>
  </si>
  <si>
    <t>32 kg</t>
  </si>
  <si>
    <t>1500 po</t>
  </si>
  <si>
    <t>Objet</t>
  </si>
  <si>
    <t>Acide (fiole)</t>
  </si>
  <si>
    <t>Antidote (fiole)</t>
  </si>
  <si>
    <t>Bélier portable</t>
  </si>
  <si>
    <t>4 po</t>
  </si>
  <si>
    <t>16 kg</t>
  </si>
  <si>
    <t>Billes (sac de 1000)</t>
  </si>
  <si>
    <t>Boite d'allume-feu</t>
  </si>
  <si>
    <t>Bougie</t>
  </si>
  <si>
    <t>1 pc</t>
  </si>
  <si>
    <t>Boulier</t>
  </si>
  <si>
    <t>Bourse</t>
  </si>
  <si>
    <t>Cadenas</t>
  </si>
  <si>
    <t>Carquois</t>
  </si>
  <si>
    <t>Chaîne (3 m)</t>
  </si>
  <si>
    <t>4,5 kg</t>
  </si>
  <si>
    <t>Chevalière</t>
  </si>
  <si>
    <t>Chausse-trappes (sac de 20)</t>
  </si>
  <si>
    <t>1 Kg</t>
  </si>
  <si>
    <t>Cire à cacheter</t>
  </si>
  <si>
    <t>Cloche</t>
  </si>
  <si>
    <t>Coffre</t>
  </si>
  <si>
    <t>11 kg</t>
  </si>
  <si>
    <t>Corde en chanvre (15 m)</t>
  </si>
  <si>
    <t>Corde en soie (15 m)</t>
  </si>
  <si>
    <t>Couverture</t>
  </si>
  <si>
    <t>Craie (un morceau)</t>
  </si>
  <si>
    <t>Eau bénite (flasque)</t>
  </si>
  <si>
    <t>Échelle (3 m)</t>
  </si>
  <si>
    <t>Encre (fiole)</t>
  </si>
  <si>
    <t>Étui à carreaux</t>
  </si>
  <si>
    <t>Étui à carte ou parchemin</t>
  </si>
  <si>
    <t>Feu grégeois (flasque)</t>
  </si>
  <si>
    <t>Fiole (10 cl)</t>
  </si>
  <si>
    <t>Flasque (50 cl)</t>
  </si>
  <si>
    <t>2 pc</t>
  </si>
  <si>
    <t>Focaliseur arcanique</t>
  </si>
  <si>
    <t>  Baguette</t>
  </si>
  <si>
    <t>  Bâton</t>
  </si>
  <si>
    <t>  Boule de cristal</t>
  </si>
  <si>
    <t>  Orbe</t>
  </si>
  <si>
    <t>  Sceptre</t>
  </si>
  <si>
    <t>Focaliseur druidique</t>
  </si>
  <si>
    <t>  Baguette d'if</t>
  </si>
  <si>
    <t>  Branche de gui</t>
  </si>
  <si>
    <t>  Totem</t>
  </si>
  <si>
    <t>Gamelle</t>
  </si>
  <si>
    <t>Gourde (pleine)</t>
  </si>
  <si>
    <t>Grappin</t>
  </si>
  <si>
    <t>Grimoire</t>
  </si>
  <si>
    <t>Habits de cérémonie</t>
  </si>
  <si>
    <t>Huile (flasque)</t>
  </si>
  <si>
    <t>Lampe</t>
  </si>
  <si>
    <t>Lanterne sourde</t>
  </si>
  <si>
    <t>Lanterne à capote</t>
  </si>
  <si>
    <t>Livre</t>
  </si>
  <si>
    <t>Longue-vue</t>
  </si>
  <si>
    <t>1000 po</t>
  </si>
  <si>
    <t>Loupe</t>
  </si>
  <si>
    <t>100 po</t>
  </si>
  <si>
    <t>Marteau</t>
  </si>
  <si>
    <t>Marteau de forgeron</t>
  </si>
  <si>
    <t>Matériel d’escalade</t>
  </si>
  <si>
    <t>Matériel de marchand</t>
  </si>
  <si>
    <t>Matériel de pêche</t>
  </si>
  <si>
    <t>Menottes</t>
  </si>
  <si>
    <t>Munition</t>
  </si>
  <si>
    <t>  Aiguilles de sarbacane (50)</t>
  </si>
  <si>
    <t>  Billes de fronde (20)</t>
  </si>
  <si>
    <t>4 pc</t>
  </si>
  <si>
    <t>750 g</t>
  </si>
  <si>
    <t>  Carreaux (20)</t>
  </si>
  <si>
    <t>  Flèches (20)</t>
  </si>
  <si>
    <t>Palan</t>
  </si>
  <si>
    <t>Papier (une feuille)</t>
  </si>
  <si>
    <t>Parchemin (une feuille)</t>
  </si>
  <si>
    <t>Parfum (fiole)</t>
  </si>
  <si>
    <t>Pelle</t>
  </si>
  <si>
    <t>Perche (3 m)</t>
  </si>
  <si>
    <t>Petit miroir en acier</t>
  </si>
  <si>
    <t>250 g</t>
  </si>
  <si>
    <t>Pied-de-biche</t>
  </si>
  <si>
    <t>Piège de chasse</t>
  </si>
  <si>
    <t>Pierre à aiguiser</t>
  </si>
  <si>
    <t>Pioche de mineur</t>
  </si>
  <si>
    <t>Piton</t>
  </si>
  <si>
    <t>Plume d’écriture</t>
  </si>
  <si>
    <t>Pointes en fer (10)</t>
  </si>
  <si>
    <t>Poison (fiole)</t>
  </si>
  <si>
    <t>Pot en fer</t>
  </si>
  <si>
    <t>Potion de soins</t>
  </si>
  <si>
    <t>Rations (1 jour)</t>
  </si>
  <si>
    <t>Sablier</t>
  </si>
  <si>
    <t>Sac</t>
  </si>
  <si>
    <t>Sac à dos</t>
  </si>
  <si>
    <t>Sac de couchage</t>
  </si>
  <si>
    <t>Sacoche à composantes</t>
  </si>
  <si>
    <t>Savon</t>
  </si>
  <si>
    <t>Seau</t>
  </si>
  <si>
    <t>Sifflet</t>
  </si>
  <si>
    <t>Symbole sacré</t>
  </si>
  <si>
    <t>  Amulette</t>
  </si>
  <si>
    <t>  Emblème</t>
  </si>
  <si>
    <t>  Relique</t>
  </si>
  <si>
    <t>Tente</t>
  </si>
  <si>
    <t>Torche</t>
  </si>
  <si>
    <t>Trousse de soins</t>
  </si>
  <si>
    <t>Vêtements, communs</t>
  </si>
  <si>
    <t>Vêtements, costume</t>
  </si>
  <si>
    <t>Vêtements, fins</t>
  </si>
  <si>
    <t>Vêtements, voyage</t>
  </si>
  <si>
    <t>Instruments de musique</t>
  </si>
  <si>
    <t>  Chalemie</t>
  </si>
  <si>
    <t>  Cor</t>
  </si>
  <si>
    <t>3 po</t>
  </si>
  <si>
    <t>  Cornemuse</t>
  </si>
  <si>
    <t>  Flûte</t>
  </si>
  <si>
    <t>  Flûte de pan</t>
  </si>
  <si>
    <t>12 po</t>
  </si>
  <si>
    <t>  Luth</t>
  </si>
  <si>
    <t>35 po</t>
  </si>
  <si>
    <t>  Lyre</t>
  </si>
  <si>
    <t>  Tambour</t>
  </si>
  <si>
    <t>6 po</t>
  </si>
  <si>
    <t>  Tympanon</t>
  </si>
  <si>
    <t>  Viole</t>
  </si>
  <si>
    <t>Jeux</t>
  </si>
  <si>
    <t>  Dés</t>
  </si>
  <si>
    <t>  Jeu d'échec des Dragons</t>
  </si>
  <si>
    <t>  Jeu de cartes</t>
  </si>
  <si>
    <t>  Jeu des Dragons</t>
  </si>
  <si>
    <t>Kit d'empoisonneur</t>
  </si>
  <si>
    <t>Kit d'herboriste</t>
  </si>
  <si>
    <t>Kit de contrefaçon</t>
  </si>
  <si>
    <t>Kit de déguisement</t>
  </si>
  <si>
    <t>Outils d'artisan</t>
  </si>
  <si>
    <t>  Matériel d'alchimie</t>
  </si>
  <si>
    <t>  Matériel de brasseur</t>
  </si>
  <si>
    <t>  Matériel de calligraphie</t>
  </si>
  <si>
    <t>  Matériel de peintre</t>
  </si>
  <si>
    <t>  Outils de bijoutier</t>
  </si>
  <si>
    <t>  Outils de cartographe</t>
  </si>
  <si>
    <t>  Outils de charpentier</t>
  </si>
  <si>
    <t>8 po</t>
  </si>
  <si>
    <t>  Outils de cordonnier</t>
  </si>
  <si>
    <t>  Outils de cuisinier</t>
  </si>
  <si>
    <t>  Outils de forgeron</t>
  </si>
  <si>
    <t>  Outils de maçon</t>
  </si>
  <si>
    <t>  Outils de menuisier</t>
  </si>
  <si>
    <t>  Outils de potier</t>
  </si>
  <si>
    <t>  Outils de rétameur</t>
  </si>
  <si>
    <t>  Outils de souffleur de verre</t>
  </si>
  <si>
    <t>  Outils de tanneur de cuir</t>
  </si>
  <si>
    <t>  Outils de tisserand</t>
  </si>
  <si>
    <t>Montures</t>
  </si>
  <si>
    <t>Coût</t>
  </si>
  <si>
    <t>Âne ou mule</t>
  </si>
  <si>
    <t>12 m</t>
  </si>
  <si>
    <t>210 kg</t>
  </si>
  <si>
    <t>Chameau</t>
  </si>
  <si>
    <t>15 m</t>
  </si>
  <si>
    <t>240 kg</t>
  </si>
  <si>
    <t>Cheval de guerre</t>
  </si>
  <si>
    <t>18 m</t>
  </si>
  <si>
    <t>270 kg</t>
  </si>
  <si>
    <t>Cheval de selle</t>
  </si>
  <si>
    <t>Cheval de trait</t>
  </si>
  <si>
    <t>Éléphant</t>
  </si>
  <si>
    <t>660 kg</t>
  </si>
  <si>
    <t>Molosse</t>
  </si>
  <si>
    <t>95 kg</t>
  </si>
  <si>
    <t>Poney</t>
  </si>
  <si>
    <t>115 kg</t>
  </si>
  <si>
    <t>Objets</t>
  </si>
  <si>
    <t>x4</t>
  </si>
  <si>
    <t>x2</t>
  </si>
  <si>
    <t>Mors et bride</t>
  </si>
  <si>
    <t>Carriole</t>
  </si>
  <si>
    <t>300 kg</t>
  </si>
  <si>
    <t>Charrette</t>
  </si>
  <si>
    <t>100 kg</t>
  </si>
  <si>
    <t>Chariot</t>
  </si>
  <si>
    <t>250 po</t>
  </si>
  <si>
    <t>50 kg</t>
  </si>
  <si>
    <t>Fourrage (par jour)</t>
  </si>
  <si>
    <t>Selles</t>
  </si>
  <si>
    <t>60 po</t>
  </si>
  <si>
    <t>15 kg</t>
  </si>
  <si>
    <t>7,5 kg</t>
  </si>
  <si>
    <t>12,5 kg</t>
  </si>
  <si>
    <t>Fontes</t>
  </si>
  <si>
    <t>Traîneau</t>
  </si>
  <si>
    <t>150 kg</t>
  </si>
  <si>
    <t>Écurie (par jour)</t>
  </si>
  <si>
    <t>200 kg</t>
  </si>
  <si>
    <t>Véhicules flottants</t>
  </si>
  <si>
    <t>Barque</t>
  </si>
  <si>
    <t>2,25 km/h</t>
  </si>
  <si>
    <t>Bateau à fond plat</t>
  </si>
  <si>
    <t>3 000 po</t>
  </si>
  <si>
    <t>1,5 km/h</t>
  </si>
  <si>
    <t>Drakkar</t>
  </si>
  <si>
    <t>10 000 po</t>
  </si>
  <si>
    <t>4,5 km/h</t>
  </si>
  <si>
    <t>Navire de haute mer</t>
  </si>
  <si>
    <t>3 km/h</t>
  </si>
  <si>
    <t>Trirème</t>
  </si>
  <si>
    <t>30 000 po</t>
  </si>
  <si>
    <t>6 km/h</t>
  </si>
  <si>
    <t>Vaisseau de guerre</t>
  </si>
  <si>
    <t>25 000 po</t>
  </si>
  <si>
    <t>3,75 km/h</t>
  </si>
  <si>
    <t>Biens</t>
  </si>
  <si>
    <t>500 g de blé</t>
  </si>
  <si>
    <t>500 g de farine ou 1 poulet</t>
  </si>
  <si>
    <t>500 g de sel</t>
  </si>
  <si>
    <t>500 g de fer ou 1 m³ de toile</t>
  </si>
  <si>
    <t>500 g de cuivre ou 1 m³ de tissu en coton</t>
  </si>
  <si>
    <t>500 g de gingembre ou 1 chèvre</t>
  </si>
  <si>
    <t>500 g de cannelle ou de poivre, ou 1 mouton</t>
  </si>
  <si>
    <t>500 g de clous de girofle ou 1 cochon</t>
  </si>
  <si>
    <t>500 g d'argent ou 1 m³ de lin</t>
  </si>
  <si>
    <t>1 m³ de lait ou 1 vache</t>
  </si>
  <si>
    <t>500 g de safran ou 1 boeuf</t>
  </si>
  <si>
    <t>500 g d'or</t>
  </si>
  <si>
    <t>500 po</t>
  </si>
  <si>
    <t>500 g de platine</t>
  </si>
  <si>
    <t>Auberge (par jour)</t>
  </si>
  <si>
    <t>  Sordide</t>
  </si>
  <si>
    <t>7 pc</t>
  </si>
  <si>
    <t>  Pauvre</t>
  </si>
  <si>
    <t>  Modeste</t>
  </si>
  <si>
    <t>  Confortable</t>
  </si>
  <si>
    <t>8 pa</t>
  </si>
  <si>
    <t>  Riche</t>
  </si>
  <si>
    <t>  Aristocratique</t>
  </si>
  <si>
    <t>Banquet (par personne)</t>
  </si>
  <si>
    <t>Bière</t>
  </si>
  <si>
    <t>  Chope</t>
  </si>
  <si>
    <t>  Cruche</t>
  </si>
  <si>
    <t>Fromage, gros morceau</t>
  </si>
  <si>
    <t>Pain</t>
  </si>
  <si>
    <t>Repas (par jour)</t>
  </si>
  <si>
    <t>3 pc</t>
  </si>
  <si>
    <t>6 pc</t>
  </si>
  <si>
    <t>3 pa</t>
  </si>
  <si>
    <t>Viande, gros morceau</t>
  </si>
  <si>
    <t>Vin</t>
  </si>
  <si>
    <t>  Commun (pichet)</t>
  </si>
  <si>
    <t>  Fin (bouteille)</t>
  </si>
  <si>
    <t>Service</t>
  </si>
  <si>
    <t>Embauche</t>
  </si>
  <si>
    <t>  Qualifié</t>
  </si>
  <si>
    <t>2 po par jour</t>
  </si>
  <si>
    <t>  Non qualifié</t>
  </si>
  <si>
    <t>2 pa par jour</t>
  </si>
  <si>
    <t>Messager</t>
  </si>
  <si>
    <t>2 pc par mile</t>
  </si>
  <si>
    <t>Péage routier ou porte</t>
  </si>
  <si>
    <t>Transport</t>
  </si>
  <si>
    <t>  De ville à ville</t>
  </si>
  <si>
    <t>3 pc par mile</t>
  </si>
  <si>
    <t>  En ville</t>
  </si>
  <si>
    <t>Voyage en bateau</t>
  </si>
  <si>
    <t>1 pa par mile</t>
  </si>
  <si>
    <t>d100</t>
  </si>
  <si>
    <t>Babiole</t>
  </si>
  <si>
    <t>Une main de gobelin momifiée</t>
  </si>
  <si>
    <t>Un morceau de cristal qui brille faiblement au clair de lune</t>
  </si>
  <si>
    <t>Une pièce d'or d'une terre inconnue</t>
  </si>
  <si>
    <t>Un journal écrit dans une langue que vous ne connaissez pas</t>
  </si>
  <si>
    <t>Un anneau de cuivre qui ne ternit pas</t>
  </si>
  <si>
    <t>Une vieille pièce d'échecs en verre</t>
  </si>
  <si>
    <t>Une paire de dés en osselet, chacun portant le symbole d'un crâne sur la face qui montrerait normalement le 6</t>
  </si>
  <si>
    <t>Une petite idole représentant une créature cauchemardesque qui vous donne des rêves troublants quand vous dormez près d'elle</t>
  </si>
  <si>
    <t>Un collier en corde duquel pendent quatre doigts elfes momifiés</t>
  </si>
  <si>
    <t>L'acte d'une parcelle de terrain d'un domaine que vous ne connaissez pas</t>
  </si>
  <si>
    <t>Un bloc de 30 grammes d'un matériau inconnu</t>
  </si>
  <si>
    <t>Une petite poupée de chiffon piquée avec des aiguilles</t>
  </si>
  <si>
    <t>Une dent d'une bête inconnue</t>
  </si>
  <si>
    <t>Une énorme écaille, peut-être d'un dragon</t>
  </si>
  <si>
    <t>Une plume vert clair</t>
  </si>
  <si>
    <t>Une vieille carte de divination portant votre portrait</t>
  </si>
  <si>
    <t>Un orbe en verre rempli de fumée qui se déplace</t>
  </si>
  <si>
    <t>Un oeuf de 30 grammes avec une coque rouge vif</t>
  </si>
  <si>
    <t>Une pipe qui fait des bulles</t>
  </si>
  <si>
    <t>Un pot en verre contenant un morceau de chair bizarre qui flotte dans un liquide salé</t>
  </si>
  <si>
    <t>Une petite boîte à musique de gnome qui joue une chanson qui vous rappelle vaguement votre enfance</t>
  </si>
  <si>
    <t>Une petite statuette en bois d'un halfelin béat</t>
  </si>
  <si>
    <t>Un orbe en cuivre gravé de runes étranges</t>
  </si>
  <si>
    <t>Un disque de pierre multicolore</t>
  </si>
  <si>
    <t>Une petite icône d'argent représentant un corbeau</t>
  </si>
  <si>
    <t>Un sac contenant quarante-sept dents humanoïdes, dont l'une est cariée</t>
  </si>
  <si>
    <t>Un fragment d'obsidienne qui se sent toujours chaud au toucher</t>
  </si>
  <si>
    <t>Une griffe osseuse d'un dragon suspendue à un collier de cuir lisse</t>
  </si>
  <si>
    <t>Une paire de vieilles chaussettes</t>
  </si>
  <si>
    <t>Un livre blanc dont les pages refusent de retenir l'encre, la craie, la graphite ou toute autre substance ou marquage</t>
  </si>
  <si>
    <t>Un badge en argent qui représente une étoile à cinq branches</t>
  </si>
  <si>
    <t>Un couteau qui appartenait à un parent</t>
  </si>
  <si>
    <t>Un flacon de verre rempli de rognures d'ongles</t>
  </si>
  <si>
    <t>Un dispositif métallique et rectangulaire avec deux petites coupes en métal à une extrémité et qui jette des étincelles lorsqu'il est mouillé</t>
  </si>
  <si>
    <t>Un gant blanc pailleté aux dimensions d'un humain</t>
  </si>
  <si>
    <t>Une veste avec une centaine de minuscules poches</t>
  </si>
  <si>
    <t>Un petit bloc de pierre léger</t>
  </si>
  <si>
    <t>Un petit dessin qui représente le portrait d'un gobelin</t>
  </si>
  <si>
    <t>Un flacon de verre vide qui sent le parfum lorsqu'il est ouvert</t>
  </si>
  <si>
    <t>Une pierre précieuse qui ressemble à un morceau de charbon pour tout le monde, sauf pour vous</t>
  </si>
  <si>
    <t>Un morceau de tissu d'une vieille bannière</t>
  </si>
  <si>
    <t>Un insigne de grade d'un légionnaire perdu</t>
  </si>
  <si>
    <t>Une cloche en argent minuscule et sans battant</t>
  </si>
  <si>
    <t>Un canari mécanique à l'intérieur d'une lampe de gnome</t>
  </si>
  <si>
    <t>Un petit coffre avec de nombreux pieds sculptés sur le fond</t>
  </si>
  <si>
    <t>Une pixie morte à l'intérieur d'une bouteille en verre transparent</t>
  </si>
  <si>
    <t>Une boîte métallique qui n'a pas d'ouverture mais qui sonne comme si elle était remplie de liquide, de sable, d'araignées ou de verre brisé (au choix)</t>
  </si>
  <si>
    <t>Un orbe de verre rempli d'eau, dans lequel nage un poisson rouge mécanique</t>
  </si>
  <si>
    <t>Une cuillère d'argent avec un M gravé sur le manche</t>
  </si>
  <si>
    <t>Un sifflet en bois de couleur or</t>
  </si>
  <si>
    <t>Un scarabée mort de la taille de votre main</t>
  </si>
  <si>
    <t>Deux soldats de plomb, l'un avec la tête manquante</t>
  </si>
  <si>
    <t>Une petite boîte remplie de boutons de différentes tailles</t>
  </si>
  <si>
    <t>Une bougie qui ne peut pas être allumée</t>
  </si>
  <si>
    <t>Une petite cage sans porte</t>
  </si>
  <si>
    <t>Une vieille clé</t>
  </si>
  <si>
    <t>Une carte au trésor indéchiffrable</t>
  </si>
  <si>
    <t>Une poigne d'épée brisée</t>
  </si>
  <si>
    <t>Une patte de lapin</t>
  </si>
  <si>
    <t>Un œil de verre</t>
  </si>
  <si>
    <t>Un camée (pendentif) sculpté à l'image d'une personne hideuse</t>
  </si>
  <si>
    <t>Un crâne en argent de la taille d'une pièce de monnaie</t>
  </si>
  <si>
    <t>Un masque d'albâtre</t>
  </si>
  <si>
    <t>Une pyramide de bâtonnets d'encens noir qui sent très mauvais</t>
  </si>
  <si>
    <t>Un bonnet de nuit qui, lorsqu'il est porté, vous donne des rêves agréables</t>
  </si>
  <si>
    <t>Une chausse-trappe unique fabriquée à partir d'un os</t>
  </si>
  <si>
    <t>Un cadre de monocle en or sans la lentille</t>
  </si>
  <si>
    <t>Un cube de 2 centimètres de côté, avec chaque face peinte d'une couleur différente</t>
  </si>
  <si>
    <t>Un bouton de porte en cristal</t>
  </si>
  <si>
    <t>Un petit paquet rempli de poussière rose</t>
  </si>
  <si>
    <t>Un fragment d'une belle chanson, écrite avec des notes de musique sur deux morceaux de parchemin</t>
  </si>
  <si>
    <t>Une boucle d'oreille en forme de goutte d'argent faite à partir d'une vraie larme</t>
  </si>
  <si>
    <t>La coquille d'un oeuf peint avec des scènes de misère humaine d'un détail troublant</t>
  </si>
  <si>
    <t>Un éventail qui, une fois déplié, montre un chat endormi</t>
  </si>
  <si>
    <t>Un ensemble de tubes d'os</t>
  </si>
  <si>
    <t>Un trèfle à quatre feuilles à l'intérieur d'un livre qui traite des bonnes manières et de l'étiquette</t>
  </si>
  <si>
    <t>Une feuille de parchemin sur laquelle est dessiné un engin mécanique complexe</t>
  </si>
  <si>
    <t>Un fourreau orné dans lequel à ce jour aucune lame ne rentre</t>
  </si>
  <si>
    <t>Une invitation à une fête où un assassinat a eu lieu</t>
  </si>
  <si>
    <t>Un pentacle de bronze avec la gravure d'une tête de rat au centre</t>
  </si>
  <si>
    <t>Un mouchoir violet brodé avec le nom d'un puissant archimage</t>
  </si>
  <si>
    <t>La moitié du plan d'un temple, d'un château, ou d'une autre structure</t>
  </si>
  <si>
    <t>Un peu de tissu plié qui, une fois déplié, se transforme en un élégant chapeau</t>
  </si>
  <si>
    <t>Un récépissé de dépôt dans une banque d'une ville très éloignée</t>
  </si>
  <si>
    <t>Un journal avec sept pages manquantes</t>
  </si>
  <si>
    <t>Une tabatière en argent vide et portant une inscription sur le dessus qui dit « rêves »</t>
  </si>
  <si>
    <t>Un symbole sacré en fer et consacré à un dieu inconnu</t>
  </si>
  <si>
    <t>Un livre qui raconte l'histoire de l'ascension et la chute d'un héros légendaire, avec le dernier chapitre manquant</t>
  </si>
  <si>
    <t>Un flacon de sang de dragon</t>
  </si>
  <si>
    <t>Une ancienne flèche de conception elfique</t>
  </si>
  <si>
    <t>Une aiguille qui ne se plie pas</t>
  </si>
  <si>
    <t>Une broche ornée de conception naine</t>
  </si>
  <si>
    <t>Une bouteille de vin vide portant une jolie étiquette qui dit "Le magicien des vins, Cuvée du Dragon Rouge, 331422-W"</t>
  </si>
  <si>
    <t>Un couvercle avec une mosaïque multicolore en surface</t>
  </si>
  <si>
    <t>Une souris pétrifiée</t>
  </si>
  <si>
    <t>Un drapeau de pirate noir orné d'un crâne et des os croisés d'un dragon</t>
  </si>
  <si>
    <t>Un petit crabe ou araignée mécanique qui se déplace quand il n'est pas observé</t>
  </si>
  <si>
    <t>Un pot de verre contenant du lard avec une étiquette qui dit "Graisse de griffon"</t>
  </si>
  <si>
    <t>Une boîte en bois avec un fond en céramique qui contient un ver vivant avec une tête à chaque extrémité de son corps</t>
  </si>
  <si>
    <t>Une urne en métal contenant les cendres d'un héros</t>
  </si>
  <si>
    <r>
      <rPr>
        <b/>
        <sz val="12"/>
        <rFont val="Eras Medium ITC"/>
      </rPr>
      <t>Attention</t>
    </r>
    <r>
      <rPr>
        <sz val="12"/>
        <rFont val="Eras Medium ITC"/>
        <family val="2"/>
      </rPr>
      <t>, les valeurs de caractéristique 19 et 20 ne sont là que pour un ajustement racial</t>
    </r>
  </si>
  <si>
    <t>Jets de sauvegarde</t>
  </si>
  <si>
    <t>Compétences</t>
  </si>
  <si>
    <t>armures légères, armures intermédiaires, boucliers.</t>
  </si>
  <si>
    <t>armures légères.</t>
  </si>
  <si>
    <t>armures légères et intermédiaires, boucliers.</t>
  </si>
  <si>
    <t>toutes les armures, boucliers.</t>
  </si>
  <si>
    <t>armures légères et intermédiaires, boucliers. Non métallique.</t>
  </si>
  <si>
    <t>armes courantes, armes de guerre.</t>
  </si>
  <si>
    <t>armes courantes, arbalète de poing, épée longue, épée courte, rapière.</t>
  </si>
  <si>
    <t>armes courantes.</t>
  </si>
  <si>
    <t>gourdin, dague, fléchette, javeline, masse d'armes, bâton, cimeterre, fronde, serpe, lance.</t>
  </si>
  <si>
    <t>dague, fléchette, fronde, bâton, arbalète légère.</t>
  </si>
  <si>
    <t>dague, fléchettes, fronde, bâton, arbalète légère.</t>
  </si>
  <si>
    <t>armes courantes, épée courte.</t>
  </si>
  <si>
    <t>armes courantes, arbalète de poing, épée courte, épée longue, rapière.</t>
  </si>
  <si>
    <t>trois instruments de musique de votre choix.</t>
  </si>
  <si>
    <t>kit d'herboriste.</t>
  </si>
  <si>
    <t>un outil d'artisan ou un instrument de musique de votre choix.</t>
  </si>
  <si>
    <t>outils de voleur.</t>
  </si>
  <si>
    <t>Force, Constitution.</t>
  </si>
  <si>
    <t>Dextérité, Charisme.</t>
  </si>
  <si>
    <t>Sagesse, Charisme.</t>
  </si>
  <si>
    <t>Intelligence, Sagesse.</t>
  </si>
  <si>
    <t>Constitution, Charisme.</t>
  </si>
  <si>
    <t>Force, Dextérité.</t>
  </si>
  <si>
    <t>Dextérité, Intelligence.</t>
  </si>
  <si>
    <t>2 parmi Athlétisme, Dressage, Intimidation, Nature, Perception et Survie.</t>
  </si>
  <si>
    <t>3 au choix.</t>
  </si>
  <si>
    <t>2 parmi Histoire, Intuition, Médecine, Persuasion et Religion.</t>
  </si>
  <si>
    <t>2 parmi Arcanes, Dressage, Intuition, Médecine, Nature, Perception, Religion et Survie.</t>
  </si>
  <si>
    <t>2 parmi Arcanes, Intimidation, Intuition, Persuasion, Religion et Tromperie.</t>
  </si>
  <si>
    <t>2 parmi Acrobaties, Athlétisme, Dressage, Histoire, Intimidation, Intuition, Perception et Survie.</t>
  </si>
  <si>
    <t>2 parmi Arcanes, Histoire, Intuition, Investigation, Médecine et Religion.</t>
  </si>
  <si>
    <t>2 parmi Acrobaties, Athlétisme, Discrétion, Histoire, Intuition et Religion.</t>
  </si>
  <si>
    <t>2 parmi Athlétisme, Intimidation, Intuition, Médecine, Persuasion et Religion.</t>
  </si>
  <si>
    <t>3 parmi Athlétisme, Discrétion, Dressage, Intuition, Investigation, Nature, Perception et Survie.</t>
  </si>
  <si>
    <t>4 Acrobaties, Athlétisme, Discrétion, Escamotage, Intimidation, Intuition, Investigation, Perception, Persuasion, Représentation et Tromperie.</t>
  </si>
  <si>
    <t>2 parmi Arcanes, Histoire, Investigation, Intimidation, Nature, Religion et Tromperie.</t>
  </si>
  <si>
    <t>Caractéristiques de la classe</t>
  </si>
  <si>
    <t xml:space="preserve">  Outils de navigation</t>
  </si>
  <si>
    <t xml:space="preserve">  Outils de voleur</t>
  </si>
  <si>
    <t xml:space="preserve">  Exotique</t>
  </si>
  <si>
    <t xml:space="preserve">  De guerre</t>
  </si>
  <si>
    <t xml:space="preserve">  De bât</t>
  </si>
  <si>
    <t xml:space="preserve">  D'équitation</t>
  </si>
  <si>
    <t>Capacité de charge</t>
  </si>
  <si>
    <t>For</t>
  </si>
  <si>
    <t>Dex</t>
  </si>
  <si>
    <t>Con</t>
  </si>
  <si>
    <t>Int</t>
  </si>
  <si>
    <t>Sag</t>
  </si>
  <si>
    <t>Cha</t>
  </si>
  <si>
    <t>Masculin</t>
  </si>
  <si>
    <t>bronzé</t>
  </si>
  <si>
    <t>brun</t>
  </si>
  <si>
    <t>marron</t>
  </si>
  <si>
    <t>73 ans</t>
  </si>
  <si>
    <t>172 cm</t>
  </si>
  <si>
    <t>52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</si>
</sst>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+0;\-0;0"/>
    <numFmt numFmtId="165" formatCode=";;;"/>
    <numFmt numFmtId="166" formatCode="0;\-0;0"/>
    <numFmt numFmtId="167" formatCode="0.0"/>
  </numFmts>
  <fonts count="7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Eras Medium ITC"/>
      <family val="2"/>
    </font>
    <font>
      <sz val="12"/>
      <name val="Eras Medium ITC"/>
      <family val="2"/>
    </font>
    <font>
      <sz val="12"/>
      <color theme="0"/>
      <name val="Eras Medium ITC"/>
      <family val="2"/>
    </font>
    <font>
      <sz val="12"/>
      <color theme="1"/>
      <name val="Eras Medium ITC"/>
    </font>
    <font>
      <b/>
      <sz val="12"/>
      <color theme="0"/>
      <name val="Eras Medium ITC"/>
      <family val="2"/>
    </font>
    <font>
      <b/>
      <sz val="10"/>
      <color theme="0"/>
      <name val="Calibri"/>
      <family val="2"/>
      <scheme val="minor"/>
    </font>
    <font>
      <b/>
      <sz val="12"/>
      <name val="Eras Medium ITC"/>
      <family val="2"/>
    </font>
    <font>
      <b/>
      <sz val="16"/>
      <name val="Eras Medium ITC"/>
      <family val="2"/>
    </font>
    <font>
      <b/>
      <sz val="10"/>
      <color theme="0"/>
      <name val="Eras Medium ITC"/>
      <family val="2"/>
    </font>
    <font>
      <b/>
      <sz val="11"/>
      <color theme="0"/>
      <name val="Eras Medium ITC"/>
      <family val="2"/>
    </font>
    <font>
      <sz val="12"/>
      <name val="Eras Medium ITC"/>
    </font>
    <font>
      <b/>
      <sz val="11"/>
      <name val="Eras Medium ITC"/>
      <family val="2"/>
    </font>
    <font>
      <sz val="10"/>
      <color theme="1"/>
      <name val="Eras Medium ITC"/>
      <family val="2"/>
    </font>
    <font>
      <b/>
      <i/>
      <sz val="11"/>
      <name val="Eras Medium ITC"/>
      <family val="2"/>
    </font>
    <font>
      <b/>
      <sz val="12"/>
      <color theme="1"/>
      <name val="Eras Medium ITC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Eras Medium ITC"/>
      <family val="2"/>
    </font>
    <font>
      <b/>
      <sz val="10"/>
      <name val="Eras Medium ITC"/>
      <family val="2"/>
    </font>
    <font>
      <sz val="11"/>
      <name val="Calibri"/>
      <family val="2"/>
      <scheme val="minor"/>
    </font>
    <font>
      <sz val="24"/>
      <name val="Eras Medium ITC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Eras Medium ITC"/>
      <family val="2"/>
    </font>
    <font>
      <b/>
      <sz val="14"/>
      <color theme="0"/>
      <name val="Eras Medium ITC"/>
      <family val="2"/>
    </font>
    <font>
      <i/>
      <sz val="8"/>
      <color theme="1"/>
      <name val="Eras Medium ITC"/>
      <family val="2"/>
    </font>
    <font>
      <sz val="7"/>
      <color theme="1"/>
      <name val="Eras Medium ITC"/>
      <family val="2"/>
    </font>
    <font>
      <sz val="11"/>
      <name val="Eras Medium ITC"/>
      <family val="2"/>
    </font>
    <font>
      <b/>
      <sz val="10"/>
      <name val="Eras Medium ITC"/>
    </font>
    <font>
      <b/>
      <sz val="12"/>
      <name val="Eras Medium ITC"/>
    </font>
    <font>
      <b/>
      <sz val="9"/>
      <name val="Eras Medium ITC"/>
    </font>
    <font>
      <b/>
      <i/>
      <sz val="9"/>
      <color theme="1"/>
      <name val="Eras Medium ITC"/>
      <family val="2"/>
    </font>
    <font>
      <sz val="26"/>
      <color theme="1"/>
      <name val="Eras Medium ITC"/>
      <family val="2"/>
    </font>
    <font>
      <sz val="28"/>
      <color theme="1"/>
      <name val="Eras Medium ITC"/>
    </font>
    <font>
      <b/>
      <sz val="9"/>
      <color theme="0"/>
      <name val="Eras Medium ITC"/>
      <family val="2"/>
    </font>
    <font>
      <sz val="28"/>
      <color theme="1"/>
      <name val="Calibri"/>
      <family val="2"/>
      <scheme val="minor"/>
    </font>
    <font>
      <sz val="11"/>
      <color theme="1"/>
      <name val="Eras Medium ITC"/>
      <family val="2"/>
    </font>
    <font>
      <b/>
      <sz val="11"/>
      <name val="Calibri"/>
      <family val="2"/>
      <scheme val="minor"/>
    </font>
    <font>
      <sz val="28"/>
      <color theme="1"/>
      <name val="Eras Medium ITC"/>
      <family val="2"/>
    </font>
    <font>
      <b/>
      <sz val="14"/>
      <color theme="1"/>
      <name val="Eras Medium ITC"/>
      <family val="2"/>
    </font>
    <font>
      <sz val="10"/>
      <name val="Eras Medium ITC"/>
      <family val="2"/>
    </font>
    <font>
      <sz val="9"/>
      <color theme="1"/>
      <name val="Calibri"/>
      <family val="2"/>
      <scheme val="minor"/>
    </font>
    <font>
      <sz val="14"/>
      <color theme="1"/>
      <name val="Eras Medium ITC"/>
      <family val="2"/>
    </font>
    <font>
      <sz val="14"/>
      <name val="Eras Medium ITC"/>
      <family val="2"/>
    </font>
    <font>
      <sz val="12"/>
      <name val="Calibri"/>
      <family val="2"/>
      <scheme val="minor"/>
    </font>
    <font>
      <sz val="12"/>
      <color theme="6" tint="-0.499984740745262"/>
      <name val="Eras Medium ITC"/>
      <family val="2"/>
    </font>
    <font>
      <b/>
      <sz val="8"/>
      <name val="Calibri"/>
      <family val="2"/>
      <scheme val="minor"/>
    </font>
    <font>
      <b/>
      <sz val="8"/>
      <name val="Eras Medium ITC"/>
      <family val="2"/>
    </font>
    <font>
      <b/>
      <i/>
      <sz val="11"/>
      <color theme="0"/>
      <name val="Eras Medium ITC"/>
      <family val="2"/>
    </font>
    <font>
      <b/>
      <sz val="12"/>
      <color theme="2"/>
      <name val="Eras Medium ITC"/>
      <family val="2"/>
    </font>
    <font>
      <b/>
      <sz val="36"/>
      <name val="Eras Medium ITC"/>
    </font>
    <font>
      <sz val="11"/>
      <color rgb="FF333333"/>
      <name val="Verdana"/>
      <family val="2"/>
    </font>
    <font>
      <i/>
      <sz val="12"/>
      <color theme="1"/>
      <name val="Eras Medium ITC"/>
      <family val="2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0"/>
      <color theme="1"/>
      <name val="Eras Medium ITC"/>
    </font>
    <font>
      <i/>
      <sz val="12"/>
      <name val="Eras Medium ITC"/>
      <family val="2"/>
    </font>
    <font>
      <i/>
      <sz val="12"/>
      <color theme="1"/>
      <name val="Eras Medium ITC"/>
    </font>
    <font>
      <i/>
      <sz val="10"/>
      <color theme="1"/>
      <name val="Eras Medium ITC"/>
      <family val="2"/>
    </font>
    <font>
      <i/>
      <sz val="10"/>
      <color theme="1"/>
      <name val="Calibri"/>
      <family val="2"/>
      <scheme val="minor"/>
    </font>
    <font>
      <b/>
      <sz val="11"/>
      <name val="Eras Medium ITC"/>
    </font>
    <font>
      <b/>
      <sz val="11"/>
      <color rgb="FF333333"/>
      <name val="Verdana"/>
      <family val="2"/>
    </font>
    <font>
      <i/>
      <sz val="11"/>
      <color rgb="FF333333"/>
      <name val="Verdana"/>
      <family val="2"/>
    </font>
    <font>
      <b/>
      <i/>
      <sz val="11"/>
      <color rgb="FF333333"/>
      <name val="Verdana"/>
      <family val="2"/>
    </font>
    <font>
      <b/>
      <i/>
      <u/>
      <sz val="11"/>
      <color rgb="FF333333"/>
      <name val="Verdana"/>
      <family val="2"/>
    </font>
    <font>
      <b/>
      <sz val="14"/>
      <name val="Eras Medium ITC"/>
      <family val="2"/>
    </font>
    <font>
      <sz val="11"/>
      <color rgb="FF333333"/>
      <name val="Calibri"/>
      <family val="2"/>
    </font>
    <font>
      <sz val="9"/>
      <color theme="1"/>
      <name val="Eras Medium ITC"/>
      <family val="2"/>
    </font>
    <font>
      <sz val="8"/>
      <color theme="1"/>
      <name val="Eras Medium ITC"/>
      <family val="2"/>
    </font>
    <font>
      <sz val="8"/>
      <color theme="1"/>
      <name val="Calibri"/>
      <family val="2"/>
      <scheme val="minor"/>
    </font>
    <font>
      <b/>
      <sz val="12"/>
      <color theme="0"/>
      <name val="Eras Medium ITC"/>
    </font>
    <font>
      <sz val="12"/>
      <color theme="0"/>
      <name val="Eras Medium ITC"/>
    </font>
    <font>
      <sz val="11"/>
      <color theme="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67">
    <border>
      <left/>
      <right/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3">
    <xf numFmtId="0" fontId="0" fillId="0" borderId="0" xfId="0"/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165" fontId="5" fillId="5" borderId="77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31" fillId="0" borderId="107" xfId="0" applyFon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0" fillId="0" borderId="127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3" xfId="0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136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1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0" fillId="0" borderId="145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0" fillId="0" borderId="15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5" fillId="0" borderId="0" xfId="0" applyFont="1" applyFill="1" applyAlignment="1" applyProtection="1">
      <alignment vertical="center" shrinkToFit="1"/>
      <protection hidden="1"/>
    </xf>
    <xf numFmtId="0" fontId="5" fillId="0" borderId="0" xfId="0" applyFont="1" applyAlignment="1" applyProtection="1">
      <alignment vertical="center" shrinkToFit="1"/>
      <protection hidden="1"/>
    </xf>
    <xf numFmtId="0" fontId="5" fillId="0" borderId="0" xfId="0" applyFont="1" applyFill="1" applyAlignment="1" applyProtection="1">
      <alignment vertical="center"/>
      <protection hidden="1"/>
    </xf>
    <xf numFmtId="164" fontId="5" fillId="0" borderId="0" xfId="0" applyNumberFormat="1" applyFont="1" applyAlignment="1" applyProtection="1">
      <alignment vertical="center" shrinkToFi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67" fillId="0" borderId="0" xfId="0" applyFont="1" applyFill="1" applyBorder="1" applyAlignment="1" applyProtection="1">
      <alignment horizontal="left"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0" fillId="0" borderId="81" xfId="0" applyFill="1" applyBorder="1"/>
    <xf numFmtId="0" fontId="0" fillId="0" borderId="135" xfId="0" applyFill="1" applyBorder="1"/>
    <xf numFmtId="0" fontId="0" fillId="0" borderId="80" xfId="0" applyFill="1" applyBorder="1"/>
    <xf numFmtId="0" fontId="0" fillId="0" borderId="82" xfId="0" applyFill="1" applyBorder="1"/>
    <xf numFmtId="0" fontId="0" fillId="0" borderId="134" xfId="0" applyFill="1" applyBorder="1" applyAlignment="1">
      <alignment horizontal="center" vertical="center"/>
    </xf>
    <xf numFmtId="0" fontId="0" fillId="0" borderId="89" xfId="0" applyFill="1" applyBorder="1"/>
    <xf numFmtId="0" fontId="0" fillId="0" borderId="134" xfId="0" applyFill="1" applyBorder="1"/>
    <xf numFmtId="0" fontId="0" fillId="0" borderId="88" xfId="0" applyFill="1" applyBorder="1"/>
    <xf numFmtId="0" fontId="68" fillId="0" borderId="134" xfId="0" applyFont="1" applyFill="1" applyBorder="1"/>
    <xf numFmtId="0" fontId="0" fillId="0" borderId="4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165" fontId="5" fillId="5" borderId="76" xfId="0" applyNumberFormat="1" applyFont="1" applyFill="1" applyBorder="1" applyAlignment="1" applyProtection="1">
      <alignment horizontal="center" vertical="center"/>
      <protection hidden="1"/>
    </xf>
    <xf numFmtId="0" fontId="60" fillId="0" borderId="44" xfId="0" applyFont="1" applyBorder="1" applyAlignment="1" applyProtection="1">
      <alignment horizontal="center" vertical="center"/>
      <protection hidden="1"/>
    </xf>
    <xf numFmtId="0" fontId="4" fillId="4" borderId="0" xfId="0" applyFont="1" applyFill="1" applyAlignment="1" applyProtection="1">
      <alignment vertical="center"/>
      <protection hidden="1"/>
    </xf>
    <xf numFmtId="0" fontId="73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3" fontId="4" fillId="0" borderId="0" xfId="0" applyNumberFormat="1" applyFont="1" applyBorder="1" applyAlignment="1" applyProtection="1">
      <alignment horizontal="center" vertical="center"/>
      <protection hidden="1"/>
    </xf>
    <xf numFmtId="0" fontId="41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6" fillId="5" borderId="80" xfId="0" applyFont="1" applyFill="1" applyBorder="1" applyAlignment="1" applyProtection="1">
      <alignment vertical="center"/>
      <protection locked="0" hidden="1"/>
    </xf>
    <xf numFmtId="0" fontId="4" fillId="0" borderId="80" xfId="0" applyFont="1" applyBorder="1" applyAlignment="1" applyProtection="1">
      <alignment vertical="center"/>
      <protection hidden="1"/>
    </xf>
    <xf numFmtId="0" fontId="6" fillId="5" borderId="0" xfId="0" applyFont="1" applyFill="1" applyBorder="1" applyAlignment="1" applyProtection="1">
      <alignment vertical="center"/>
      <protection locked="0" hidden="1"/>
    </xf>
    <xf numFmtId="0" fontId="4" fillId="0" borderId="76" xfId="0" applyFont="1" applyBorder="1" applyAlignment="1" applyProtection="1">
      <alignment vertical="center"/>
      <protection locked="0" hidden="1"/>
    </xf>
    <xf numFmtId="0" fontId="4" fillId="0" borderId="0" xfId="0" applyFont="1" applyBorder="1" applyAlignment="1" applyProtection="1">
      <alignment vertical="center"/>
      <protection locked="0" hidden="1"/>
    </xf>
    <xf numFmtId="0" fontId="4" fillId="0" borderId="8" xfId="0" applyFont="1" applyBorder="1" applyAlignment="1" applyProtection="1">
      <alignment vertical="center"/>
      <protection locked="0" hidden="1"/>
    </xf>
    <xf numFmtId="0" fontId="5" fillId="0" borderId="0" xfId="0" applyFont="1" applyAlignment="1" applyProtection="1">
      <alignment vertical="center"/>
      <protection locked="0" hidden="1"/>
    </xf>
    <xf numFmtId="0" fontId="4" fillId="0" borderId="73" xfId="0" applyFont="1" applyBorder="1" applyAlignment="1" applyProtection="1">
      <alignment vertical="center"/>
      <protection locked="0" hidden="1"/>
    </xf>
    <xf numFmtId="0" fontId="4" fillId="0" borderId="22" xfId="0" applyFont="1" applyBorder="1" applyAlignment="1" applyProtection="1">
      <alignment vertical="center"/>
      <protection locked="0" hidden="1"/>
    </xf>
    <xf numFmtId="0" fontId="4" fillId="0" borderId="60" xfId="0" applyFont="1" applyBorder="1" applyAlignment="1" applyProtection="1">
      <alignment vertical="center"/>
      <protection locked="0" hidden="1"/>
    </xf>
    <xf numFmtId="0" fontId="6" fillId="5" borderId="22" xfId="0" applyFont="1" applyFill="1" applyBorder="1" applyAlignment="1" applyProtection="1">
      <alignment vertical="center"/>
      <protection locked="0" hidden="1"/>
    </xf>
    <xf numFmtId="0" fontId="4" fillId="0" borderId="22" xfId="0" applyFont="1" applyBorder="1" applyAlignment="1" applyProtection="1">
      <alignment vertical="center"/>
      <protection hidden="1"/>
    </xf>
    <xf numFmtId="0" fontId="6" fillId="0" borderId="82" xfId="0" applyFont="1" applyBorder="1" applyAlignment="1" applyProtection="1">
      <alignment vertical="center"/>
      <protection locked="0" hidden="1"/>
    </xf>
    <xf numFmtId="0" fontId="4" fillId="0" borderId="81" xfId="0" applyFont="1" applyBorder="1" applyAlignment="1" applyProtection="1">
      <alignment vertical="center"/>
      <protection locked="0" hidden="1"/>
    </xf>
    <xf numFmtId="0" fontId="6" fillId="0" borderId="77" xfId="0" applyFont="1" applyBorder="1" applyAlignment="1" applyProtection="1">
      <alignment vertical="center"/>
      <protection locked="0" hidden="1"/>
    </xf>
    <xf numFmtId="0" fontId="4" fillId="0" borderId="0" xfId="0" applyFont="1" applyAlignment="1" applyProtection="1">
      <alignment vertical="top"/>
      <protection hidden="1"/>
    </xf>
    <xf numFmtId="0" fontId="5" fillId="4" borderId="0" xfId="0" applyFont="1" applyFill="1" applyAlignment="1" applyProtection="1">
      <alignment vertical="center"/>
      <protection hidden="1"/>
    </xf>
    <xf numFmtId="0" fontId="4" fillId="4" borderId="0" xfId="0" applyFont="1" applyFill="1" applyBorder="1" applyAlignment="1" applyProtection="1">
      <alignment vertical="center"/>
      <protection hidden="1"/>
    </xf>
    <xf numFmtId="0" fontId="6" fillId="0" borderId="74" xfId="0" applyFont="1" applyBorder="1" applyAlignment="1" applyProtection="1">
      <alignment vertical="center"/>
      <protection locked="0" hidden="1"/>
    </xf>
    <xf numFmtId="0" fontId="20" fillId="0" borderId="0" xfId="0" applyFont="1" applyFill="1" applyBorder="1" applyAlignment="1" applyProtection="1">
      <alignment horizontal="left" vertical="center"/>
      <protection hidden="1"/>
    </xf>
    <xf numFmtId="0" fontId="19" fillId="0" borderId="0" xfId="0" applyFont="1" applyFill="1" applyBorder="1" applyAlignment="1" applyProtection="1">
      <alignment horizontal="left" vertical="center"/>
      <protection hidden="1"/>
    </xf>
    <xf numFmtId="49" fontId="18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center" shrinkToFit="1"/>
      <protection hidden="1"/>
    </xf>
    <xf numFmtId="0" fontId="4" fillId="5" borderId="0" xfId="0" applyFont="1" applyFill="1" applyAlignment="1" applyProtection="1">
      <alignment vertical="center"/>
      <protection hidden="1"/>
    </xf>
    <xf numFmtId="0" fontId="8" fillId="2" borderId="66" xfId="0" applyFont="1" applyFill="1" applyBorder="1" applyAlignment="1" applyProtection="1">
      <alignment horizontal="left" vertical="center"/>
      <protection hidden="1"/>
    </xf>
    <xf numFmtId="0" fontId="8" fillId="2" borderId="47" xfId="0" applyFont="1" applyFill="1" applyBorder="1" applyAlignment="1" applyProtection="1">
      <alignment horizontal="left" vertical="center"/>
      <protection hidden="1"/>
    </xf>
    <xf numFmtId="0" fontId="4" fillId="0" borderId="114" xfId="0" applyFont="1" applyBorder="1" applyAlignment="1" applyProtection="1">
      <alignment horizontal="left" vertical="center" wrapText="1"/>
      <protection locked="0" hidden="1"/>
    </xf>
    <xf numFmtId="0" fontId="4" fillId="0" borderId="11" xfId="0" applyFont="1" applyBorder="1" applyAlignment="1" applyProtection="1">
      <alignment horizontal="left" vertical="center" wrapText="1"/>
      <protection locked="0" hidden="1"/>
    </xf>
    <xf numFmtId="0" fontId="4" fillId="0" borderId="132" xfId="0" applyFont="1" applyBorder="1" applyAlignment="1" applyProtection="1">
      <alignment horizontal="left" vertical="center" wrapText="1"/>
      <protection locked="0" hidden="1"/>
    </xf>
    <xf numFmtId="0" fontId="4" fillId="0" borderId="118" xfId="0" applyFont="1" applyBorder="1" applyAlignment="1" applyProtection="1">
      <alignment horizontal="left" vertical="center" wrapText="1"/>
      <protection locked="0" hidden="1"/>
    </xf>
    <xf numFmtId="0" fontId="4" fillId="0" borderId="117" xfId="0" applyFont="1" applyBorder="1" applyAlignment="1" applyProtection="1">
      <alignment horizontal="left" vertical="center" wrapText="1"/>
      <protection locked="0" hidden="1"/>
    </xf>
    <xf numFmtId="0" fontId="4" fillId="0" borderId="116" xfId="0" applyFont="1" applyBorder="1" applyAlignment="1" applyProtection="1">
      <alignment horizontal="left" vertical="center" wrapText="1"/>
      <protection locked="0" hidden="1"/>
    </xf>
    <xf numFmtId="0" fontId="4" fillId="0" borderId="0" xfId="0" applyFont="1" applyAlignment="1" applyProtection="1">
      <alignment vertical="center"/>
      <protection locked="0" hidden="1"/>
    </xf>
    <xf numFmtId="0" fontId="59" fillId="6" borderId="145" xfId="0" applyFont="1" applyFill="1" applyBorder="1" applyAlignment="1" applyProtection="1">
      <alignment vertical="center"/>
      <protection locked="0" hidden="1"/>
    </xf>
    <xf numFmtId="0" fontId="59" fillId="6" borderId="146" xfId="0" applyFont="1" applyFill="1" applyBorder="1" applyAlignment="1" applyProtection="1">
      <alignment vertical="center"/>
      <protection locked="0" hidden="1"/>
    </xf>
    <xf numFmtId="0" fontId="59" fillId="6" borderId="147" xfId="0" applyFont="1" applyFill="1" applyBorder="1" applyAlignment="1" applyProtection="1">
      <alignment vertical="center"/>
      <protection locked="0" hidden="1"/>
    </xf>
    <xf numFmtId="0" fontId="6" fillId="0" borderId="0" xfId="0" applyFont="1" applyAlignment="1" applyProtection="1">
      <alignment vertical="center"/>
      <protection locked="0" hidden="1"/>
    </xf>
    <xf numFmtId="0" fontId="44" fillId="0" borderId="0" xfId="0" applyFont="1" applyBorder="1" applyAlignment="1" applyProtection="1">
      <alignment horizontal="center" vertical="center" shrinkToFit="1"/>
      <protection hidden="1"/>
    </xf>
    <xf numFmtId="0" fontId="0" fillId="0" borderId="146" xfId="0" applyBorder="1" applyAlignment="1">
      <alignment horizontal="left"/>
    </xf>
    <xf numFmtId="0" fontId="0" fillId="0" borderId="147" xfId="0" applyBorder="1" applyAlignment="1">
      <alignment horizontal="left"/>
    </xf>
    <xf numFmtId="0" fontId="0" fillId="0" borderId="166" xfId="0" applyBorder="1" applyAlignment="1">
      <alignment horizontal="left"/>
    </xf>
    <xf numFmtId="0" fontId="0" fillId="0" borderId="134" xfId="0" applyBorder="1" applyAlignment="1">
      <alignment horizontal="left"/>
    </xf>
    <xf numFmtId="0" fontId="42" fillId="0" borderId="0" xfId="0" applyFont="1" applyBorder="1" applyAlignment="1" applyProtection="1">
      <alignment vertical="center" shrinkToFit="1"/>
      <protection hidden="1"/>
    </xf>
    <xf numFmtId="164" fontId="42" fillId="0" borderId="0" xfId="0" applyNumberFormat="1" applyFont="1" applyBorder="1" applyAlignment="1" applyProtection="1">
      <alignment vertical="center"/>
      <protection hidden="1"/>
    </xf>
    <xf numFmtId="164" fontId="42" fillId="0" borderId="0" xfId="0" applyNumberFormat="1" applyFont="1" applyBorder="1" applyAlignment="1" applyProtection="1">
      <alignment vertical="center" shrinkToFit="1"/>
      <protection hidden="1"/>
    </xf>
    <xf numFmtId="0" fontId="42" fillId="0" borderId="0" xfId="0" applyFont="1" applyAlignment="1" applyProtection="1">
      <alignment vertical="center" shrinkToFit="1"/>
      <protection hidden="1"/>
    </xf>
    <xf numFmtId="0" fontId="22" fillId="0" borderId="71" xfId="0" applyFont="1" applyBorder="1"/>
    <xf numFmtId="0" fontId="22" fillId="0" borderId="28" xfId="0" applyFont="1" applyBorder="1"/>
    <xf numFmtId="0" fontId="22" fillId="0" borderId="70" xfId="0" applyFont="1" applyBorder="1"/>
    <xf numFmtId="0" fontId="22" fillId="0" borderId="32" xfId="0" applyFont="1" applyBorder="1"/>
    <xf numFmtId="0" fontId="22" fillId="0" borderId="31" xfId="0" applyFont="1" applyBorder="1"/>
    <xf numFmtId="0" fontId="22" fillId="0" borderId="30" xfId="0" applyFont="1" applyBorder="1"/>
    <xf numFmtId="0" fontId="22" fillId="0" borderId="160" xfId="0" applyFont="1" applyBorder="1"/>
    <xf numFmtId="0" fontId="22" fillId="0" borderId="157" xfId="0" applyFont="1" applyBorder="1"/>
    <xf numFmtId="0" fontId="22" fillId="0" borderId="161" xfId="0" applyFont="1" applyBorder="1"/>
    <xf numFmtId="0" fontId="22" fillId="0" borderId="127" xfId="0" applyFont="1" applyBorder="1"/>
    <xf numFmtId="0" fontId="22" fillId="0" borderId="126" xfId="0" applyFont="1" applyBorder="1"/>
    <xf numFmtId="0" fontId="22" fillId="0" borderId="138" xfId="0" applyFont="1" applyBorder="1"/>
    <xf numFmtId="0" fontId="0" fillId="0" borderId="166" xfId="0" applyBorder="1" applyAlignment="1">
      <alignment horizontal="center" vertical="center"/>
    </xf>
    <xf numFmtId="0" fontId="63" fillId="0" borderId="89" xfId="0" applyFont="1" applyBorder="1" applyAlignment="1" applyProtection="1">
      <alignment horizontal="left" vertical="center" wrapText="1"/>
      <protection hidden="1"/>
    </xf>
    <xf numFmtId="0" fontId="63" fillId="0" borderId="134" xfId="0" applyFont="1" applyBorder="1" applyAlignment="1" applyProtection="1">
      <alignment horizontal="left" vertical="center" wrapText="1"/>
      <protection hidden="1"/>
    </xf>
    <xf numFmtId="0" fontId="63" fillId="0" borderId="88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65" fillId="0" borderId="89" xfId="0" applyFont="1" applyBorder="1" applyAlignment="1" applyProtection="1">
      <alignment horizontal="left" vertical="center" wrapText="1"/>
      <protection hidden="1"/>
    </xf>
    <xf numFmtId="0" fontId="65" fillId="0" borderId="88" xfId="0" applyFont="1" applyBorder="1" applyAlignment="1" applyProtection="1">
      <alignment horizontal="left" vertical="center" wrapText="1"/>
      <protection hidden="1"/>
    </xf>
    <xf numFmtId="0" fontId="65" fillId="0" borderId="115" xfId="0" applyFont="1" applyBorder="1" applyAlignment="1" applyProtection="1">
      <alignment horizontal="left" vertical="center" wrapText="1"/>
      <protection hidden="1"/>
    </xf>
    <xf numFmtId="0" fontId="53" fillId="0" borderId="158" xfId="0" applyFont="1" applyBorder="1" applyAlignment="1" applyProtection="1">
      <alignment horizontal="left" vertical="center" wrapText="1"/>
      <protection hidden="1"/>
    </xf>
    <xf numFmtId="0" fontId="53" fillId="0" borderId="145" xfId="0" applyFont="1" applyBorder="1" applyAlignment="1" applyProtection="1">
      <alignment horizontal="left" vertical="center" wrapText="1"/>
      <protection hidden="1"/>
    </xf>
    <xf numFmtId="0" fontId="53" fillId="0" borderId="7" xfId="0" applyFont="1" applyBorder="1" applyAlignment="1" applyProtection="1">
      <alignment horizontal="left" vertical="center" wrapText="1"/>
      <protection hidden="1"/>
    </xf>
    <xf numFmtId="0" fontId="74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53" fillId="4" borderId="36" xfId="0" applyFont="1" applyFill="1" applyBorder="1" applyAlignment="1" applyProtection="1">
      <alignment horizontal="left" vertical="center" wrapText="1"/>
      <protection hidden="1"/>
    </xf>
    <xf numFmtId="0" fontId="53" fillId="4" borderId="146" xfId="0" applyFont="1" applyFill="1" applyBorder="1" applyAlignment="1" applyProtection="1">
      <alignment horizontal="left" vertical="center" wrapText="1"/>
      <protection hidden="1"/>
    </xf>
    <xf numFmtId="0" fontId="53" fillId="4" borderId="5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53" fillId="0" borderId="36" xfId="0" applyFont="1" applyBorder="1" applyAlignment="1" applyProtection="1">
      <alignment horizontal="left" vertical="center" wrapText="1"/>
      <protection hidden="1"/>
    </xf>
    <xf numFmtId="0" fontId="53" fillId="0" borderId="146" xfId="0" applyFont="1" applyBorder="1" applyAlignment="1" applyProtection="1">
      <alignment horizontal="left" vertical="center" wrapText="1"/>
      <protection hidden="1"/>
    </xf>
    <xf numFmtId="0" fontId="53" fillId="0" borderId="5" xfId="0" applyFont="1" applyBorder="1" applyAlignment="1" applyProtection="1">
      <alignment horizontal="left" vertical="center" wrapText="1"/>
      <protection hidden="1"/>
    </xf>
    <xf numFmtId="0" fontId="53" fillId="4" borderId="114" xfId="0" applyFont="1" applyFill="1" applyBorder="1" applyAlignment="1" applyProtection="1">
      <alignment horizontal="left" vertical="center" wrapText="1"/>
      <protection hidden="1"/>
    </xf>
    <xf numFmtId="0" fontId="53" fillId="4" borderId="147" xfId="0" applyFont="1" applyFill="1" applyBorder="1" applyAlignment="1" applyProtection="1">
      <alignment horizontal="left" vertical="center" wrapText="1"/>
      <protection hidden="1"/>
    </xf>
    <xf numFmtId="0" fontId="53" fillId="4" borderId="11" xfId="0" applyFont="1" applyFill="1" applyBorder="1" applyAlignment="1" applyProtection="1">
      <alignment horizontal="left" vertical="center" wrapText="1"/>
      <protection hidden="1"/>
    </xf>
    <xf numFmtId="0" fontId="53" fillId="0" borderId="85" xfId="0" applyFont="1" applyBorder="1" applyAlignment="1" applyProtection="1">
      <alignment horizontal="left" vertical="center" wrapText="1"/>
      <protection hidden="1"/>
    </xf>
    <xf numFmtId="0" fontId="53" fillId="0" borderId="147" xfId="0" applyFont="1" applyBorder="1" applyAlignment="1" applyProtection="1">
      <alignment horizontal="left" vertical="center" wrapText="1"/>
      <protection hidden="1"/>
    </xf>
    <xf numFmtId="0" fontId="53" fillId="0" borderId="84" xfId="0" applyFont="1" applyBorder="1" applyAlignment="1" applyProtection="1">
      <alignment horizontal="left" vertical="center" wrapText="1"/>
      <protection hidden="1"/>
    </xf>
    <xf numFmtId="0" fontId="63" fillId="0" borderId="81" xfId="0" applyFont="1" applyBorder="1" applyAlignment="1" applyProtection="1">
      <alignment horizontal="left" vertical="center" wrapText="1"/>
      <protection hidden="1"/>
    </xf>
    <xf numFmtId="0" fontId="63" fillId="0" borderId="80" xfId="0" applyFont="1" applyBorder="1" applyAlignment="1" applyProtection="1">
      <alignment horizontal="left" vertical="center" wrapText="1"/>
      <protection hidden="1"/>
    </xf>
    <xf numFmtId="0" fontId="63" fillId="0" borderId="82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66" fillId="0" borderId="89" xfId="0" applyFont="1" applyBorder="1" applyAlignment="1" applyProtection="1">
      <alignment horizontal="left" vertical="center" wrapText="1"/>
      <protection hidden="1"/>
    </xf>
    <xf numFmtId="0" fontId="53" fillId="0" borderId="166" xfId="0" applyFont="1" applyBorder="1" applyAlignment="1" applyProtection="1">
      <alignment horizontal="left" vertical="center" wrapText="1"/>
      <protection hidden="1"/>
    </xf>
    <xf numFmtId="0" fontId="53" fillId="0" borderId="159" xfId="0" applyFont="1" applyBorder="1" applyAlignment="1" applyProtection="1">
      <alignment horizontal="left" vertical="center" wrapText="1"/>
      <protection hidden="1"/>
    </xf>
    <xf numFmtId="0" fontId="53" fillId="4" borderId="35" xfId="0" applyFont="1" applyFill="1" applyBorder="1" applyAlignment="1" applyProtection="1">
      <alignment horizontal="left" vertical="center" wrapText="1"/>
      <protection hidden="1"/>
    </xf>
    <xf numFmtId="0" fontId="53" fillId="0" borderId="114" xfId="0" applyFont="1" applyBorder="1" applyAlignment="1" applyProtection="1">
      <alignment horizontal="left" vertical="center" wrapText="1"/>
      <protection hidden="1"/>
    </xf>
    <xf numFmtId="0" fontId="53" fillId="0" borderId="11" xfId="0" applyFont="1" applyBorder="1" applyAlignment="1" applyProtection="1">
      <alignment horizontal="left" vertical="center" wrapText="1"/>
      <protection hidden="1"/>
    </xf>
    <xf numFmtId="0" fontId="53" fillId="0" borderId="132" xfId="0" applyFont="1" applyBorder="1" applyAlignment="1" applyProtection="1">
      <alignment horizontal="left" vertical="center" wrapText="1"/>
      <protection hidden="1"/>
    </xf>
    <xf numFmtId="0" fontId="53" fillId="0" borderId="35" xfId="0" applyFont="1" applyBorder="1" applyAlignment="1" applyProtection="1">
      <alignment horizontal="left" vertical="center" wrapText="1"/>
      <protection hidden="1"/>
    </xf>
    <xf numFmtId="0" fontId="53" fillId="4" borderId="132" xfId="0" applyFont="1" applyFill="1" applyBorder="1" applyAlignment="1" applyProtection="1">
      <alignment horizontal="left" vertical="center" wrapText="1"/>
      <protection hidden="1"/>
    </xf>
    <xf numFmtId="0" fontId="53" fillId="0" borderId="118" xfId="0" applyFont="1" applyBorder="1" applyAlignment="1" applyProtection="1">
      <alignment horizontal="left" vertical="center" wrapText="1"/>
      <protection hidden="1"/>
    </xf>
    <xf numFmtId="0" fontId="53" fillId="0" borderId="137" xfId="0" applyFont="1" applyBorder="1" applyAlignment="1" applyProtection="1">
      <alignment horizontal="left" vertical="center" wrapText="1"/>
      <protection hidden="1"/>
    </xf>
    <xf numFmtId="0" fontId="53" fillId="0" borderId="117" xfId="0" applyFont="1" applyBorder="1" applyAlignment="1" applyProtection="1">
      <alignment horizontal="left" vertical="center" wrapText="1"/>
      <protection hidden="1"/>
    </xf>
    <xf numFmtId="0" fontId="53" fillId="0" borderId="116" xfId="0" applyFont="1" applyBorder="1" applyAlignment="1" applyProtection="1">
      <alignment horizontal="left" vertical="center" wrapText="1"/>
      <protection hidden="1"/>
    </xf>
    <xf numFmtId="0" fontId="63" fillId="0" borderId="115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/>
      <protection hidden="1"/>
    </xf>
    <xf numFmtId="0" fontId="22" fillId="0" borderId="0" xfId="0" applyFont="1" applyAlignment="1" applyProtection="1">
      <alignment horizontal="left"/>
      <protection hidden="1"/>
    </xf>
    <xf numFmtId="0" fontId="64" fillId="0" borderId="89" xfId="0" applyFont="1" applyBorder="1" applyAlignment="1" applyProtection="1">
      <alignment horizontal="left" vertical="center" wrapText="1"/>
      <protection hidden="1"/>
    </xf>
    <xf numFmtId="0" fontId="64" fillId="0" borderId="88" xfId="0" applyFont="1" applyBorder="1" applyAlignment="1" applyProtection="1">
      <alignment horizontal="left" vertical="center" wrapText="1"/>
      <protection hidden="1"/>
    </xf>
    <xf numFmtId="0" fontId="64" fillId="0" borderId="115" xfId="0" applyFont="1" applyBorder="1" applyAlignment="1" applyProtection="1">
      <alignment horizontal="left" vertical="center" wrapText="1"/>
      <protection hidden="1"/>
    </xf>
    <xf numFmtId="0" fontId="53" fillId="4" borderId="85" xfId="0" applyFont="1" applyFill="1" applyBorder="1" applyAlignment="1" applyProtection="1">
      <alignment horizontal="left" vertical="center" wrapText="1"/>
      <protection hidden="1"/>
    </xf>
    <xf numFmtId="0" fontId="53" fillId="4" borderId="86" xfId="0" applyFont="1" applyFill="1" applyBorder="1" applyAlignment="1" applyProtection="1">
      <alignment horizontal="left" vertical="center" wrapText="1"/>
      <protection hidden="1"/>
    </xf>
    <xf numFmtId="0" fontId="53" fillId="0" borderId="86" xfId="0" applyFont="1" applyBorder="1" applyAlignment="1" applyProtection="1">
      <alignment horizontal="left" vertical="center" wrapText="1"/>
      <protection hidden="1"/>
    </xf>
    <xf numFmtId="0" fontId="63" fillId="0" borderId="148" xfId="0" applyFont="1" applyBorder="1" applyAlignment="1" applyProtection="1">
      <alignment horizontal="left" vertical="center" wrapText="1"/>
      <protection hidden="1"/>
    </xf>
    <xf numFmtId="0" fontId="63" fillId="0" borderId="150" xfId="0" applyFont="1" applyBorder="1" applyAlignment="1" applyProtection="1">
      <alignment horizontal="left" vertical="center" wrapText="1"/>
      <protection hidden="1"/>
    </xf>
    <xf numFmtId="0" fontId="53" fillId="0" borderId="36" xfId="0" applyFont="1" applyFill="1" applyBorder="1" applyAlignment="1" applyProtection="1">
      <alignment horizontal="left" vertical="center" wrapText="1"/>
      <protection hidden="1"/>
    </xf>
    <xf numFmtId="0" fontId="53" fillId="0" borderId="146" xfId="0" applyFont="1" applyFill="1" applyBorder="1" applyAlignment="1" applyProtection="1">
      <alignment horizontal="left" vertical="center" wrapText="1"/>
      <protection hidden="1"/>
    </xf>
    <xf numFmtId="0" fontId="63" fillId="0" borderId="127" xfId="0" applyFont="1" applyBorder="1" applyAlignment="1" applyProtection="1">
      <alignment horizontal="left" vertical="center" wrapText="1"/>
      <protection hidden="1"/>
    </xf>
    <xf numFmtId="0" fontId="63" fillId="0" borderId="138" xfId="0" applyFont="1" applyBorder="1" applyAlignment="1" applyProtection="1">
      <alignment horizontal="left" vertical="center" wrapText="1"/>
      <protection hidden="1"/>
    </xf>
    <xf numFmtId="0" fontId="53" fillId="0" borderId="0" xfId="0" applyFont="1" applyBorder="1" applyAlignment="1" applyProtection="1">
      <alignment horizontal="left" vertical="center" wrapText="1"/>
      <protection hidden="1"/>
    </xf>
    <xf numFmtId="0" fontId="63" fillId="0" borderId="162" xfId="0" applyFont="1" applyBorder="1" applyAlignment="1" applyProtection="1">
      <alignment horizontal="left" vertical="center" wrapText="1"/>
      <protection hidden="1"/>
    </xf>
    <xf numFmtId="0" fontId="63" fillId="0" borderId="0" xfId="0" applyFont="1" applyBorder="1" applyAlignment="1" applyProtection="1">
      <alignment horizontal="left" vertical="center" wrapText="1"/>
      <protection hidden="1"/>
    </xf>
    <xf numFmtId="0" fontId="53" fillId="0" borderId="71" xfId="0" applyFont="1" applyBorder="1" applyAlignment="1" applyProtection="1">
      <alignment horizontal="left" vertical="center" wrapText="1"/>
      <protection hidden="1"/>
    </xf>
    <xf numFmtId="0" fontId="53" fillId="4" borderId="32" xfId="0" applyFont="1" applyFill="1" applyBorder="1" applyAlignment="1" applyProtection="1">
      <alignment horizontal="left" vertical="center" wrapText="1"/>
      <protection hidden="1"/>
    </xf>
    <xf numFmtId="0" fontId="53" fillId="0" borderId="32" xfId="0" applyFont="1" applyBorder="1" applyAlignment="1" applyProtection="1">
      <alignment horizontal="left" vertical="center" wrapText="1"/>
      <protection hidden="1"/>
    </xf>
    <xf numFmtId="0" fontId="53" fillId="0" borderId="32" xfId="0" applyFont="1" applyFill="1" applyBorder="1" applyAlignment="1" applyProtection="1">
      <alignment horizontal="left" vertical="center" wrapText="1"/>
      <protection hidden="1"/>
    </xf>
    <xf numFmtId="0" fontId="53" fillId="4" borderId="129" xfId="0" applyFont="1" applyFill="1" applyBorder="1" applyAlignment="1" applyProtection="1">
      <alignment horizontal="left" vertical="center" wrapText="1"/>
      <protection hidden="1"/>
    </xf>
    <xf numFmtId="0" fontId="60" fillId="0" borderId="96" xfId="0" applyFont="1" applyBorder="1" applyAlignment="1" applyProtection="1">
      <alignment horizontal="center" vertical="center"/>
      <protection hidden="1"/>
    </xf>
    <xf numFmtId="0" fontId="60" fillId="0" borderId="5" xfId="0" applyFont="1" applyBorder="1" applyAlignment="1" applyProtection="1">
      <alignment horizontal="center" vertical="center"/>
      <protection hidden="1"/>
    </xf>
    <xf numFmtId="0" fontId="60" fillId="0" borderId="95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5" borderId="162" xfId="0" applyFont="1" applyFill="1" applyBorder="1" applyAlignment="1" applyProtection="1">
      <alignment horizontal="center" vertical="center" wrapText="1"/>
      <protection hidden="1"/>
    </xf>
    <xf numFmtId="0" fontId="4" fillId="5" borderId="80" xfId="0" applyFont="1" applyFill="1" applyBorder="1" applyAlignment="1" applyProtection="1">
      <alignment horizontal="center" vertical="center" wrapText="1"/>
      <protection hidden="1"/>
    </xf>
    <xf numFmtId="0" fontId="4" fillId="5" borderId="79" xfId="0" applyFont="1" applyFill="1" applyBorder="1" applyAlignment="1" applyProtection="1">
      <alignment horizontal="center" vertical="center" wrapText="1"/>
      <protection hidden="1"/>
    </xf>
    <xf numFmtId="0" fontId="4" fillId="5" borderId="42" xfId="0" applyFont="1" applyFill="1" applyBorder="1" applyAlignment="1" applyProtection="1">
      <alignment horizontal="center" vertical="center" wrapText="1"/>
      <protection hidden="1"/>
    </xf>
    <xf numFmtId="0" fontId="4" fillId="5" borderId="7" xfId="0" applyFont="1" applyFill="1" applyBorder="1" applyAlignment="1" applyProtection="1">
      <alignment horizontal="center" vertical="center" wrapText="1"/>
      <protection hidden="1"/>
    </xf>
    <xf numFmtId="0" fontId="4" fillId="5" borderId="6" xfId="0" applyFont="1" applyFill="1" applyBorder="1" applyAlignment="1" applyProtection="1">
      <alignment horizontal="center" vertical="center" wrapText="1"/>
      <protection hidden="1"/>
    </xf>
    <xf numFmtId="0" fontId="72" fillId="2" borderId="67" xfId="0" applyFont="1" applyFill="1" applyBorder="1" applyAlignment="1" applyProtection="1">
      <alignment horizontal="center" vertical="center"/>
      <protection hidden="1"/>
    </xf>
    <xf numFmtId="0" fontId="72" fillId="2" borderId="56" xfId="0" applyFont="1" applyFill="1" applyBorder="1" applyAlignment="1" applyProtection="1">
      <alignment horizontal="center" vertical="center"/>
      <protection hidden="1"/>
    </xf>
    <xf numFmtId="0" fontId="72" fillId="2" borderId="64" xfId="0" applyFont="1" applyFill="1" applyBorder="1" applyAlignment="1" applyProtection="1">
      <alignment horizontal="center" vertical="center"/>
      <protection hidden="1"/>
    </xf>
    <xf numFmtId="0" fontId="31" fillId="0" borderId="101" xfId="0" applyFont="1" applyBorder="1" applyAlignment="1" applyProtection="1">
      <alignment horizontal="center" vertical="center" wrapText="1"/>
      <protection hidden="1"/>
    </xf>
    <xf numFmtId="0" fontId="31" fillId="0" borderId="80" xfId="0" applyFont="1" applyBorder="1" applyAlignment="1" applyProtection="1">
      <alignment horizontal="center" vertical="center" wrapText="1"/>
      <protection hidden="1"/>
    </xf>
    <xf numFmtId="0" fontId="31" fillId="0" borderId="79" xfId="0" applyFont="1" applyBorder="1" applyAlignment="1" applyProtection="1">
      <alignment horizontal="center" vertical="center" wrapText="1"/>
      <protection hidden="1"/>
    </xf>
    <xf numFmtId="0" fontId="31" fillId="0" borderId="9" xfId="0" applyFont="1" applyBorder="1" applyAlignment="1" applyProtection="1">
      <alignment horizontal="center" vertical="center" wrapText="1"/>
      <protection hidden="1"/>
    </xf>
    <xf numFmtId="0" fontId="31" fillId="0" borderId="0" xfId="0" applyFont="1" applyBorder="1" applyAlignment="1" applyProtection="1">
      <alignment horizontal="center" vertical="center" wrapText="1"/>
      <protection hidden="1"/>
    </xf>
    <xf numFmtId="0" fontId="31" fillId="0" borderId="8" xfId="0" applyFont="1" applyBorder="1" applyAlignment="1" applyProtection="1">
      <alignment horizontal="center" vertical="center" wrapText="1"/>
      <protection hidden="1"/>
    </xf>
    <xf numFmtId="0" fontId="31" fillId="0" borderId="133" xfId="0" applyFont="1" applyBorder="1" applyAlignment="1" applyProtection="1">
      <alignment horizontal="center" vertical="center" wrapText="1"/>
      <protection hidden="1"/>
    </xf>
    <xf numFmtId="0" fontId="31" fillId="0" borderId="117" xfId="0" applyFont="1" applyBorder="1" applyAlignment="1" applyProtection="1">
      <alignment horizontal="center" vertical="center" wrapText="1"/>
      <protection hidden="1"/>
    </xf>
    <xf numFmtId="0" fontId="31" fillId="0" borderId="100" xfId="0" applyFont="1" applyBorder="1" applyAlignment="1" applyProtection="1">
      <alignment horizontal="center" vertical="center" wrapText="1"/>
      <protection hidden="1"/>
    </xf>
    <xf numFmtId="0" fontId="31" fillId="0" borderId="61" xfId="0" applyFont="1" applyBorder="1" applyAlignment="1" applyProtection="1">
      <alignment horizontal="center" vertical="center" wrapText="1"/>
      <protection hidden="1"/>
    </xf>
    <xf numFmtId="0" fontId="31" fillId="0" borderId="22" xfId="0" applyFont="1" applyBorder="1" applyAlignment="1" applyProtection="1">
      <alignment horizontal="center" vertical="center" wrapText="1"/>
      <protection hidden="1"/>
    </xf>
    <xf numFmtId="0" fontId="31" fillId="0" borderId="60" xfId="0" applyFont="1" applyBorder="1" applyAlignment="1" applyProtection="1">
      <alignment horizontal="center" vertical="center" wrapText="1"/>
      <protection hidden="1"/>
    </xf>
    <xf numFmtId="0" fontId="5" fillId="0" borderId="99" xfId="0" applyFont="1" applyBorder="1" applyAlignment="1" applyProtection="1">
      <alignment horizontal="center" vertical="center"/>
      <protection hidden="1"/>
    </xf>
    <xf numFmtId="0" fontId="5" fillId="0" borderId="105" xfId="0" applyFont="1" applyBorder="1" applyAlignment="1" applyProtection="1">
      <alignment horizontal="center" vertical="center"/>
      <protection hidden="1"/>
    </xf>
    <xf numFmtId="0" fontId="5" fillId="7" borderId="105" xfId="0" applyFont="1" applyFill="1" applyBorder="1" applyAlignment="1" applyProtection="1">
      <alignment horizontal="center" vertical="center"/>
      <protection locked="0" hidden="1"/>
    </xf>
    <xf numFmtId="0" fontId="5" fillId="7" borderId="104" xfId="0" applyFont="1" applyFill="1" applyBorder="1" applyAlignment="1" applyProtection="1">
      <alignment horizontal="center" vertical="center"/>
      <protection locked="0" hidden="1"/>
    </xf>
    <xf numFmtId="0" fontId="54" fillId="0" borderId="31" xfId="0" applyFont="1" applyBorder="1" applyAlignment="1" applyProtection="1">
      <alignment horizontal="left" vertical="center" shrinkToFit="1"/>
      <protection hidden="1"/>
    </xf>
    <xf numFmtId="0" fontId="54" fillId="0" borderId="30" xfId="0" applyFont="1" applyBorder="1" applyAlignment="1" applyProtection="1">
      <alignment horizontal="left" vertical="center" shrinkToFit="1"/>
      <protection hidden="1"/>
    </xf>
    <xf numFmtId="0" fontId="34" fillId="0" borderId="76" xfId="0" applyFont="1" applyBorder="1" applyAlignment="1" applyProtection="1">
      <alignment horizontal="center" vertical="center"/>
      <protection locked="0" hidden="1"/>
    </xf>
    <xf numFmtId="0" fontId="34" fillId="0" borderId="0" xfId="0" applyFont="1" applyBorder="1" applyAlignment="1" applyProtection="1">
      <alignment horizontal="center" vertical="center"/>
      <protection locked="0" hidden="1"/>
    </xf>
    <xf numFmtId="0" fontId="34" fillId="0" borderId="77" xfId="0" applyFont="1" applyBorder="1" applyAlignment="1" applyProtection="1">
      <alignment horizontal="center" vertical="center"/>
      <protection locked="0" hidden="1"/>
    </xf>
    <xf numFmtId="0" fontId="34" fillId="0" borderId="73" xfId="0" applyFont="1" applyBorder="1" applyAlignment="1" applyProtection="1">
      <alignment horizontal="center" vertical="center"/>
      <protection locked="0" hidden="1"/>
    </xf>
    <xf numFmtId="0" fontId="34" fillId="0" borderId="22" xfId="0" applyFont="1" applyBorder="1" applyAlignment="1" applyProtection="1">
      <alignment horizontal="center" vertical="center"/>
      <protection locked="0" hidden="1"/>
    </xf>
    <xf numFmtId="0" fontId="34" fillId="0" borderId="74" xfId="0" applyFont="1" applyBorder="1" applyAlignment="1" applyProtection="1">
      <alignment horizontal="center" vertical="center"/>
      <protection locked="0" hidden="1"/>
    </xf>
    <xf numFmtId="0" fontId="62" fillId="5" borderId="118" xfId="0" applyFont="1" applyFill="1" applyBorder="1" applyAlignment="1" applyProtection="1">
      <alignment horizontal="center" vertical="center" wrapText="1"/>
      <protection hidden="1"/>
    </xf>
    <xf numFmtId="0" fontId="62" fillId="5" borderId="117" xfId="0" applyFont="1" applyFill="1" applyBorder="1" applyAlignment="1" applyProtection="1">
      <alignment horizontal="center" vertical="center" wrapText="1"/>
      <protection hidden="1"/>
    </xf>
    <xf numFmtId="0" fontId="62" fillId="5" borderId="116" xfId="0" applyFont="1" applyFill="1" applyBorder="1" applyAlignment="1" applyProtection="1">
      <alignment horizontal="center" vertical="center" wrapText="1"/>
      <protection hidden="1"/>
    </xf>
    <xf numFmtId="0" fontId="21" fillId="3" borderId="88" xfId="0" applyFont="1" applyFill="1" applyBorder="1" applyAlignment="1" applyProtection="1">
      <alignment horizontal="center" vertical="center"/>
      <protection hidden="1"/>
    </xf>
    <xf numFmtId="0" fontId="21" fillId="3" borderId="115" xfId="0" applyFont="1" applyFill="1" applyBorder="1" applyAlignment="1" applyProtection="1">
      <alignment horizontal="center" vertical="center"/>
      <protection hidden="1"/>
    </xf>
    <xf numFmtId="0" fontId="12" fillId="5" borderId="81" xfId="0" applyFont="1" applyFill="1" applyBorder="1" applyAlignment="1" applyProtection="1">
      <alignment horizontal="center" vertical="center"/>
      <protection locked="0" hidden="1"/>
    </xf>
    <xf numFmtId="0" fontId="12" fillId="5" borderId="80" xfId="0" applyFont="1" applyFill="1" applyBorder="1" applyAlignment="1" applyProtection="1">
      <alignment horizontal="center" vertical="center"/>
      <protection locked="0" hidden="1"/>
    </xf>
    <xf numFmtId="0" fontId="12" fillId="5" borderId="82" xfId="0" applyFont="1" applyFill="1" applyBorder="1" applyAlignment="1" applyProtection="1">
      <alignment horizontal="center" vertical="center"/>
      <protection locked="0" hidden="1"/>
    </xf>
    <xf numFmtId="0" fontId="12" fillId="5" borderId="73" xfId="0" applyFont="1" applyFill="1" applyBorder="1" applyAlignment="1" applyProtection="1">
      <alignment horizontal="center" vertical="center"/>
      <protection locked="0" hidden="1"/>
    </xf>
    <xf numFmtId="0" fontId="12" fillId="5" borderId="22" xfId="0" applyFont="1" applyFill="1" applyBorder="1" applyAlignment="1" applyProtection="1">
      <alignment horizontal="center" vertical="center"/>
      <protection locked="0" hidden="1"/>
    </xf>
    <xf numFmtId="0" fontId="12" fillId="5" borderId="74" xfId="0" applyFont="1" applyFill="1" applyBorder="1" applyAlignment="1" applyProtection="1">
      <alignment horizontal="center" vertical="center"/>
      <protection locked="0" hidden="1"/>
    </xf>
    <xf numFmtId="0" fontId="4" fillId="0" borderId="113" xfId="0" applyFont="1" applyBorder="1" applyAlignment="1" applyProtection="1">
      <alignment horizontal="center" vertical="center" shrinkToFit="1"/>
      <protection locked="0" hidden="1"/>
    </xf>
    <xf numFmtId="0" fontId="4" fillId="0" borderId="17" xfId="0" applyFont="1" applyBorder="1" applyAlignment="1" applyProtection="1">
      <alignment horizontal="center" vertical="center" shrinkToFit="1"/>
      <protection locked="0" hidden="1"/>
    </xf>
    <xf numFmtId="0" fontId="4" fillId="6" borderId="95" xfId="0" applyFont="1" applyFill="1" applyBorder="1" applyAlignment="1" applyProtection="1">
      <alignment horizontal="center" vertical="center"/>
      <protection locked="0" hidden="1"/>
    </xf>
    <xf numFmtId="0" fontId="4" fillId="6" borderId="31" xfId="0" applyFont="1" applyFill="1" applyBorder="1" applyAlignment="1" applyProtection="1">
      <alignment horizontal="center" vertical="center"/>
      <protection locked="0" hidden="1"/>
    </xf>
    <xf numFmtId="0" fontId="4" fillId="6" borderId="30" xfId="0" applyFont="1" applyFill="1" applyBorder="1" applyAlignment="1" applyProtection="1">
      <alignment horizontal="center" vertical="center"/>
      <protection locked="0" hidden="1"/>
    </xf>
    <xf numFmtId="0" fontId="10" fillId="3" borderId="144" xfId="0" applyFont="1" applyFill="1" applyBorder="1" applyAlignment="1" applyProtection="1">
      <alignment horizontal="center" vertical="center"/>
      <protection hidden="1"/>
    </xf>
    <xf numFmtId="0" fontId="10" fillId="3" borderId="126" xfId="0" applyFont="1" applyFill="1" applyBorder="1" applyAlignment="1" applyProtection="1">
      <alignment horizontal="center" vertical="center"/>
      <protection hidden="1"/>
    </xf>
    <xf numFmtId="0" fontId="10" fillId="3" borderId="138" xfId="0" applyFont="1" applyFill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 shrinkToFit="1"/>
      <protection locked="0" hidden="1"/>
    </xf>
    <xf numFmtId="0" fontId="4" fillId="0" borderId="31" xfId="0" applyFont="1" applyBorder="1" applyAlignment="1" applyProtection="1">
      <alignment horizontal="center" vertical="center" shrinkToFit="1"/>
      <protection locked="0" hidden="1"/>
    </xf>
    <xf numFmtId="0" fontId="4" fillId="0" borderId="30" xfId="0" applyFont="1" applyBorder="1" applyAlignment="1" applyProtection="1">
      <alignment horizontal="center" vertical="center" shrinkToFit="1"/>
      <protection locked="0" hidden="1"/>
    </xf>
    <xf numFmtId="0" fontId="25" fillId="3" borderId="89" xfId="0" applyFont="1" applyFill="1" applyBorder="1" applyAlignment="1" applyProtection="1">
      <alignment horizontal="center" vertical="center"/>
      <protection hidden="1"/>
    </xf>
    <xf numFmtId="0" fontId="24" fillId="3" borderId="88" xfId="0" applyFont="1" applyFill="1" applyBorder="1" applyAlignment="1" applyProtection="1">
      <alignment horizontal="center" vertical="center"/>
      <protection hidden="1"/>
    </xf>
    <xf numFmtId="0" fontId="24" fillId="3" borderId="115" xfId="0" applyFont="1" applyFill="1" applyBorder="1" applyAlignment="1" applyProtection="1">
      <alignment horizontal="center" vertical="center"/>
      <protection hidden="1"/>
    </xf>
    <xf numFmtId="0" fontId="59" fillId="0" borderId="32" xfId="0" applyFont="1" applyBorder="1" applyAlignment="1" applyProtection="1">
      <alignment horizontal="center" vertical="center" wrapText="1" shrinkToFit="1"/>
      <protection hidden="1"/>
    </xf>
    <xf numFmtId="0" fontId="59" fillId="0" borderId="31" xfId="0" applyFont="1" applyBorder="1" applyAlignment="1" applyProtection="1">
      <alignment horizontal="center" vertical="center" wrapText="1" shrinkToFit="1"/>
      <protection hidden="1"/>
    </xf>
    <xf numFmtId="0" fontId="59" fillId="0" borderId="96" xfId="0" applyFont="1" applyBorder="1" applyAlignment="1" applyProtection="1">
      <alignment horizontal="center" vertical="center" wrapText="1" shrinkToFit="1"/>
      <protection hidden="1"/>
    </xf>
    <xf numFmtId="0" fontId="59" fillId="0" borderId="30" xfId="0" applyFont="1" applyBorder="1" applyAlignment="1" applyProtection="1">
      <alignment horizontal="center" vertical="center" wrapText="1" shrinkToFit="1"/>
      <protection hidden="1"/>
    </xf>
    <xf numFmtId="0" fontId="59" fillId="0" borderId="95" xfId="0" applyFont="1" applyBorder="1" applyAlignment="1" applyProtection="1">
      <alignment horizontal="center" vertical="center" wrapText="1" shrinkToFit="1"/>
      <protection hidden="1"/>
    </xf>
    <xf numFmtId="0" fontId="18" fillId="6" borderId="81" xfId="0" applyNumberFormat="1" applyFont="1" applyFill="1" applyBorder="1" applyAlignment="1" applyProtection="1">
      <alignment horizontal="center" vertical="center"/>
      <protection locked="0" hidden="1"/>
    </xf>
    <xf numFmtId="49" fontId="18" fillId="6" borderId="82" xfId="0" applyNumberFormat="1" applyFont="1" applyFill="1" applyBorder="1" applyAlignment="1" applyProtection="1">
      <alignment horizontal="center" vertical="center"/>
      <protection locked="0" hidden="1"/>
    </xf>
    <xf numFmtId="49" fontId="18" fillId="6" borderId="118" xfId="0" applyNumberFormat="1" applyFont="1" applyFill="1" applyBorder="1" applyAlignment="1" applyProtection="1">
      <alignment horizontal="center" vertical="center"/>
      <protection locked="0" hidden="1"/>
    </xf>
    <xf numFmtId="49" fontId="18" fillId="6" borderId="116" xfId="0" applyNumberFormat="1" applyFont="1" applyFill="1" applyBorder="1" applyAlignment="1" applyProtection="1">
      <alignment horizontal="center" vertical="center"/>
      <protection locked="0" hidden="1"/>
    </xf>
    <xf numFmtId="0" fontId="20" fillId="3" borderId="89" xfId="0" applyFont="1" applyFill="1" applyBorder="1" applyAlignment="1" applyProtection="1">
      <alignment horizontal="left" vertical="center"/>
      <protection hidden="1"/>
    </xf>
    <xf numFmtId="0" fontId="19" fillId="3" borderId="115" xfId="0" applyFont="1" applyFill="1" applyBorder="1" applyAlignment="1" applyProtection="1">
      <alignment horizontal="left" vertical="center"/>
      <protection hidden="1"/>
    </xf>
    <xf numFmtId="0" fontId="58" fillId="6" borderId="97" xfId="0" applyFont="1" applyFill="1" applyBorder="1" applyAlignment="1" applyProtection="1">
      <alignment horizontal="center" vertical="center"/>
      <protection locked="0" hidden="1"/>
    </xf>
    <xf numFmtId="0" fontId="58" fillId="6" borderId="44" xfId="0" applyFont="1" applyFill="1" applyBorder="1" applyAlignment="1" applyProtection="1">
      <alignment horizontal="center" vertical="center"/>
      <protection locked="0" hidden="1"/>
    </xf>
    <xf numFmtId="0" fontId="58" fillId="6" borderId="29" xfId="0" applyFont="1" applyFill="1" applyBorder="1" applyAlignment="1" applyProtection="1">
      <alignment horizontal="center" vertical="center"/>
      <protection locked="0" hidden="1"/>
    </xf>
    <xf numFmtId="164" fontId="58" fillId="6" borderId="31" xfId="0" applyNumberFormat="1" applyFont="1" applyFill="1" applyBorder="1" applyAlignment="1" applyProtection="1">
      <alignment horizontal="center" vertical="center"/>
      <protection locked="0" hidden="1"/>
    </xf>
    <xf numFmtId="0" fontId="54" fillId="6" borderId="36" xfId="0" applyFont="1" applyFill="1" applyBorder="1" applyAlignment="1" applyProtection="1">
      <alignment horizontal="left" vertical="center"/>
      <protection locked="0" hidden="1"/>
    </xf>
    <xf numFmtId="0" fontId="54" fillId="6" borderId="5" xfId="0" applyFont="1" applyFill="1" applyBorder="1" applyAlignment="1" applyProtection="1">
      <alignment horizontal="left" vertical="center"/>
      <protection locked="0" hidden="1"/>
    </xf>
    <xf numFmtId="0" fontId="54" fillId="6" borderId="95" xfId="0" applyFont="1" applyFill="1" applyBorder="1" applyAlignment="1" applyProtection="1">
      <alignment horizontal="left" vertical="center"/>
      <protection locked="0" hidden="1"/>
    </xf>
    <xf numFmtId="0" fontId="54" fillId="0" borderId="45" xfId="0" applyFont="1" applyBorder="1" applyAlignment="1" applyProtection="1">
      <alignment horizontal="left" vertical="center"/>
      <protection hidden="1"/>
    </xf>
    <xf numFmtId="0" fontId="54" fillId="0" borderId="44" xfId="0" applyFont="1" applyBorder="1" applyAlignment="1" applyProtection="1">
      <alignment horizontal="left" vertical="center"/>
      <protection hidden="1"/>
    </xf>
    <xf numFmtId="0" fontId="54" fillId="0" borderId="29" xfId="0" applyFont="1" applyBorder="1" applyAlignment="1" applyProtection="1">
      <alignment horizontal="left" vertical="center"/>
      <protection hidden="1"/>
    </xf>
    <xf numFmtId="0" fontId="13" fillId="2" borderId="89" xfId="0" applyFont="1" applyFill="1" applyBorder="1" applyAlignment="1" applyProtection="1">
      <alignment horizontal="left" vertical="center"/>
      <protection hidden="1"/>
    </xf>
    <xf numFmtId="0" fontId="13" fillId="2" borderId="88" xfId="0" applyFont="1" applyFill="1" applyBorder="1" applyAlignment="1" applyProtection="1">
      <alignment horizontal="left" vertical="center"/>
      <protection hidden="1"/>
    </xf>
    <xf numFmtId="0" fontId="13" fillId="2" borderId="115" xfId="0" applyFont="1" applyFill="1" applyBorder="1" applyAlignment="1" applyProtection="1">
      <alignment horizontal="left" vertical="center"/>
      <protection hidden="1"/>
    </xf>
    <xf numFmtId="164" fontId="58" fillId="6" borderId="28" xfId="0" applyNumberFormat="1" applyFont="1" applyFill="1" applyBorder="1" applyAlignment="1" applyProtection="1">
      <alignment horizontal="center" vertical="center"/>
      <protection locked="0" hidden="1"/>
    </xf>
    <xf numFmtId="0" fontId="58" fillId="6" borderId="96" xfId="0" applyFont="1" applyFill="1" applyBorder="1" applyAlignment="1" applyProtection="1">
      <alignment horizontal="center" vertical="center"/>
      <protection locked="0" hidden="1"/>
    </xf>
    <xf numFmtId="0" fontId="58" fillId="6" borderId="5" xfId="0" applyFont="1" applyFill="1" applyBorder="1" applyAlignment="1" applyProtection="1">
      <alignment horizontal="center" vertical="center"/>
      <protection locked="0" hidden="1"/>
    </xf>
    <xf numFmtId="0" fontId="58" fillId="6" borderId="95" xfId="0" applyFont="1" applyFill="1" applyBorder="1" applyAlignment="1" applyProtection="1">
      <alignment horizontal="center" vertical="center"/>
      <protection locked="0" hidden="1"/>
    </xf>
    <xf numFmtId="0" fontId="10" fillId="3" borderId="36" xfId="0" applyFont="1" applyFill="1" applyBorder="1" applyAlignment="1" applyProtection="1">
      <alignment horizontal="center" vertical="center"/>
      <protection hidden="1"/>
    </xf>
    <xf numFmtId="0" fontId="10" fillId="3" borderId="5" xfId="0" applyFont="1" applyFill="1" applyBorder="1" applyAlignment="1" applyProtection="1">
      <alignment horizontal="center" vertical="center"/>
      <protection hidden="1"/>
    </xf>
    <xf numFmtId="0" fontId="10" fillId="3" borderId="35" xfId="0" applyFont="1" applyFill="1" applyBorder="1" applyAlignment="1" applyProtection="1">
      <alignment horizontal="center" vertical="center"/>
      <protection hidden="1"/>
    </xf>
    <xf numFmtId="0" fontId="54" fillId="6" borderId="85" xfId="0" applyFont="1" applyFill="1" applyBorder="1" applyAlignment="1" applyProtection="1">
      <alignment horizontal="left" vertical="center"/>
      <protection locked="0" hidden="1"/>
    </xf>
    <xf numFmtId="0" fontId="54" fillId="6" borderId="84" xfId="0" applyFont="1" applyFill="1" applyBorder="1" applyAlignment="1" applyProtection="1">
      <alignment horizontal="left" vertical="center"/>
      <protection locked="0" hidden="1"/>
    </xf>
    <xf numFmtId="0" fontId="54" fillId="6" borderId="40" xfId="0" applyFont="1" applyFill="1" applyBorder="1" applyAlignment="1" applyProtection="1">
      <alignment horizontal="left" vertical="center"/>
      <protection locked="0" hidden="1"/>
    </xf>
    <xf numFmtId="0" fontId="4" fillId="0" borderId="36" xfId="0" applyFont="1" applyBorder="1" applyAlignment="1" applyProtection="1">
      <alignment horizontal="center" vertical="center" shrinkToFit="1"/>
      <protection locked="0" hidden="1"/>
    </xf>
    <xf numFmtId="0" fontId="4" fillId="0" borderId="5" xfId="0" applyFont="1" applyBorder="1" applyAlignment="1" applyProtection="1">
      <alignment horizontal="center" vertical="center" shrinkToFit="1"/>
      <protection locked="0" hidden="1"/>
    </xf>
    <xf numFmtId="0" fontId="4" fillId="0" borderId="4" xfId="0" applyFont="1" applyBorder="1" applyAlignment="1" applyProtection="1">
      <alignment horizontal="center" vertical="center" shrinkToFit="1"/>
      <protection locked="0" hidden="1"/>
    </xf>
    <xf numFmtId="0" fontId="5" fillId="0" borderId="91" xfId="0" applyFont="1" applyFill="1" applyBorder="1" applyAlignment="1" applyProtection="1">
      <alignment horizontal="center" vertical="center" shrinkToFit="1"/>
      <protection locked="0" hidden="1"/>
    </xf>
    <xf numFmtId="0" fontId="5" fillId="0" borderId="53" xfId="0" applyFont="1" applyFill="1" applyBorder="1" applyAlignment="1" applyProtection="1">
      <alignment horizontal="center" vertical="center" shrinkToFit="1"/>
      <protection locked="0" hidden="1"/>
    </xf>
    <xf numFmtId="0" fontId="5" fillId="0" borderId="90" xfId="0" applyFont="1" applyFill="1" applyBorder="1" applyAlignment="1" applyProtection="1">
      <alignment horizontal="center" vertical="center" shrinkToFit="1"/>
      <protection locked="0" hidden="1"/>
    </xf>
    <xf numFmtId="0" fontId="4" fillId="0" borderId="36" xfId="0" applyFont="1" applyBorder="1" applyAlignment="1" applyProtection="1">
      <alignment vertical="center" wrapText="1"/>
      <protection locked="0" hidden="1"/>
    </xf>
    <xf numFmtId="0" fontId="4" fillId="0" borderId="5" xfId="0" applyFont="1" applyBorder="1" applyAlignment="1" applyProtection="1">
      <alignment vertical="center" wrapText="1"/>
      <protection locked="0" hidden="1"/>
    </xf>
    <xf numFmtId="0" fontId="4" fillId="0" borderId="4" xfId="0" applyFont="1" applyBorder="1" applyAlignment="1" applyProtection="1">
      <alignment vertical="center" wrapText="1"/>
      <protection locked="0" hidden="1"/>
    </xf>
    <xf numFmtId="0" fontId="72" fillId="2" borderId="111" xfId="0" applyFont="1" applyFill="1" applyBorder="1" applyAlignment="1" applyProtection="1">
      <alignment horizontal="center" vertical="center" wrapText="1"/>
      <protection hidden="1"/>
    </xf>
    <xf numFmtId="0" fontId="72" fillId="2" borderId="103" xfId="0" applyFont="1" applyFill="1" applyBorder="1" applyAlignment="1" applyProtection="1">
      <alignment horizontal="center" vertical="center" wrapText="1"/>
      <protection hidden="1"/>
    </xf>
    <xf numFmtId="0" fontId="72" fillId="2" borderId="128" xfId="0" applyFont="1" applyFill="1" applyBorder="1" applyAlignment="1" applyProtection="1">
      <alignment horizontal="center" vertical="center" wrapText="1"/>
      <protection hidden="1"/>
    </xf>
    <xf numFmtId="0" fontId="72" fillId="2" borderId="9" xfId="0" applyFont="1" applyFill="1" applyBorder="1" applyAlignment="1" applyProtection="1">
      <alignment horizontal="center" vertical="center" wrapText="1"/>
      <protection hidden="1"/>
    </xf>
    <xf numFmtId="0" fontId="72" fillId="2" borderId="0" xfId="0" applyFont="1" applyFill="1" applyBorder="1" applyAlignment="1" applyProtection="1">
      <alignment horizontal="center" vertical="center" wrapText="1"/>
      <protection hidden="1"/>
    </xf>
    <xf numFmtId="0" fontId="72" fillId="2" borderId="8" xfId="0" applyFont="1" applyFill="1" applyBorder="1" applyAlignment="1" applyProtection="1">
      <alignment horizontal="center" vertical="center" wrapText="1"/>
      <protection hidden="1"/>
    </xf>
    <xf numFmtId="0" fontId="14" fillId="0" borderId="101" xfId="0" applyFont="1" applyBorder="1" applyAlignment="1" applyProtection="1">
      <alignment horizontal="center" vertical="center" wrapText="1"/>
      <protection hidden="1"/>
    </xf>
    <xf numFmtId="0" fontId="5" fillId="0" borderId="80" xfId="0" applyFont="1" applyBorder="1" applyAlignment="1" applyProtection="1">
      <alignment horizontal="center" vertical="center" wrapText="1"/>
      <protection hidden="1"/>
    </xf>
    <xf numFmtId="0" fontId="5" fillId="0" borderId="79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61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60" xfId="0" applyFont="1" applyBorder="1" applyAlignment="1" applyProtection="1">
      <alignment horizontal="center" vertical="center" wrapText="1"/>
      <protection hidden="1"/>
    </xf>
    <xf numFmtId="0" fontId="4" fillId="0" borderId="95" xfId="0" applyFont="1" applyBorder="1" applyAlignment="1" applyProtection="1">
      <alignment horizontal="center" vertical="center" shrinkToFit="1"/>
      <protection locked="0" hidden="1"/>
    </xf>
    <xf numFmtId="0" fontId="4" fillId="0" borderId="96" xfId="0" applyFont="1" applyBorder="1" applyAlignment="1" applyProtection="1">
      <alignment horizontal="center" vertical="center" shrinkToFit="1"/>
      <protection locked="0" hidden="1"/>
    </xf>
    <xf numFmtId="0" fontId="4" fillId="0" borderId="36" xfId="0" applyNumberFormat="1" applyFont="1" applyBorder="1" applyAlignment="1" applyProtection="1">
      <alignment horizontal="left" vertical="center" shrinkToFit="1"/>
      <protection locked="0" hidden="1"/>
    </xf>
    <xf numFmtId="0" fontId="4" fillId="0" borderId="5" xfId="0" applyNumberFormat="1" applyFont="1" applyBorder="1" applyAlignment="1" applyProtection="1">
      <alignment horizontal="left" vertical="center" shrinkToFit="1"/>
      <protection locked="0" hidden="1"/>
    </xf>
    <xf numFmtId="0" fontId="4" fillId="0" borderId="35" xfId="0" applyNumberFormat="1" applyFont="1" applyBorder="1" applyAlignment="1" applyProtection="1">
      <alignment horizontal="left" vertical="center" shrinkToFit="1"/>
      <protection locked="0" hidden="1"/>
    </xf>
    <xf numFmtId="0" fontId="10" fillId="3" borderId="89" xfId="0" applyFont="1" applyFill="1" applyBorder="1" applyAlignment="1" applyProtection="1">
      <alignment horizontal="center" vertical="center"/>
      <protection hidden="1"/>
    </xf>
    <xf numFmtId="0" fontId="10" fillId="3" borderId="88" xfId="0" applyFont="1" applyFill="1" applyBorder="1" applyAlignment="1" applyProtection="1">
      <alignment horizontal="center" vertical="center"/>
      <protection hidden="1"/>
    </xf>
    <xf numFmtId="0" fontId="10" fillId="3" borderId="115" xfId="0" applyFont="1" applyFill="1" applyBorder="1" applyAlignment="1" applyProtection="1">
      <alignment horizontal="center" vertical="center"/>
      <protection hidden="1"/>
    </xf>
    <xf numFmtId="0" fontId="10" fillId="3" borderId="148" xfId="0" applyFont="1" applyFill="1" applyBorder="1" applyAlignment="1" applyProtection="1">
      <alignment horizontal="left" vertical="center"/>
      <protection hidden="1"/>
    </xf>
    <xf numFmtId="0" fontId="10" fillId="3" borderId="149" xfId="0" applyFont="1" applyFill="1" applyBorder="1" applyAlignment="1" applyProtection="1">
      <alignment horizontal="left" vertical="center"/>
      <protection hidden="1"/>
    </xf>
    <xf numFmtId="0" fontId="10" fillId="3" borderId="162" xfId="0" applyFont="1" applyFill="1" applyBorder="1" applyAlignment="1" applyProtection="1">
      <alignment horizontal="left" vertical="center"/>
      <protection hidden="1"/>
    </xf>
    <xf numFmtId="0" fontId="8" fillId="2" borderId="93" xfId="0" applyFont="1" applyFill="1" applyBorder="1" applyAlignment="1" applyProtection="1">
      <alignment horizontal="center" vertical="center" textRotation="90"/>
      <protection hidden="1"/>
    </xf>
    <xf numFmtId="0" fontId="8" fillId="2" borderId="78" xfId="0" applyFont="1" applyFill="1" applyBorder="1" applyAlignment="1" applyProtection="1">
      <alignment horizontal="center" vertical="center" textRotation="90"/>
      <protection hidden="1"/>
    </xf>
    <xf numFmtId="0" fontId="8" fillId="2" borderId="75" xfId="0" applyFont="1" applyFill="1" applyBorder="1" applyAlignment="1" applyProtection="1">
      <alignment horizontal="center" vertical="center" textRotation="90"/>
      <protection hidden="1"/>
    </xf>
    <xf numFmtId="0" fontId="10" fillId="3" borderId="85" xfId="0" applyFont="1" applyFill="1" applyBorder="1" applyAlignment="1" applyProtection="1">
      <alignment horizontal="center" vertical="center"/>
      <protection hidden="1"/>
    </xf>
    <xf numFmtId="0" fontId="10" fillId="3" borderId="84" xfId="0" applyFont="1" applyFill="1" applyBorder="1" applyAlignment="1" applyProtection="1">
      <alignment horizontal="center" vertical="center"/>
      <protection hidden="1"/>
    </xf>
    <xf numFmtId="0" fontId="10" fillId="3" borderId="86" xfId="0" applyFont="1" applyFill="1" applyBorder="1" applyAlignment="1" applyProtection="1">
      <alignment horizontal="center" vertical="center"/>
      <protection hidden="1"/>
    </xf>
    <xf numFmtId="0" fontId="59" fillId="0" borderId="32" xfId="0" applyNumberFormat="1" applyFont="1" applyBorder="1" applyAlignment="1" applyProtection="1">
      <alignment horizontal="center" vertical="center" wrapText="1" shrinkToFit="1"/>
      <protection hidden="1"/>
    </xf>
    <xf numFmtId="0" fontId="59" fillId="0" borderId="31" xfId="0" applyNumberFormat="1" applyFont="1" applyBorder="1" applyAlignment="1" applyProtection="1">
      <alignment horizontal="center" vertical="center" wrapText="1" shrinkToFit="1"/>
      <protection hidden="1"/>
    </xf>
    <xf numFmtId="0" fontId="59" fillId="0" borderId="30" xfId="0" applyNumberFormat="1" applyFont="1" applyBorder="1" applyAlignment="1" applyProtection="1">
      <alignment horizontal="center" vertical="center" wrapText="1" shrinkToFit="1"/>
      <protection hidden="1"/>
    </xf>
    <xf numFmtId="0" fontId="10" fillId="3" borderId="91" xfId="0" applyFont="1" applyFill="1" applyBorder="1" applyAlignment="1" applyProtection="1">
      <alignment horizontal="center" vertical="center"/>
      <protection hidden="1"/>
    </xf>
    <xf numFmtId="0" fontId="10" fillId="3" borderId="53" xfId="0" applyFont="1" applyFill="1" applyBorder="1" applyAlignment="1" applyProtection="1">
      <alignment horizontal="center" vertical="center"/>
      <protection hidden="1"/>
    </xf>
    <xf numFmtId="0" fontId="10" fillId="3" borderId="92" xfId="0" applyFont="1" applyFill="1" applyBorder="1" applyAlignment="1" applyProtection="1">
      <alignment horizontal="center" vertical="center"/>
      <protection hidden="1"/>
    </xf>
    <xf numFmtId="0" fontId="54" fillId="0" borderId="31" xfId="0" applyFont="1" applyBorder="1" applyAlignment="1" applyProtection="1">
      <alignment horizontal="center" vertical="center"/>
      <protection hidden="1"/>
    </xf>
    <xf numFmtId="0" fontId="14" fillId="5" borderId="81" xfId="0" applyFont="1" applyFill="1" applyBorder="1" applyAlignment="1" applyProtection="1">
      <alignment horizontal="left" vertical="center" wrapText="1"/>
      <protection locked="0" hidden="1"/>
    </xf>
    <xf numFmtId="0" fontId="14" fillId="5" borderId="80" xfId="0" applyFont="1" applyFill="1" applyBorder="1" applyAlignment="1" applyProtection="1">
      <alignment horizontal="left" vertical="center" wrapText="1"/>
      <protection locked="0" hidden="1"/>
    </xf>
    <xf numFmtId="0" fontId="14" fillId="5" borderId="79" xfId="0" applyFont="1" applyFill="1" applyBorder="1" applyAlignment="1" applyProtection="1">
      <alignment horizontal="left" vertical="center" wrapText="1"/>
      <protection locked="0" hidden="1"/>
    </xf>
    <xf numFmtId="0" fontId="14" fillId="5" borderId="76" xfId="0" applyFont="1" applyFill="1" applyBorder="1" applyAlignment="1" applyProtection="1">
      <alignment horizontal="left" vertical="center" wrapText="1"/>
      <protection locked="0" hidden="1"/>
    </xf>
    <xf numFmtId="0" fontId="14" fillId="5" borderId="0" xfId="0" applyFont="1" applyFill="1" applyBorder="1" applyAlignment="1" applyProtection="1">
      <alignment horizontal="left" vertical="center" wrapText="1"/>
      <protection locked="0" hidden="1"/>
    </xf>
    <xf numFmtId="0" fontId="14" fillId="5" borderId="8" xfId="0" applyFont="1" applyFill="1" applyBorder="1" applyAlignment="1" applyProtection="1">
      <alignment horizontal="left" vertical="center" wrapText="1"/>
      <protection locked="0" hidden="1"/>
    </xf>
    <xf numFmtId="0" fontId="14" fillId="5" borderId="73" xfId="0" applyFont="1" applyFill="1" applyBorder="1" applyAlignment="1" applyProtection="1">
      <alignment horizontal="left" vertical="center" wrapText="1"/>
      <protection locked="0" hidden="1"/>
    </xf>
    <xf numFmtId="0" fontId="14" fillId="5" borderId="22" xfId="0" applyFont="1" applyFill="1" applyBorder="1" applyAlignment="1" applyProtection="1">
      <alignment horizontal="left" vertical="center" wrapText="1"/>
      <protection locked="0" hidden="1"/>
    </xf>
    <xf numFmtId="0" fontId="14" fillId="5" borderId="60" xfId="0" applyFont="1" applyFill="1" applyBorder="1" applyAlignment="1" applyProtection="1">
      <alignment horizontal="left" vertical="center" wrapText="1"/>
      <protection locked="0" hidden="1"/>
    </xf>
    <xf numFmtId="0" fontId="57" fillId="0" borderId="57" xfId="0" applyFont="1" applyFill="1" applyBorder="1" applyAlignment="1" applyProtection="1">
      <alignment horizontal="center" vertical="center" wrapText="1"/>
      <protection hidden="1"/>
    </xf>
    <xf numFmtId="0" fontId="57" fillId="0" borderId="56" xfId="0" applyFont="1" applyFill="1" applyBorder="1" applyAlignment="1" applyProtection="1">
      <alignment horizontal="center" vertical="center" wrapText="1"/>
      <protection hidden="1"/>
    </xf>
    <xf numFmtId="0" fontId="57" fillId="0" borderId="64" xfId="0" applyFont="1" applyFill="1" applyBorder="1" applyAlignment="1" applyProtection="1">
      <alignment horizontal="center" vertical="center" wrapText="1"/>
      <protection hidden="1"/>
    </xf>
    <xf numFmtId="0" fontId="16" fillId="6" borderId="124" xfId="0" applyFont="1" applyFill="1" applyBorder="1" applyAlignment="1" applyProtection="1">
      <alignment horizontal="center" vertical="center" wrapText="1"/>
      <protection locked="0" hidden="1"/>
    </xf>
    <xf numFmtId="0" fontId="16" fillId="6" borderId="106" xfId="0" applyFont="1" applyFill="1" applyBorder="1" applyAlignment="1" applyProtection="1">
      <alignment horizontal="center" vertical="center" wrapText="1"/>
      <protection locked="0" hidden="1"/>
    </xf>
    <xf numFmtId="0" fontId="16" fillId="6" borderId="165" xfId="0" applyFont="1" applyFill="1" applyBorder="1" applyAlignment="1" applyProtection="1">
      <alignment horizontal="center" vertical="center" wrapText="1"/>
      <protection locked="0" hidden="1"/>
    </xf>
    <xf numFmtId="164" fontId="10" fillId="3" borderId="144" xfId="0" applyNumberFormat="1" applyFont="1" applyFill="1" applyBorder="1" applyAlignment="1" applyProtection="1">
      <alignment horizontal="center" vertical="center"/>
      <protection hidden="1"/>
    </xf>
    <xf numFmtId="164" fontId="10" fillId="3" borderId="126" xfId="0" applyNumberFormat="1" applyFont="1" applyFill="1" applyBorder="1" applyAlignment="1" applyProtection="1">
      <alignment horizontal="center" vertical="center"/>
      <protection hidden="1"/>
    </xf>
    <xf numFmtId="0" fontId="58" fillId="6" borderId="139" xfId="0" applyFont="1" applyFill="1" applyBorder="1" applyAlignment="1" applyProtection="1">
      <alignment horizontal="center" vertical="center"/>
      <protection locked="0" hidden="1"/>
    </xf>
    <xf numFmtId="0" fontId="58" fillId="6" borderId="84" xfId="0" applyFont="1" applyFill="1" applyBorder="1" applyAlignment="1" applyProtection="1">
      <alignment horizontal="center" vertical="center"/>
      <protection locked="0" hidden="1"/>
    </xf>
    <xf numFmtId="0" fontId="58" fillId="6" borderId="40" xfId="0" applyFont="1" applyFill="1" applyBorder="1" applyAlignment="1" applyProtection="1">
      <alignment horizontal="center" vertical="center"/>
      <protection locked="0" hidden="1"/>
    </xf>
    <xf numFmtId="164" fontId="58" fillId="6" borderId="39" xfId="0" applyNumberFormat="1" applyFont="1" applyFill="1" applyBorder="1" applyAlignment="1" applyProtection="1">
      <alignment horizontal="center" vertical="center"/>
      <protection locked="0" hidden="1"/>
    </xf>
    <xf numFmtId="0" fontId="27" fillId="0" borderId="31" xfId="0" applyFont="1" applyBorder="1" applyAlignment="1" applyProtection="1">
      <alignment horizontal="center" vertical="center"/>
      <protection hidden="1"/>
    </xf>
    <xf numFmtId="0" fontId="32" fillId="3" borderId="47" xfId="0" applyFont="1" applyFill="1" applyBorder="1" applyAlignment="1" applyProtection="1">
      <alignment horizontal="center" vertical="center"/>
      <protection hidden="1"/>
    </xf>
    <xf numFmtId="0" fontId="32" fillId="3" borderId="108" xfId="0" applyFont="1" applyFill="1" applyBorder="1" applyAlignment="1" applyProtection="1">
      <alignment horizontal="center" vertical="center"/>
      <protection hidden="1"/>
    </xf>
    <xf numFmtId="0" fontId="4" fillId="6" borderId="71" xfId="0" applyFont="1" applyFill="1" applyBorder="1" applyAlignment="1" applyProtection="1">
      <alignment horizontal="left" vertical="center" shrinkToFit="1"/>
      <protection locked="0" hidden="1"/>
    </xf>
    <xf numFmtId="0" fontId="4" fillId="6" borderId="28" xfId="0" applyFont="1" applyFill="1" applyBorder="1" applyAlignment="1" applyProtection="1">
      <alignment horizontal="left" vertical="center" shrinkToFit="1"/>
      <protection locked="0" hidden="1"/>
    </xf>
    <xf numFmtId="0" fontId="4" fillId="6" borderId="97" xfId="0" applyFont="1" applyFill="1" applyBorder="1" applyAlignment="1" applyProtection="1">
      <alignment horizontal="left" vertical="center" shrinkToFit="1"/>
      <protection locked="0" hidden="1"/>
    </xf>
    <xf numFmtId="0" fontId="10" fillId="3" borderId="127" xfId="0" applyFont="1" applyFill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shrinkToFit="1"/>
      <protection locked="0" hidden="1"/>
    </xf>
    <xf numFmtId="0" fontId="4" fillId="0" borderId="5" xfId="0" applyFont="1" applyBorder="1" applyAlignment="1" applyProtection="1">
      <alignment horizontal="left" vertical="center" shrinkToFit="1"/>
      <protection locked="0" hidden="1"/>
    </xf>
    <xf numFmtId="0" fontId="4" fillId="0" borderId="114" xfId="0" applyFont="1" applyBorder="1" applyAlignment="1" applyProtection="1">
      <alignment horizontal="left" vertical="center" wrapText="1"/>
      <protection locked="0" hidden="1"/>
    </xf>
    <xf numFmtId="0" fontId="4" fillId="0" borderId="11" xfId="0" applyFont="1" applyBorder="1" applyAlignment="1" applyProtection="1">
      <alignment horizontal="left" vertical="center" wrapText="1"/>
      <protection locked="0" hidden="1"/>
    </xf>
    <xf numFmtId="0" fontId="4" fillId="0" borderId="132" xfId="0" applyFont="1" applyBorder="1" applyAlignment="1" applyProtection="1">
      <alignment horizontal="left" vertical="center" wrapText="1"/>
      <protection locked="0" hidden="1"/>
    </xf>
    <xf numFmtId="0" fontId="4" fillId="0" borderId="158" xfId="0" applyFont="1" applyBorder="1" applyAlignment="1" applyProtection="1">
      <alignment horizontal="left" vertical="center" wrapText="1"/>
      <protection locked="0" hidden="1"/>
    </xf>
    <xf numFmtId="0" fontId="4" fillId="0" borderId="7" xfId="0" applyFont="1" applyBorder="1" applyAlignment="1" applyProtection="1">
      <alignment horizontal="left" vertical="center" wrapText="1"/>
      <protection locked="0" hidden="1"/>
    </xf>
    <xf numFmtId="0" fontId="4" fillId="0" borderId="159" xfId="0" applyFont="1" applyBorder="1" applyAlignment="1" applyProtection="1">
      <alignment horizontal="left" vertical="center" wrapText="1"/>
      <protection locked="0" hidden="1"/>
    </xf>
    <xf numFmtId="0" fontId="4" fillId="6" borderId="62" xfId="0" applyFont="1" applyFill="1" applyBorder="1" applyAlignment="1" applyProtection="1">
      <alignment horizontal="center" vertical="center"/>
      <protection locked="0" hidden="1"/>
    </xf>
    <xf numFmtId="0" fontId="4" fillId="0" borderId="63" xfId="0" applyFont="1" applyBorder="1" applyAlignment="1" applyProtection="1">
      <alignment horizontal="left" vertical="center" shrinkToFit="1"/>
      <protection locked="0" hidden="1"/>
    </xf>
    <xf numFmtId="0" fontId="4" fillId="0" borderId="31" xfId="0" applyFont="1" applyBorder="1" applyAlignment="1" applyProtection="1">
      <alignment horizontal="left" vertical="center" shrinkToFit="1"/>
      <protection locked="0" hidden="1"/>
    </xf>
    <xf numFmtId="0" fontId="4" fillId="0" borderId="31" xfId="0" applyFont="1" applyBorder="1" applyAlignment="1" applyProtection="1">
      <alignment horizontal="center" vertical="center"/>
      <protection locked="0" hidden="1"/>
    </xf>
    <xf numFmtId="0" fontId="4" fillId="0" borderId="129" xfId="0" applyFont="1" applyBorder="1" applyAlignment="1" applyProtection="1">
      <alignment horizontal="center" vertical="center" shrinkToFit="1"/>
      <protection locked="0" hidden="1"/>
    </xf>
    <xf numFmtId="0" fontId="4" fillId="0" borderId="39" xfId="0" applyFont="1" applyBorder="1" applyAlignment="1" applyProtection="1">
      <alignment horizontal="center" vertical="center" shrinkToFit="1"/>
      <protection locked="0" hidden="1"/>
    </xf>
    <xf numFmtId="0" fontId="4" fillId="0" borderId="143" xfId="0" applyFont="1" applyBorder="1" applyAlignment="1" applyProtection="1">
      <alignment horizontal="center" vertical="center" shrinkToFit="1"/>
      <protection locked="0" hidden="1"/>
    </xf>
    <xf numFmtId="0" fontId="4" fillId="0" borderId="40" xfId="0" applyFont="1" applyBorder="1" applyAlignment="1" applyProtection="1">
      <alignment horizontal="center" vertical="center" shrinkToFit="1"/>
      <protection locked="0" hidden="1"/>
    </xf>
    <xf numFmtId="0" fontId="4" fillId="0" borderId="139" xfId="0" applyFont="1" applyBorder="1" applyAlignment="1" applyProtection="1">
      <alignment horizontal="center" vertical="center" shrinkToFit="1"/>
      <protection locked="0" hidden="1"/>
    </xf>
    <xf numFmtId="0" fontId="4" fillId="0" borderId="85" xfId="0" applyNumberFormat="1" applyFont="1" applyBorder="1" applyAlignment="1" applyProtection="1">
      <alignment horizontal="left" vertical="center" shrinkToFit="1"/>
      <protection locked="0" hidden="1"/>
    </xf>
    <xf numFmtId="0" fontId="4" fillId="0" borderId="84" xfId="0" applyNumberFormat="1" applyFont="1" applyBorder="1" applyAlignment="1" applyProtection="1">
      <alignment horizontal="left" vertical="center" shrinkToFit="1"/>
      <protection locked="0" hidden="1"/>
    </xf>
    <xf numFmtId="0" fontId="4" fillId="0" borderId="86" xfId="0" applyNumberFormat="1" applyFont="1" applyBorder="1" applyAlignment="1" applyProtection="1">
      <alignment horizontal="left" vertical="center" shrinkToFit="1"/>
      <protection locked="0" hidden="1"/>
    </xf>
    <xf numFmtId="0" fontId="10" fillId="3" borderId="89" xfId="0" applyFont="1" applyFill="1" applyBorder="1" applyAlignment="1" applyProtection="1">
      <alignment horizontal="center" vertical="center" shrinkToFit="1"/>
      <protection hidden="1"/>
    </xf>
    <xf numFmtId="0" fontId="10" fillId="3" borderId="88" xfId="0" applyFont="1" applyFill="1" applyBorder="1" applyAlignment="1" applyProtection="1">
      <alignment horizontal="center" vertical="center" shrinkToFit="1"/>
      <protection hidden="1"/>
    </xf>
    <xf numFmtId="0" fontId="10" fillId="3" borderId="87" xfId="0" applyFont="1" applyFill="1" applyBorder="1" applyAlignment="1" applyProtection="1">
      <alignment horizontal="center" vertical="center" shrinkToFit="1"/>
      <protection hidden="1"/>
    </xf>
    <xf numFmtId="0" fontId="4" fillId="0" borderId="85" xfId="0" applyFont="1" applyBorder="1" applyAlignment="1" applyProtection="1">
      <alignment vertical="center" wrapText="1"/>
      <protection locked="0" hidden="1"/>
    </xf>
    <xf numFmtId="0" fontId="4" fillId="0" borderId="84" xfId="0" applyFont="1" applyBorder="1" applyAlignment="1" applyProtection="1">
      <alignment vertical="center" wrapText="1"/>
      <protection locked="0" hidden="1"/>
    </xf>
    <xf numFmtId="0" fontId="4" fillId="0" borderId="83" xfId="0" applyFont="1" applyBorder="1" applyAlignment="1" applyProtection="1">
      <alignment vertical="center" wrapText="1"/>
      <protection locked="0" hidden="1"/>
    </xf>
    <xf numFmtId="0" fontId="4" fillId="6" borderId="63" xfId="0" applyFont="1" applyFill="1" applyBorder="1" applyAlignment="1" applyProtection="1">
      <alignment horizontal="left" vertical="center" shrinkToFit="1"/>
      <protection locked="0" hidden="1"/>
    </xf>
    <xf numFmtId="0" fontId="4" fillId="6" borderId="31" xfId="0" applyFont="1" applyFill="1" applyBorder="1" applyAlignment="1" applyProtection="1">
      <alignment horizontal="left" vertical="center" shrinkToFit="1"/>
      <protection locked="0" hidden="1"/>
    </xf>
    <xf numFmtId="0" fontId="8" fillId="2" borderId="72" xfId="0" applyFont="1" applyFill="1" applyBorder="1" applyAlignment="1" applyProtection="1">
      <alignment horizontal="center" vertical="center" textRotation="90" shrinkToFit="1"/>
      <protection hidden="1"/>
    </xf>
    <xf numFmtId="0" fontId="1" fillId="2" borderId="9" xfId="0" applyFont="1" applyFill="1" applyBorder="1" applyAlignment="1" applyProtection="1">
      <alignment horizontal="center" vertical="center" textRotation="90" shrinkToFit="1"/>
      <protection hidden="1"/>
    </xf>
    <xf numFmtId="0" fontId="0" fillId="2" borderId="9" xfId="0" applyFill="1" applyBorder="1" applyAlignment="1" applyProtection="1">
      <alignment vertical="center" shrinkToFit="1"/>
      <protection hidden="1"/>
    </xf>
    <xf numFmtId="0" fontId="0" fillId="2" borderId="61" xfId="0" applyFill="1" applyBorder="1" applyAlignment="1" applyProtection="1">
      <alignment vertical="center" shrinkToFit="1"/>
      <protection hidden="1"/>
    </xf>
    <xf numFmtId="0" fontId="59" fillId="0" borderId="71" xfId="0" applyFont="1" applyBorder="1" applyAlignment="1" applyProtection="1">
      <alignment horizontal="center" vertical="center" wrapText="1" shrinkToFit="1"/>
      <protection hidden="1"/>
    </xf>
    <xf numFmtId="0" fontId="59" fillId="0" borderId="28" xfId="0" applyFont="1" applyBorder="1" applyAlignment="1" applyProtection="1">
      <alignment horizontal="center" vertical="center" wrapText="1" shrinkToFit="1"/>
      <protection hidden="1"/>
    </xf>
    <xf numFmtId="0" fontId="59" fillId="0" borderId="97" xfId="0" applyFont="1" applyBorder="1" applyAlignment="1" applyProtection="1">
      <alignment horizontal="center" vertical="center" wrapText="1" shrinkToFit="1"/>
      <protection hidden="1"/>
    </xf>
    <xf numFmtId="0" fontId="59" fillId="0" borderId="70" xfId="0" applyFont="1" applyBorder="1" applyAlignment="1" applyProtection="1">
      <alignment horizontal="center" vertical="center" wrapText="1" shrinkToFit="1"/>
      <protection hidden="1"/>
    </xf>
    <xf numFmtId="0" fontId="59" fillId="0" borderId="29" xfId="0" applyFont="1" applyBorder="1" applyAlignment="1" applyProtection="1">
      <alignment horizontal="center" vertical="center" wrapText="1" shrinkToFit="1"/>
      <protection hidden="1"/>
    </xf>
    <xf numFmtId="164" fontId="23" fillId="5" borderId="81" xfId="0" applyNumberFormat="1" applyFont="1" applyFill="1" applyBorder="1" applyAlignment="1" applyProtection="1">
      <alignment horizontal="center" vertical="center"/>
      <protection hidden="1"/>
    </xf>
    <xf numFmtId="0" fontId="22" fillId="5" borderId="80" xfId="0" applyFont="1" applyFill="1" applyBorder="1" applyAlignment="1" applyProtection="1">
      <alignment horizontal="center" vertical="center"/>
      <protection hidden="1"/>
    </xf>
    <xf numFmtId="0" fontId="22" fillId="5" borderId="76" xfId="0" applyFont="1" applyFill="1" applyBorder="1" applyAlignment="1" applyProtection="1">
      <alignment horizontal="center" vertical="center"/>
      <protection hidden="1"/>
    </xf>
    <xf numFmtId="0" fontId="22" fillId="5" borderId="0" xfId="0" applyFont="1" applyFill="1" applyBorder="1" applyAlignment="1" applyProtection="1">
      <alignment horizontal="center" vertical="center"/>
      <protection hidden="1"/>
    </xf>
    <xf numFmtId="0" fontId="22" fillId="5" borderId="82" xfId="0" applyFont="1" applyFill="1" applyBorder="1" applyAlignment="1" applyProtection="1">
      <alignment horizontal="center" vertical="center"/>
      <protection hidden="1"/>
    </xf>
    <xf numFmtId="0" fontId="22" fillId="5" borderId="116" xfId="0" applyFont="1" applyFill="1" applyBorder="1" applyAlignment="1" applyProtection="1">
      <alignment horizontal="center" vertical="center"/>
      <protection hidden="1"/>
    </xf>
    <xf numFmtId="0" fontId="4" fillId="0" borderId="85" xfId="0" applyFont="1" applyBorder="1" applyAlignment="1" applyProtection="1">
      <alignment horizontal="center" vertical="center" shrinkToFit="1"/>
      <protection locked="0" hidden="1"/>
    </xf>
    <xf numFmtId="0" fontId="4" fillId="0" borderId="84" xfId="0" applyFont="1" applyBorder="1" applyAlignment="1" applyProtection="1">
      <alignment horizontal="center" vertical="center" shrinkToFit="1"/>
      <protection locked="0" hidden="1"/>
    </xf>
    <xf numFmtId="0" fontId="4" fillId="0" borderId="83" xfId="0" applyFont="1" applyBorder="1" applyAlignment="1" applyProtection="1">
      <alignment horizontal="center" vertical="center" shrinkToFit="1"/>
      <protection locked="0" hidden="1"/>
    </xf>
    <xf numFmtId="0" fontId="15" fillId="3" borderId="81" xfId="0" applyFont="1" applyFill="1" applyBorder="1" applyAlignment="1" applyProtection="1">
      <alignment horizontal="center" vertical="center" wrapText="1"/>
      <protection hidden="1"/>
    </xf>
    <xf numFmtId="0" fontId="15" fillId="3" borderId="80" xfId="0" applyFont="1" applyFill="1" applyBorder="1" applyAlignment="1" applyProtection="1">
      <alignment horizontal="center" vertical="center" wrapText="1"/>
      <protection hidden="1"/>
    </xf>
    <xf numFmtId="0" fontId="15" fillId="3" borderId="82" xfId="0" applyFont="1" applyFill="1" applyBorder="1" applyAlignment="1" applyProtection="1">
      <alignment horizontal="center" vertical="center" wrapText="1"/>
      <protection hidden="1"/>
    </xf>
    <xf numFmtId="0" fontId="15" fillId="3" borderId="76" xfId="0" applyFont="1" applyFill="1" applyBorder="1" applyAlignment="1" applyProtection="1">
      <alignment horizontal="center" vertical="center" wrapText="1"/>
      <protection hidden="1"/>
    </xf>
    <xf numFmtId="0" fontId="15" fillId="3" borderId="0" xfId="0" applyFont="1" applyFill="1" applyBorder="1" applyAlignment="1" applyProtection="1">
      <alignment horizontal="center" vertical="center" wrapText="1"/>
      <protection hidden="1"/>
    </xf>
    <xf numFmtId="0" fontId="15" fillId="3" borderId="77" xfId="0" applyFont="1" applyFill="1" applyBorder="1" applyAlignment="1" applyProtection="1">
      <alignment horizontal="center" vertical="center" wrapText="1"/>
      <protection hidden="1"/>
    </xf>
    <xf numFmtId="0" fontId="15" fillId="3" borderId="73" xfId="0" applyFont="1" applyFill="1" applyBorder="1" applyAlignment="1" applyProtection="1">
      <alignment horizontal="center" vertical="center" wrapText="1"/>
      <protection hidden="1"/>
    </xf>
    <xf numFmtId="0" fontId="15" fillId="3" borderId="22" xfId="0" applyFont="1" applyFill="1" applyBorder="1" applyAlignment="1" applyProtection="1">
      <alignment horizontal="center" vertical="center" wrapText="1"/>
      <protection hidden="1"/>
    </xf>
    <xf numFmtId="0" fontId="15" fillId="3" borderId="74" xfId="0" applyFont="1" applyFill="1" applyBorder="1" applyAlignment="1" applyProtection="1">
      <alignment horizontal="center" vertical="center" wrapText="1"/>
      <protection hidden="1"/>
    </xf>
    <xf numFmtId="164" fontId="4" fillId="0" borderId="0" xfId="0" applyNumberFormat="1" applyFont="1" applyBorder="1" applyAlignment="1" applyProtection="1">
      <alignment horizontal="center" vertical="center"/>
      <protection locked="0" hidden="1"/>
    </xf>
    <xf numFmtId="164" fontId="4" fillId="0" borderId="8" xfId="0" applyNumberFormat="1" applyFont="1" applyBorder="1" applyAlignment="1" applyProtection="1">
      <alignment horizontal="center" vertical="center"/>
      <protection locked="0" hidden="1"/>
    </xf>
    <xf numFmtId="0" fontId="4" fillId="6" borderId="32" xfId="0" applyFont="1" applyFill="1" applyBorder="1" applyAlignment="1" applyProtection="1">
      <alignment horizontal="left" vertical="center" shrinkToFit="1"/>
      <protection locked="0" hidden="1"/>
    </xf>
    <xf numFmtId="0" fontId="4" fillId="6" borderId="96" xfId="0" applyFont="1" applyFill="1" applyBorder="1" applyAlignment="1" applyProtection="1">
      <alignment horizontal="left" vertical="center" shrinkToFit="1"/>
      <protection locked="0" hidden="1"/>
    </xf>
    <xf numFmtId="0" fontId="10" fillId="3" borderId="154" xfId="0" applyFont="1" applyFill="1" applyBorder="1" applyAlignment="1" applyProtection="1">
      <alignment horizontal="center" vertical="center" shrinkToFit="1"/>
      <protection hidden="1"/>
    </xf>
    <xf numFmtId="0" fontId="10" fillId="3" borderId="144" xfId="0" applyFont="1" applyFill="1" applyBorder="1" applyAlignment="1" applyProtection="1">
      <alignment horizontal="center" vertical="center" shrinkToFit="1"/>
      <protection hidden="1"/>
    </xf>
    <xf numFmtId="0" fontId="4" fillId="6" borderId="129" xfId="0" applyFont="1" applyFill="1" applyBorder="1" applyAlignment="1" applyProtection="1">
      <alignment horizontal="left" vertical="center" shrinkToFit="1"/>
      <protection locked="0" hidden="1"/>
    </xf>
    <xf numFmtId="0" fontId="4" fillId="6" borderId="39" xfId="0" applyFont="1" applyFill="1" applyBorder="1" applyAlignment="1" applyProtection="1">
      <alignment horizontal="left" vertical="center" shrinkToFit="1"/>
      <protection locked="0" hidden="1"/>
    </xf>
    <xf numFmtId="0" fontId="4" fillId="6" borderId="139" xfId="0" applyFont="1" applyFill="1" applyBorder="1" applyAlignment="1" applyProtection="1">
      <alignment horizontal="left" vertical="center" shrinkToFit="1"/>
      <protection locked="0" hidden="1"/>
    </xf>
    <xf numFmtId="0" fontId="4" fillId="6" borderId="129" xfId="0" applyFont="1" applyFill="1" applyBorder="1" applyAlignment="1" applyProtection="1">
      <alignment horizontal="center" vertical="center"/>
      <protection locked="0" hidden="1"/>
    </xf>
    <xf numFmtId="0" fontId="4" fillId="6" borderId="143" xfId="0" applyFont="1" applyFill="1" applyBorder="1" applyAlignment="1" applyProtection="1">
      <alignment horizontal="center" vertical="center"/>
      <protection locked="0" hidden="1"/>
    </xf>
    <xf numFmtId="0" fontId="10" fillId="3" borderId="65" xfId="0" applyFont="1" applyFill="1" applyBorder="1" applyAlignment="1" applyProtection="1">
      <alignment horizontal="center" vertical="center"/>
      <protection hidden="1"/>
    </xf>
    <xf numFmtId="0" fontId="10" fillId="3" borderId="48" xfId="0" applyFont="1" applyFill="1" applyBorder="1" applyAlignment="1" applyProtection="1">
      <alignment horizontal="center" vertical="center"/>
      <protection hidden="1"/>
    </xf>
    <xf numFmtId="0" fontId="4" fillId="0" borderId="85" xfId="0" applyFont="1" applyBorder="1" applyAlignment="1" applyProtection="1">
      <alignment horizontal="left" vertical="center" shrinkToFit="1"/>
      <protection locked="0" hidden="1"/>
    </xf>
    <xf numFmtId="0" fontId="4" fillId="0" borderId="84" xfId="0" applyFont="1" applyBorder="1" applyAlignment="1" applyProtection="1">
      <alignment horizontal="left" vertical="center" shrinkToFit="1"/>
      <protection locked="0" hidden="1"/>
    </xf>
    <xf numFmtId="0" fontId="4" fillId="0" borderId="62" xfId="0" applyFont="1" applyBorder="1" applyAlignment="1" applyProtection="1">
      <alignment horizontal="center" vertical="center"/>
      <protection locked="0" hidden="1"/>
    </xf>
    <xf numFmtId="167" fontId="29" fillId="0" borderId="130" xfId="0" applyNumberFormat="1" applyFont="1" applyFill="1" applyBorder="1" applyAlignment="1" applyProtection="1">
      <alignment horizontal="center" vertical="center"/>
      <protection hidden="1"/>
    </xf>
    <xf numFmtId="167" fontId="29" fillId="0" borderId="105" xfId="0" applyNumberFormat="1" applyFont="1" applyFill="1" applyBorder="1" applyAlignment="1" applyProtection="1">
      <alignment horizontal="center" vertical="center"/>
      <protection hidden="1"/>
    </xf>
    <xf numFmtId="0" fontId="8" fillId="2" borderId="67" xfId="0" applyFont="1" applyFill="1" applyBorder="1" applyAlignment="1" applyProtection="1">
      <alignment horizontal="center" vertical="center"/>
      <protection hidden="1"/>
    </xf>
    <xf numFmtId="0" fontId="8" fillId="2" borderId="56" xfId="0" applyFont="1" applyFill="1" applyBorder="1" applyAlignment="1" applyProtection="1">
      <alignment horizontal="center" vertical="center"/>
      <protection hidden="1"/>
    </xf>
    <xf numFmtId="0" fontId="26" fillId="2" borderId="89" xfId="0" applyFont="1" applyFill="1" applyBorder="1" applyAlignment="1" applyProtection="1">
      <alignment horizontal="center" vertical="center" shrinkToFit="1"/>
      <protection hidden="1"/>
    </xf>
    <xf numFmtId="0" fontId="3" fillId="2" borderId="88" xfId="0" applyFont="1" applyFill="1" applyBorder="1" applyAlignment="1" applyProtection="1">
      <alignment horizontal="center" vertical="center" shrinkToFit="1"/>
      <protection hidden="1"/>
    </xf>
    <xf numFmtId="0" fontId="3" fillId="2" borderId="115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 applyProtection="1">
      <alignment vertical="center"/>
      <protection locked="0" hidden="1"/>
    </xf>
    <xf numFmtId="1" fontId="42" fillId="3" borderId="105" xfId="0" applyNumberFormat="1" applyFont="1" applyFill="1" applyBorder="1" applyAlignment="1" applyProtection="1">
      <alignment horizontal="center" vertical="center"/>
      <protection hidden="1"/>
    </xf>
    <xf numFmtId="1" fontId="42" fillId="3" borderId="98" xfId="0" applyNumberFormat="1" applyFont="1" applyFill="1" applyBorder="1" applyAlignment="1" applyProtection="1">
      <alignment horizontal="center" vertical="center"/>
      <protection hidden="1"/>
    </xf>
    <xf numFmtId="0" fontId="36" fillId="2" borderId="111" xfId="0" applyFont="1" applyFill="1" applyBorder="1" applyAlignment="1" applyProtection="1">
      <alignment horizontal="center" vertical="center" wrapText="1"/>
      <protection hidden="1"/>
    </xf>
    <xf numFmtId="0" fontId="36" fillId="2" borderId="103" xfId="0" applyFont="1" applyFill="1" applyBorder="1" applyAlignment="1" applyProtection="1">
      <alignment horizontal="center" vertical="center" wrapText="1"/>
      <protection hidden="1"/>
    </xf>
    <xf numFmtId="0" fontId="36" fillId="2" borderId="109" xfId="0" applyFont="1" applyFill="1" applyBorder="1" applyAlignment="1" applyProtection="1">
      <alignment horizontal="center" vertical="center" wrapText="1"/>
      <protection hidden="1"/>
    </xf>
    <xf numFmtId="0" fontId="36" fillId="2" borderId="61" xfId="0" applyFont="1" applyFill="1" applyBorder="1" applyAlignment="1" applyProtection="1">
      <alignment horizontal="center" vertical="center" wrapText="1"/>
      <protection hidden="1"/>
    </xf>
    <xf numFmtId="0" fontId="36" fillId="2" borderId="22" xfId="0" applyFont="1" applyFill="1" applyBorder="1" applyAlignment="1" applyProtection="1">
      <alignment horizontal="center" vertical="center" wrapText="1"/>
      <protection hidden="1"/>
    </xf>
    <xf numFmtId="0" fontId="36" fillId="2" borderId="74" xfId="0" applyFont="1" applyFill="1" applyBorder="1" applyAlignment="1" applyProtection="1">
      <alignment horizontal="center" vertical="center" wrapText="1"/>
      <protection hidden="1"/>
    </xf>
    <xf numFmtId="166" fontId="45" fillId="0" borderId="111" xfId="0" applyNumberFormat="1" applyFont="1" applyFill="1" applyBorder="1" applyAlignment="1" applyProtection="1">
      <alignment horizontal="center" vertical="center"/>
      <protection hidden="1"/>
    </xf>
    <xf numFmtId="166" fontId="22" fillId="0" borderId="103" xfId="0" applyNumberFormat="1" applyFont="1" applyFill="1" applyBorder="1" applyAlignment="1" applyProtection="1">
      <alignment vertical="center"/>
      <protection hidden="1"/>
    </xf>
    <xf numFmtId="166" fontId="22" fillId="0" borderId="109" xfId="0" applyNumberFormat="1" applyFont="1" applyFill="1" applyBorder="1" applyAlignment="1" applyProtection="1">
      <alignment vertical="center"/>
      <protection hidden="1"/>
    </xf>
    <xf numFmtId="166" fontId="22" fillId="0" borderId="61" xfId="0" applyNumberFormat="1" applyFont="1" applyFill="1" applyBorder="1" applyAlignment="1" applyProtection="1">
      <alignment vertical="center"/>
      <protection hidden="1"/>
    </xf>
    <xf numFmtId="166" fontId="22" fillId="0" borderId="22" xfId="0" applyNumberFormat="1" applyFont="1" applyFill="1" applyBorder="1" applyAlignment="1" applyProtection="1">
      <alignment vertical="center"/>
      <protection hidden="1"/>
    </xf>
    <xf numFmtId="166" fontId="22" fillId="0" borderId="74" xfId="0" applyNumberFormat="1" applyFont="1" applyFill="1" applyBorder="1" applyAlignment="1" applyProtection="1">
      <alignment vertical="center"/>
      <protection hidden="1"/>
    </xf>
    <xf numFmtId="0" fontId="12" fillId="2" borderId="111" xfId="0" applyFont="1" applyFill="1" applyBorder="1" applyAlignment="1" applyProtection="1">
      <alignment horizontal="center" vertical="center" wrapText="1"/>
      <protection hidden="1"/>
    </xf>
    <xf numFmtId="0" fontId="12" fillId="2" borderId="103" xfId="0" applyFont="1" applyFill="1" applyBorder="1" applyAlignment="1" applyProtection="1">
      <alignment horizontal="center" vertical="center" wrapText="1"/>
      <protection hidden="1"/>
    </xf>
    <xf numFmtId="0" fontId="12" fillId="2" borderId="61" xfId="0" applyFont="1" applyFill="1" applyBorder="1" applyAlignment="1" applyProtection="1">
      <alignment horizontal="center" vertical="center" wrapText="1"/>
      <protection hidden="1"/>
    </xf>
    <xf numFmtId="0" fontId="12" fillId="2" borderId="22" xfId="0" applyFont="1" applyFill="1" applyBorder="1" applyAlignment="1" applyProtection="1">
      <alignment horizontal="center" vertical="center" wrapText="1"/>
      <protection hidden="1"/>
    </xf>
    <xf numFmtId="0" fontId="15" fillId="3" borderId="57" xfId="0" applyFont="1" applyFill="1" applyBorder="1" applyAlignment="1" applyProtection="1">
      <alignment horizontal="center" vertical="center"/>
      <protection hidden="1"/>
    </xf>
    <xf numFmtId="0" fontId="15" fillId="3" borderId="56" xfId="0" applyFont="1" applyFill="1" applyBorder="1" applyAlignment="1" applyProtection="1">
      <alignment horizontal="center" vertical="center"/>
      <protection hidden="1"/>
    </xf>
    <xf numFmtId="0" fontId="15" fillId="3" borderId="55" xfId="0" applyFont="1" applyFill="1" applyBorder="1" applyAlignment="1" applyProtection="1">
      <alignment horizontal="center" vertical="center"/>
      <protection hidden="1"/>
    </xf>
    <xf numFmtId="0" fontId="15" fillId="3" borderId="56" xfId="0" applyFont="1" applyFill="1" applyBorder="1" applyAlignment="1" applyProtection="1">
      <alignment horizontal="center" vertical="center" shrinkToFit="1"/>
      <protection hidden="1"/>
    </xf>
    <xf numFmtId="0" fontId="15" fillId="3" borderId="64" xfId="0" applyFont="1" applyFill="1" applyBorder="1" applyAlignment="1" applyProtection="1">
      <alignment horizontal="center" vertical="center" shrinkToFit="1"/>
      <protection hidden="1"/>
    </xf>
    <xf numFmtId="0" fontId="42" fillId="3" borderId="105" xfId="0" applyFont="1" applyFill="1" applyBorder="1" applyAlignment="1" applyProtection="1">
      <alignment horizontal="center" vertical="center"/>
      <protection hidden="1"/>
    </xf>
    <xf numFmtId="0" fontId="42" fillId="3" borderId="104" xfId="0" applyFont="1" applyFill="1" applyBorder="1" applyAlignment="1" applyProtection="1">
      <alignment horizontal="center" vertical="center"/>
      <protection hidden="1"/>
    </xf>
    <xf numFmtId="0" fontId="3" fillId="2" borderId="56" xfId="0" applyFont="1" applyFill="1" applyBorder="1" applyAlignment="1" applyProtection="1">
      <alignment horizontal="center" vertical="center" shrinkToFit="1"/>
      <protection hidden="1"/>
    </xf>
    <xf numFmtId="0" fontId="3" fillId="2" borderId="64" xfId="0" applyFont="1" applyFill="1" applyBorder="1" applyAlignment="1" applyProtection="1">
      <alignment horizontal="center" vertical="center" shrinkToFit="1"/>
      <protection hidden="1"/>
    </xf>
    <xf numFmtId="0" fontId="21" fillId="3" borderId="101" xfId="0" applyFont="1" applyFill="1" applyBorder="1" applyAlignment="1" applyProtection="1">
      <alignment horizontal="center" vertical="center" textRotation="90"/>
      <protection hidden="1"/>
    </xf>
    <xf numFmtId="0" fontId="21" fillId="3" borderId="9" xfId="0" applyFont="1" applyFill="1" applyBorder="1" applyAlignment="1" applyProtection="1">
      <alignment horizontal="center" vertical="center" textRotation="90"/>
      <protection hidden="1"/>
    </xf>
    <xf numFmtId="0" fontId="21" fillId="3" borderId="61" xfId="0" applyFont="1" applyFill="1" applyBorder="1" applyAlignment="1" applyProtection="1">
      <alignment horizontal="center" vertical="center" textRotation="90"/>
      <protection hidden="1"/>
    </xf>
    <xf numFmtId="0" fontId="4" fillId="0" borderId="110" xfId="0" applyFont="1" applyBorder="1" applyAlignment="1" applyProtection="1">
      <alignment horizontal="left" vertical="center" shrinkToFit="1"/>
      <protection locked="0" hidden="1"/>
    </xf>
    <xf numFmtId="0" fontId="4" fillId="0" borderId="103" xfId="0" applyFont="1" applyBorder="1" applyAlignment="1" applyProtection="1">
      <alignment vertical="center" shrinkToFit="1"/>
      <protection locked="0" hidden="1"/>
    </xf>
    <xf numFmtId="0" fontId="4" fillId="0" borderId="128" xfId="0" applyFont="1" applyBorder="1" applyAlignment="1" applyProtection="1">
      <alignment vertical="center" shrinkToFit="1"/>
      <protection locked="0" hidden="1"/>
    </xf>
    <xf numFmtId="0" fontId="4" fillId="0" borderId="73" xfId="0" applyFont="1" applyBorder="1" applyAlignment="1" applyProtection="1">
      <alignment vertical="center" shrinkToFit="1"/>
      <protection locked="0" hidden="1"/>
    </xf>
    <xf numFmtId="0" fontId="4" fillId="0" borderId="22" xfId="0" applyFont="1" applyBorder="1" applyAlignment="1" applyProtection="1">
      <alignment vertical="center" shrinkToFit="1"/>
      <protection locked="0" hidden="1"/>
    </xf>
    <xf numFmtId="0" fontId="4" fillId="0" borderId="60" xfId="0" applyFont="1" applyBorder="1" applyAlignment="1" applyProtection="1">
      <alignment vertical="center" shrinkToFit="1"/>
      <protection locked="0" hidden="1"/>
    </xf>
    <xf numFmtId="0" fontId="47" fillId="5" borderId="21" xfId="0" applyFont="1" applyFill="1" applyBorder="1" applyAlignment="1" applyProtection="1">
      <alignment horizontal="center" vertical="center"/>
      <protection locked="0" hidden="1"/>
    </xf>
    <xf numFmtId="0" fontId="47" fillId="5" borderId="121" xfId="0" applyFont="1" applyFill="1" applyBorder="1" applyAlignment="1" applyProtection="1">
      <alignment horizontal="center" vertical="center"/>
      <protection locked="0" hidden="1"/>
    </xf>
    <xf numFmtId="0" fontId="18" fillId="5" borderId="99" xfId="0" applyFont="1" applyFill="1" applyBorder="1" applyAlignment="1" applyProtection="1">
      <alignment horizontal="center" vertical="center"/>
      <protection hidden="1"/>
    </xf>
    <xf numFmtId="0" fontId="18" fillId="5" borderId="105" xfId="0" applyFont="1" applyFill="1" applyBorder="1" applyAlignment="1" applyProtection="1">
      <alignment horizontal="center" vertical="center"/>
      <protection hidden="1"/>
    </xf>
    <xf numFmtId="0" fontId="18" fillId="4" borderId="144" xfId="0" applyFont="1" applyFill="1" applyBorder="1" applyAlignment="1" applyProtection="1">
      <alignment horizontal="center" vertical="center"/>
      <protection hidden="1"/>
    </xf>
    <xf numFmtId="0" fontId="18" fillId="4" borderId="125" xfId="0" applyFont="1" applyFill="1" applyBorder="1" applyAlignment="1" applyProtection="1">
      <alignment horizontal="center" vertical="center"/>
      <protection hidden="1"/>
    </xf>
    <xf numFmtId="0" fontId="18" fillId="4" borderId="127" xfId="0" applyFont="1" applyFill="1" applyBorder="1" applyAlignment="1" applyProtection="1">
      <alignment horizontal="center" vertical="center"/>
      <protection hidden="1"/>
    </xf>
    <xf numFmtId="0" fontId="18" fillId="4" borderId="154" xfId="0" applyFont="1" applyFill="1" applyBorder="1" applyAlignment="1" applyProtection="1">
      <alignment horizontal="center" vertical="center"/>
      <protection hidden="1"/>
    </xf>
    <xf numFmtId="0" fontId="21" fillId="3" borderId="47" xfId="0" applyFont="1" applyFill="1" applyBorder="1" applyAlignment="1" applyProtection="1">
      <alignment horizontal="center" vertical="center"/>
      <protection hidden="1"/>
    </xf>
    <xf numFmtId="0" fontId="21" fillId="3" borderId="46" xfId="0" applyFont="1" applyFill="1" applyBorder="1" applyAlignment="1" applyProtection="1">
      <alignment horizontal="center" vertical="center"/>
      <protection hidden="1"/>
    </xf>
    <xf numFmtId="0" fontId="1" fillId="2" borderId="66" xfId="0" applyFont="1" applyFill="1" applyBorder="1" applyAlignment="1" applyProtection="1">
      <alignment horizontal="center" vertical="center"/>
      <protection hidden="1"/>
    </xf>
    <xf numFmtId="0" fontId="1" fillId="2" borderId="47" xfId="0" applyFont="1" applyFill="1" applyBorder="1" applyAlignment="1" applyProtection="1">
      <alignment horizontal="center" vertical="center"/>
      <protection hidden="1"/>
    </xf>
    <xf numFmtId="0" fontId="1" fillId="2" borderId="108" xfId="0" applyFont="1" applyFill="1" applyBorder="1" applyAlignment="1" applyProtection="1">
      <alignment horizontal="center" vertical="center"/>
      <protection hidden="1"/>
    </xf>
    <xf numFmtId="0" fontId="15" fillId="3" borderId="51" xfId="0" applyFont="1" applyFill="1" applyBorder="1" applyAlignment="1" applyProtection="1">
      <alignment horizontal="center" vertical="center" shrinkToFit="1"/>
      <protection hidden="1"/>
    </xf>
    <xf numFmtId="0" fontId="15" fillId="3" borderId="14" xfId="0" applyFont="1" applyFill="1" applyBorder="1" applyAlignment="1" applyProtection="1">
      <alignment horizontal="center" vertical="center" shrinkToFit="1"/>
      <protection hidden="1"/>
    </xf>
    <xf numFmtId="0" fontId="8" fillId="2" borderId="111" xfId="0" applyFont="1" applyFill="1" applyBorder="1" applyAlignment="1" applyProtection="1">
      <alignment horizontal="center" vertical="center"/>
      <protection hidden="1"/>
    </xf>
    <xf numFmtId="0" fontId="8" fillId="2" borderId="103" xfId="0" applyFont="1" applyFill="1" applyBorder="1" applyAlignment="1" applyProtection="1">
      <alignment horizontal="center" vertical="center"/>
      <protection hidden="1"/>
    </xf>
    <xf numFmtId="0" fontId="8" fillId="2" borderId="109" xfId="0" applyFont="1" applyFill="1" applyBorder="1" applyAlignment="1" applyProtection="1">
      <alignment horizontal="center" vertical="center"/>
      <protection hidden="1"/>
    </xf>
    <xf numFmtId="0" fontId="8" fillId="2" borderId="133" xfId="0" applyFont="1" applyFill="1" applyBorder="1" applyAlignment="1" applyProtection="1">
      <alignment horizontal="center" vertical="center"/>
      <protection hidden="1"/>
    </xf>
    <xf numFmtId="0" fontId="8" fillId="2" borderId="117" xfId="0" applyFont="1" applyFill="1" applyBorder="1" applyAlignment="1" applyProtection="1">
      <alignment horizontal="center" vertical="center"/>
      <protection hidden="1"/>
    </xf>
    <xf numFmtId="0" fontId="18" fillId="3" borderId="63" xfId="0" applyFont="1" applyFill="1" applyBorder="1" applyAlignment="1" applyProtection="1">
      <alignment horizontal="center" vertical="center" wrapText="1"/>
      <protection hidden="1"/>
    </xf>
    <xf numFmtId="0" fontId="18" fillId="3" borderId="31" xfId="0" applyFont="1" applyFill="1" applyBorder="1" applyAlignment="1" applyProtection="1">
      <alignment horizontal="center" vertical="center" wrapText="1"/>
      <protection hidden="1"/>
    </xf>
    <xf numFmtId="0" fontId="36" fillId="2" borderId="9" xfId="0" applyFont="1" applyFill="1" applyBorder="1" applyAlignment="1" applyProtection="1">
      <alignment horizontal="center" vertical="center" wrapText="1"/>
      <protection hidden="1"/>
    </xf>
    <xf numFmtId="0" fontId="36" fillId="2" borderId="0" xfId="0" applyFont="1" applyFill="1" applyBorder="1" applyAlignment="1" applyProtection="1">
      <alignment horizontal="center" vertical="center" wrapText="1"/>
      <protection hidden="1"/>
    </xf>
    <xf numFmtId="0" fontId="35" fillId="0" borderId="101" xfId="0" applyFont="1" applyBorder="1" applyAlignment="1" applyProtection="1">
      <alignment horizontal="center" vertical="center"/>
      <protection locked="0" hidden="1"/>
    </xf>
    <xf numFmtId="0" fontId="35" fillId="0" borderId="80" xfId="0" applyFont="1" applyBorder="1" applyAlignment="1" applyProtection="1">
      <alignment horizontal="center" vertical="center"/>
      <protection locked="0" hidden="1"/>
    </xf>
    <xf numFmtId="0" fontId="35" fillId="0" borderId="9" xfId="0" applyFont="1" applyBorder="1" applyAlignment="1" applyProtection="1">
      <alignment horizontal="center" vertical="center"/>
      <protection locked="0" hidden="1"/>
    </xf>
    <xf numFmtId="0" fontId="35" fillId="0" borderId="0" xfId="0" applyFont="1" applyBorder="1" applyAlignment="1" applyProtection="1">
      <alignment horizontal="center" vertical="center"/>
      <protection locked="0" hidden="1"/>
    </xf>
    <xf numFmtId="0" fontId="35" fillId="0" borderId="61" xfId="0" applyFont="1" applyBorder="1" applyAlignment="1" applyProtection="1">
      <alignment horizontal="center" vertical="center"/>
      <protection locked="0" hidden="1"/>
    </xf>
    <xf numFmtId="0" fontId="35" fillId="0" borderId="22" xfId="0" applyFont="1" applyBorder="1" applyAlignment="1" applyProtection="1">
      <alignment horizontal="center" vertical="center"/>
      <protection locked="0" hidden="1"/>
    </xf>
    <xf numFmtId="0" fontId="10" fillId="3" borderId="110" xfId="0" applyFont="1" applyFill="1" applyBorder="1" applyAlignment="1" applyProtection="1">
      <alignment horizontal="center" vertical="center"/>
      <protection hidden="1"/>
    </xf>
    <xf numFmtId="0" fontId="10" fillId="3" borderId="103" xfId="0" applyFont="1" applyFill="1" applyBorder="1" applyAlignment="1" applyProtection="1">
      <alignment horizontal="center" vertical="center"/>
      <protection hidden="1"/>
    </xf>
    <xf numFmtId="0" fontId="4" fillId="0" borderId="39" xfId="0" applyFont="1" applyFill="1" applyBorder="1" applyAlignment="1" applyProtection="1">
      <alignment horizontal="center" vertical="center" shrinkToFit="1"/>
      <protection hidden="1"/>
    </xf>
    <xf numFmtId="0" fontId="36" fillId="2" borderId="120" xfId="0" applyFont="1" applyFill="1" applyBorder="1" applyAlignment="1" applyProtection="1">
      <alignment horizontal="center" vertical="center" wrapText="1"/>
      <protection hidden="1"/>
    </xf>
    <xf numFmtId="0" fontId="36" fillId="2" borderId="119" xfId="0" applyFont="1" applyFill="1" applyBorder="1" applyAlignment="1" applyProtection="1">
      <alignment horizontal="center" vertical="center" wrapText="1"/>
      <protection hidden="1"/>
    </xf>
    <xf numFmtId="0" fontId="36" fillId="2" borderId="77" xfId="0" applyFont="1" applyFill="1" applyBorder="1" applyAlignment="1" applyProtection="1">
      <alignment horizontal="center" vertical="center" wrapText="1"/>
      <protection hidden="1"/>
    </xf>
    <xf numFmtId="0" fontId="8" fillId="2" borderId="15" xfId="0" applyFont="1" applyFill="1" applyBorder="1" applyAlignment="1" applyProtection="1">
      <alignment horizontal="center" vertical="center"/>
      <protection hidden="1"/>
    </xf>
    <xf numFmtId="0" fontId="8" fillId="2" borderId="14" xfId="0" applyFont="1" applyFill="1" applyBorder="1" applyAlignment="1" applyProtection="1">
      <alignment horizontal="center" vertical="center"/>
      <protection hidden="1"/>
    </xf>
    <xf numFmtId="0" fontId="8" fillId="2" borderId="13" xfId="0" applyFont="1" applyFill="1" applyBorder="1" applyAlignment="1" applyProtection="1">
      <alignment horizontal="center" vertical="center"/>
      <protection hidden="1"/>
    </xf>
    <xf numFmtId="0" fontId="7" fillId="5" borderId="12" xfId="0" applyFont="1" applyFill="1" applyBorder="1" applyAlignment="1" applyProtection="1">
      <alignment horizontal="center" vertical="center"/>
      <protection locked="0" hidden="1"/>
    </xf>
    <xf numFmtId="0" fontId="7" fillId="5" borderId="11" xfId="0" applyFont="1" applyFill="1" applyBorder="1" applyAlignment="1" applyProtection="1">
      <alignment horizontal="center" vertical="center"/>
      <protection locked="0" hidden="1"/>
    </xf>
    <xf numFmtId="0" fontId="7" fillId="5" borderId="10" xfId="0" applyFont="1" applyFill="1" applyBorder="1" applyAlignment="1" applyProtection="1">
      <alignment horizontal="center" vertical="center"/>
      <protection locked="0" hidden="1"/>
    </xf>
    <xf numFmtId="0" fontId="7" fillId="5" borderId="61" xfId="0" applyFont="1" applyFill="1" applyBorder="1" applyAlignment="1" applyProtection="1">
      <alignment horizontal="center" vertical="center"/>
      <protection locked="0" hidden="1"/>
    </xf>
    <xf numFmtId="0" fontId="7" fillId="5" borderId="22" xfId="0" applyFont="1" applyFill="1" applyBorder="1" applyAlignment="1" applyProtection="1">
      <alignment horizontal="center" vertical="center"/>
      <protection locked="0" hidden="1"/>
    </xf>
    <xf numFmtId="0" fontId="7" fillId="5" borderId="60" xfId="0" applyFont="1" applyFill="1" applyBorder="1" applyAlignment="1" applyProtection="1">
      <alignment horizontal="center" vertical="center"/>
      <protection locked="0" hidden="1"/>
    </xf>
    <xf numFmtId="164" fontId="10" fillId="0" borderId="21" xfId="0" applyNumberFormat="1" applyFont="1" applyFill="1" applyBorder="1" applyAlignment="1" applyProtection="1">
      <alignment horizontal="center" vertical="center" shrinkToFit="1"/>
      <protection locked="0" hidden="1"/>
    </xf>
    <xf numFmtId="0" fontId="0" fillId="0" borderId="122" xfId="0" applyBorder="1" applyAlignment="1" applyProtection="1">
      <alignment horizontal="center" vertical="center" shrinkToFit="1"/>
      <protection locked="0" hidden="1"/>
    </xf>
    <xf numFmtId="0" fontId="25" fillId="3" borderId="129" xfId="0" applyFont="1" applyFill="1" applyBorder="1" applyAlignment="1" applyProtection="1">
      <alignment horizontal="left" vertical="center" shrinkToFit="1"/>
      <protection hidden="1"/>
    </xf>
    <xf numFmtId="0" fontId="25" fillId="3" borderId="39" xfId="0" applyFont="1" applyFill="1" applyBorder="1" applyAlignment="1" applyProtection="1">
      <alignment horizontal="left" vertical="center" shrinkToFit="1"/>
      <protection hidden="1"/>
    </xf>
    <xf numFmtId="0" fontId="10" fillId="3" borderId="57" xfId="0" applyFont="1" applyFill="1" applyBorder="1" applyAlignment="1" applyProtection="1">
      <alignment horizontal="center" vertical="center" shrinkToFit="1"/>
      <protection hidden="1"/>
    </xf>
    <xf numFmtId="0" fontId="10" fillId="3" borderId="56" xfId="0" applyFont="1" applyFill="1" applyBorder="1" applyAlignment="1" applyProtection="1">
      <alignment horizontal="center" vertical="center" shrinkToFit="1"/>
      <protection hidden="1"/>
    </xf>
    <xf numFmtId="0" fontId="10" fillId="3" borderId="64" xfId="0" applyFont="1" applyFill="1" applyBorder="1" applyAlignment="1" applyProtection="1">
      <alignment horizontal="center" vertical="center" shrinkToFit="1"/>
      <protection hidden="1"/>
    </xf>
    <xf numFmtId="0" fontId="25" fillId="0" borderId="81" xfId="0" applyFont="1" applyBorder="1" applyAlignment="1" applyProtection="1">
      <alignment horizontal="center" vertical="center"/>
      <protection hidden="1"/>
    </xf>
    <xf numFmtId="0" fontId="25" fillId="0" borderId="80" xfId="0" applyFont="1" applyBorder="1" applyAlignment="1" applyProtection="1">
      <alignment horizontal="center" vertical="center"/>
      <protection hidden="1"/>
    </xf>
    <xf numFmtId="0" fontId="25" fillId="0" borderId="79" xfId="0" applyFont="1" applyBorder="1" applyAlignment="1" applyProtection="1">
      <alignment horizontal="center" vertical="center"/>
      <protection hidden="1"/>
    </xf>
    <xf numFmtId="0" fontId="51" fillId="2" borderId="111" xfId="0" applyFont="1" applyFill="1" applyBorder="1" applyAlignment="1" applyProtection="1">
      <alignment horizontal="center" vertical="center"/>
      <protection hidden="1"/>
    </xf>
    <xf numFmtId="0" fontId="0" fillId="0" borderId="103" xfId="0" applyBorder="1" applyAlignment="1" applyProtection="1">
      <alignment horizontal="center" vertical="center"/>
      <protection hidden="1"/>
    </xf>
    <xf numFmtId="0" fontId="0" fillId="0" borderId="109" xfId="0" applyBorder="1" applyAlignment="1" applyProtection="1">
      <alignment horizontal="center" vertical="center"/>
      <protection hidden="1"/>
    </xf>
    <xf numFmtId="0" fontId="0" fillId="0" borderId="61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74" xfId="0" applyBorder="1" applyAlignment="1" applyProtection="1">
      <alignment horizontal="center" vertical="center"/>
      <protection hidden="1"/>
    </xf>
    <xf numFmtId="0" fontId="18" fillId="3" borderId="63" xfId="0" applyFont="1" applyFill="1" applyBorder="1" applyAlignment="1" applyProtection="1">
      <alignment horizontal="center" vertical="center"/>
      <protection hidden="1"/>
    </xf>
    <xf numFmtId="0" fontId="18" fillId="3" borderId="31" xfId="0" applyFont="1" applyFill="1" applyBorder="1" applyAlignment="1" applyProtection="1">
      <alignment horizontal="center" vertical="center"/>
      <protection hidden="1"/>
    </xf>
    <xf numFmtId="0" fontId="47" fillId="5" borderId="163" xfId="0" applyFont="1" applyFill="1" applyBorder="1" applyAlignment="1" applyProtection="1">
      <alignment horizontal="center" vertical="center"/>
      <protection locked="0" hidden="1"/>
    </xf>
    <xf numFmtId="0" fontId="47" fillId="5" borderId="23" xfId="0" applyFont="1" applyFill="1" applyBorder="1" applyAlignment="1" applyProtection="1">
      <alignment horizontal="center" vertical="center"/>
      <protection locked="0" hidden="1"/>
    </xf>
    <xf numFmtId="0" fontId="47" fillId="5" borderId="164" xfId="0" applyFont="1" applyFill="1" applyBorder="1" applyAlignment="1" applyProtection="1">
      <alignment horizontal="center" vertical="center"/>
      <protection locked="0" hidden="1"/>
    </xf>
    <xf numFmtId="0" fontId="18" fillId="3" borderId="3" xfId="0" applyFont="1" applyFill="1" applyBorder="1" applyAlignment="1" applyProtection="1">
      <alignment horizontal="center" vertical="center" wrapText="1"/>
      <protection hidden="1"/>
    </xf>
    <xf numFmtId="0" fontId="0" fillId="3" borderId="2" xfId="0" applyFill="1" applyBorder="1" applyAlignment="1" applyProtection="1">
      <alignment horizontal="center" vertical="center" wrapText="1"/>
      <protection hidden="1"/>
    </xf>
    <xf numFmtId="0" fontId="0" fillId="3" borderId="18" xfId="0" applyFill="1" applyBorder="1" applyAlignment="1" applyProtection="1">
      <alignment horizontal="center" vertical="center" wrapText="1"/>
      <protection hidden="1"/>
    </xf>
    <xf numFmtId="0" fontId="58" fillId="6" borderId="110" xfId="0" applyFont="1" applyFill="1" applyBorder="1" applyAlignment="1" applyProtection="1">
      <alignment horizontal="left" vertical="center" wrapText="1" shrinkToFit="1"/>
      <protection locked="0" hidden="1"/>
    </xf>
    <xf numFmtId="0" fontId="55" fillId="6" borderId="103" xfId="0" applyFont="1" applyFill="1" applyBorder="1" applyAlignment="1" applyProtection="1">
      <alignment horizontal="left" vertical="center" wrapText="1" shrinkToFit="1"/>
      <protection locked="0" hidden="1"/>
    </xf>
    <xf numFmtId="0" fontId="55" fillId="6" borderId="128" xfId="0" applyFont="1" applyFill="1" applyBorder="1" applyAlignment="1" applyProtection="1">
      <alignment vertical="center" wrapText="1" shrinkToFit="1"/>
      <protection locked="0" hidden="1"/>
    </xf>
    <xf numFmtId="0" fontId="55" fillId="6" borderId="73" xfId="0" applyFont="1" applyFill="1" applyBorder="1" applyAlignment="1" applyProtection="1">
      <alignment horizontal="left" vertical="center" wrapText="1" shrinkToFit="1"/>
      <protection locked="0" hidden="1"/>
    </xf>
    <xf numFmtId="0" fontId="55" fillId="6" borderId="22" xfId="0" applyFont="1" applyFill="1" applyBorder="1" applyAlignment="1" applyProtection="1">
      <alignment horizontal="left" vertical="center" wrapText="1" shrinkToFit="1"/>
      <protection locked="0" hidden="1"/>
    </xf>
    <xf numFmtId="0" fontId="55" fillId="6" borderId="60" xfId="0" applyFont="1" applyFill="1" applyBorder="1" applyAlignment="1" applyProtection="1">
      <alignment vertical="center" wrapText="1" shrinkToFit="1"/>
      <protection locked="0" hidden="1"/>
    </xf>
    <xf numFmtId="0" fontId="51" fillId="2" borderId="103" xfId="0" applyFont="1" applyFill="1" applyBorder="1" applyAlignment="1" applyProtection="1">
      <alignment horizontal="center" vertical="center"/>
      <protection hidden="1"/>
    </xf>
    <xf numFmtId="0" fontId="51" fillId="2" borderId="109" xfId="0" applyFont="1" applyFill="1" applyBorder="1" applyAlignment="1" applyProtection="1">
      <alignment horizontal="center" vertical="center"/>
      <protection hidden="1"/>
    </xf>
    <xf numFmtId="0" fontId="51" fillId="2" borderId="61" xfId="0" applyFont="1" applyFill="1" applyBorder="1" applyAlignment="1" applyProtection="1">
      <alignment horizontal="center" vertical="center"/>
      <protection hidden="1"/>
    </xf>
    <xf numFmtId="0" fontId="51" fillId="2" borderId="22" xfId="0" applyFont="1" applyFill="1" applyBorder="1" applyAlignment="1" applyProtection="1">
      <alignment horizontal="center" vertical="center"/>
      <protection hidden="1"/>
    </xf>
    <xf numFmtId="0" fontId="51" fillId="2" borderId="74" xfId="0" applyFont="1" applyFill="1" applyBorder="1" applyAlignment="1" applyProtection="1">
      <alignment horizontal="center" vertical="center"/>
      <protection hidden="1"/>
    </xf>
    <xf numFmtId="0" fontId="8" fillId="2" borderId="111" xfId="0" applyFont="1" applyFill="1" applyBorder="1" applyAlignment="1" applyProtection="1">
      <alignment vertical="center" wrapText="1"/>
      <protection hidden="1"/>
    </xf>
    <xf numFmtId="0" fontId="0" fillId="0" borderId="103" xfId="0" applyBorder="1" applyAlignment="1" applyProtection="1">
      <alignment vertical="center" wrapText="1"/>
      <protection hidden="1"/>
    </xf>
    <xf numFmtId="0" fontId="0" fillId="0" borderId="61" xfId="0" applyBorder="1" applyAlignment="1" applyProtection="1">
      <alignment vertical="center" wrapText="1"/>
      <protection hidden="1"/>
    </xf>
    <xf numFmtId="0" fontId="0" fillId="0" borderId="22" xfId="0" applyBorder="1" applyAlignment="1" applyProtection="1">
      <alignment vertical="center" wrapText="1"/>
      <protection hidden="1"/>
    </xf>
    <xf numFmtId="0" fontId="18" fillId="4" borderId="138" xfId="0" applyFont="1" applyFill="1" applyBorder="1" applyAlignment="1" applyProtection="1">
      <alignment horizontal="center" vertical="center"/>
      <protection hidden="1"/>
    </xf>
    <xf numFmtId="0" fontId="59" fillId="6" borderId="5" xfId="0" applyFont="1" applyFill="1" applyBorder="1" applyAlignment="1" applyProtection="1">
      <alignment horizontal="center" vertical="center"/>
      <protection locked="0" hidden="1"/>
    </xf>
    <xf numFmtId="0" fontId="59" fillId="6" borderId="84" xfId="0" applyFont="1" applyFill="1" applyBorder="1" applyAlignment="1" applyProtection="1">
      <alignment horizontal="center" vertical="center"/>
      <protection locked="0" hidden="1"/>
    </xf>
    <xf numFmtId="0" fontId="8" fillId="2" borderId="66" xfId="0" applyFont="1" applyFill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128" xfId="0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center" vertical="center"/>
      <protection hidden="1"/>
    </xf>
    <xf numFmtId="0" fontId="10" fillId="3" borderId="128" xfId="0" applyFont="1" applyFill="1" applyBorder="1" applyAlignment="1" applyProtection="1">
      <alignment horizontal="center" vertical="center"/>
      <protection hidden="1"/>
    </xf>
    <xf numFmtId="0" fontId="18" fillId="0" borderId="110" xfId="0" applyFont="1" applyBorder="1" applyAlignment="1" applyProtection="1">
      <alignment horizontal="left" vertical="center" shrinkToFit="1"/>
      <protection locked="0" hidden="1"/>
    </xf>
    <xf numFmtId="0" fontId="0" fillId="0" borderId="103" xfId="0" applyBorder="1" applyAlignment="1" applyProtection="1">
      <alignment horizontal="left" vertical="center" shrinkToFit="1"/>
      <protection locked="0" hidden="1"/>
    </xf>
    <xf numFmtId="0" fontId="0" fillId="0" borderId="128" xfId="0" applyBorder="1" applyAlignment="1" applyProtection="1">
      <alignment horizontal="left" vertical="center" shrinkToFit="1"/>
      <protection locked="0" hidden="1"/>
    </xf>
    <xf numFmtId="0" fontId="0" fillId="0" borderId="73" xfId="0" applyBorder="1" applyAlignment="1" applyProtection="1">
      <alignment horizontal="left" vertical="center" shrinkToFit="1"/>
      <protection locked="0" hidden="1"/>
    </xf>
    <xf numFmtId="0" fontId="0" fillId="0" borderId="22" xfId="0" applyBorder="1" applyAlignment="1" applyProtection="1">
      <alignment horizontal="left" vertical="center" shrinkToFit="1"/>
      <protection locked="0" hidden="1"/>
    </xf>
    <xf numFmtId="0" fontId="0" fillId="0" borderId="60" xfId="0" applyBorder="1" applyAlignment="1" applyProtection="1">
      <alignment horizontal="left" vertical="center" shrinkToFit="1"/>
      <protection locked="0" hidden="1"/>
    </xf>
    <xf numFmtId="0" fontId="49" fillId="3" borderId="57" xfId="0" applyFont="1" applyFill="1" applyBorder="1" applyAlignment="1" applyProtection="1">
      <alignment horizontal="center" vertical="center"/>
      <protection hidden="1"/>
    </xf>
    <xf numFmtId="0" fontId="48" fillId="3" borderId="56" xfId="0" applyFont="1" applyFill="1" applyBorder="1" applyAlignment="1" applyProtection="1">
      <alignment horizontal="center" vertical="center"/>
      <protection hidden="1"/>
    </xf>
    <xf numFmtId="0" fontId="48" fillId="3" borderId="64" xfId="0" applyFont="1" applyFill="1" applyBorder="1" applyAlignment="1" applyProtection="1">
      <alignment horizontal="center" vertical="center"/>
      <protection hidden="1"/>
    </xf>
    <xf numFmtId="0" fontId="3" fillId="2" borderId="103" xfId="0" applyFont="1" applyFill="1" applyBorder="1" applyAlignment="1" applyProtection="1">
      <alignment horizontal="center" vertical="center"/>
      <protection hidden="1"/>
    </xf>
    <xf numFmtId="0" fontId="3" fillId="2" borderId="109" xfId="0" applyFont="1" applyFill="1" applyBorder="1" applyAlignment="1" applyProtection="1">
      <alignment horizontal="center" vertical="center"/>
      <protection hidden="1"/>
    </xf>
    <xf numFmtId="0" fontId="3" fillId="2" borderId="61" xfId="0" applyFont="1" applyFill="1" applyBorder="1" applyAlignment="1" applyProtection="1">
      <alignment horizontal="center" vertical="center"/>
      <protection hidden="1"/>
    </xf>
    <xf numFmtId="0" fontId="3" fillId="2" borderId="22" xfId="0" applyFont="1" applyFill="1" applyBorder="1" applyAlignment="1" applyProtection="1">
      <alignment horizontal="center" vertical="center"/>
      <protection hidden="1"/>
    </xf>
    <xf numFmtId="0" fontId="3" fillId="2" borderId="74" xfId="0" applyFont="1" applyFill="1" applyBorder="1" applyAlignment="1" applyProtection="1">
      <alignment horizontal="center" vertical="center"/>
      <protection hidden="1"/>
    </xf>
    <xf numFmtId="164" fontId="44" fillId="0" borderId="111" xfId="0" applyNumberFormat="1" applyFont="1" applyBorder="1" applyAlignment="1" applyProtection="1">
      <alignment horizontal="center" vertical="center"/>
      <protection hidden="1"/>
    </xf>
    <xf numFmtId="164" fontId="0" fillId="0" borderId="103" xfId="0" applyNumberFormat="1" applyBorder="1" applyAlignment="1" applyProtection="1">
      <alignment vertical="center"/>
      <protection hidden="1"/>
    </xf>
    <xf numFmtId="164" fontId="0" fillId="0" borderId="109" xfId="0" applyNumberFormat="1" applyBorder="1" applyAlignment="1" applyProtection="1">
      <alignment vertical="center"/>
      <protection hidden="1"/>
    </xf>
    <xf numFmtId="164" fontId="0" fillId="0" borderId="61" xfId="0" applyNumberFormat="1" applyBorder="1" applyAlignment="1" applyProtection="1">
      <alignment vertical="center"/>
      <protection hidden="1"/>
    </xf>
    <xf numFmtId="164" fontId="0" fillId="0" borderId="22" xfId="0" applyNumberFormat="1" applyBorder="1" applyAlignment="1" applyProtection="1">
      <alignment vertical="center"/>
      <protection hidden="1"/>
    </xf>
    <xf numFmtId="164" fontId="0" fillId="0" borderId="74" xfId="0" applyNumberFormat="1" applyBorder="1" applyAlignment="1" applyProtection="1">
      <alignment vertical="center"/>
      <protection hidden="1"/>
    </xf>
    <xf numFmtId="0" fontId="59" fillId="6" borderId="41" xfId="0" applyNumberFormat="1" applyFont="1" applyFill="1" applyBorder="1" applyAlignment="1" applyProtection="1">
      <alignment horizontal="center" vertical="center"/>
      <protection locked="0" hidden="1"/>
    </xf>
    <xf numFmtId="0" fontId="59" fillId="6" borderId="113" xfId="0" applyNumberFormat="1" applyFont="1" applyFill="1" applyBorder="1" applyAlignment="1" applyProtection="1">
      <alignment horizontal="center" vertical="center"/>
      <protection locked="0" hidden="1"/>
    </xf>
    <xf numFmtId="0" fontId="59" fillId="6" borderId="140" xfId="0" applyNumberFormat="1" applyFont="1" applyFill="1" applyBorder="1" applyAlignment="1" applyProtection="1">
      <alignment horizontal="center" vertical="center"/>
      <protection locked="0" hidden="1"/>
    </xf>
    <xf numFmtId="0" fontId="45" fillId="3" borderId="110" xfId="0" applyFont="1" applyFill="1" applyBorder="1" applyAlignment="1" applyProtection="1">
      <alignment horizontal="center" vertical="center"/>
      <protection locked="0" hidden="1"/>
    </xf>
    <xf numFmtId="0" fontId="45" fillId="3" borderId="103" xfId="0" applyFont="1" applyFill="1" applyBorder="1" applyAlignment="1" applyProtection="1">
      <alignment horizontal="center" vertical="center"/>
      <protection locked="0" hidden="1"/>
    </xf>
    <xf numFmtId="0" fontId="22" fillId="3" borderId="109" xfId="0" applyFont="1" applyFill="1" applyBorder="1" applyAlignment="1" applyProtection="1">
      <alignment horizontal="center" vertical="center"/>
      <protection locked="0" hidden="1"/>
    </xf>
    <xf numFmtId="0" fontId="45" fillId="3" borderId="73" xfId="0" applyFont="1" applyFill="1" applyBorder="1" applyAlignment="1" applyProtection="1">
      <alignment horizontal="center" vertical="center"/>
      <protection locked="0" hidden="1"/>
    </xf>
    <xf numFmtId="0" fontId="45" fillId="3" borderId="22" xfId="0" applyFont="1" applyFill="1" applyBorder="1" applyAlignment="1" applyProtection="1">
      <alignment horizontal="center" vertical="center"/>
      <protection locked="0" hidden="1"/>
    </xf>
    <xf numFmtId="0" fontId="22" fillId="3" borderId="74" xfId="0" applyFont="1" applyFill="1" applyBorder="1" applyAlignment="1" applyProtection="1">
      <alignment horizontal="center" vertical="center"/>
      <protection locked="0" hidden="1"/>
    </xf>
    <xf numFmtId="3" fontId="38" fillId="0" borderId="130" xfId="0" applyNumberFormat="1" applyFont="1" applyBorder="1" applyAlignment="1" applyProtection="1">
      <alignment horizontal="center" vertical="center"/>
      <protection locked="0" hidden="1"/>
    </xf>
    <xf numFmtId="3" fontId="0" fillId="0" borderId="105" xfId="0" applyNumberFormat="1" applyFont="1" applyBorder="1" applyAlignment="1" applyProtection="1">
      <alignment horizontal="center" vertical="center"/>
      <protection locked="0" hidden="1"/>
    </xf>
    <xf numFmtId="3" fontId="0" fillId="0" borderId="104" xfId="0" applyNumberFormat="1" applyFont="1" applyBorder="1" applyAlignment="1" applyProtection="1">
      <alignment horizontal="center" vertical="center"/>
      <protection locked="0" hidden="1"/>
    </xf>
    <xf numFmtId="0" fontId="59" fillId="6" borderId="153" xfId="0" applyFont="1" applyFill="1" applyBorder="1" applyAlignment="1" applyProtection="1">
      <alignment horizontal="center" vertical="center"/>
      <protection locked="0" hidden="1"/>
    </xf>
    <xf numFmtId="0" fontId="59" fillId="6" borderId="141" xfId="0" applyFont="1" applyFill="1" applyBorder="1" applyAlignment="1" applyProtection="1">
      <alignment horizontal="center" vertical="center"/>
      <protection locked="0" hidden="1"/>
    </xf>
    <xf numFmtId="0" fontId="59" fillId="6" borderId="142" xfId="0" applyFont="1" applyFill="1" applyBorder="1" applyAlignment="1" applyProtection="1">
      <alignment horizontal="center" vertical="center"/>
      <protection locked="0" hidden="1"/>
    </xf>
    <xf numFmtId="3" fontId="0" fillId="0" borderId="98" xfId="0" applyNumberFormat="1" applyFont="1" applyBorder="1" applyAlignment="1" applyProtection="1">
      <alignment horizontal="center" vertical="center"/>
      <protection locked="0" hidden="1"/>
    </xf>
    <xf numFmtId="0" fontId="10" fillId="3" borderId="57" xfId="0" applyFont="1" applyFill="1" applyBorder="1" applyAlignment="1" applyProtection="1">
      <alignment horizontal="center" vertical="center"/>
      <protection hidden="1"/>
    </xf>
    <xf numFmtId="0" fontId="39" fillId="3" borderId="56" xfId="0" applyFont="1" applyFill="1" applyBorder="1" applyAlignment="1" applyProtection="1">
      <alignment horizontal="center" vertical="center"/>
      <protection hidden="1"/>
    </xf>
    <xf numFmtId="0" fontId="39" fillId="3" borderId="55" xfId="0" applyFont="1" applyFill="1" applyBorder="1" applyAlignment="1" applyProtection="1">
      <alignment horizontal="center" vertical="center"/>
      <protection hidden="1"/>
    </xf>
    <xf numFmtId="0" fontId="59" fillId="6" borderId="71" xfId="0" applyFont="1" applyFill="1" applyBorder="1" applyAlignment="1" applyProtection="1">
      <alignment horizontal="center" vertical="center"/>
      <protection locked="0" hidden="1"/>
    </xf>
    <xf numFmtId="0" fontId="59" fillId="6" borderId="28" xfId="0" applyFont="1" applyFill="1" applyBorder="1" applyAlignment="1" applyProtection="1">
      <alignment horizontal="center" vertical="center"/>
      <protection locked="0" hidden="1"/>
    </xf>
    <xf numFmtId="0" fontId="59" fillId="6" borderId="70" xfId="0" applyFont="1" applyFill="1" applyBorder="1" applyAlignment="1" applyProtection="1">
      <alignment horizontal="center" vertical="center"/>
      <protection locked="0" hidden="1"/>
    </xf>
    <xf numFmtId="0" fontId="59" fillId="6" borderId="152" xfId="0" applyFont="1" applyFill="1" applyBorder="1" applyAlignment="1" applyProtection="1">
      <alignment horizontal="center" vertical="center"/>
      <protection locked="0" hidden="1"/>
    </xf>
    <xf numFmtId="0" fontId="59" fillId="6" borderId="113" xfId="0" applyFont="1" applyFill="1" applyBorder="1" applyAlignment="1" applyProtection="1">
      <alignment horizontal="center" vertical="center"/>
      <protection locked="0" hidden="1"/>
    </xf>
    <xf numFmtId="0" fontId="59" fillId="6" borderId="140" xfId="0" applyFont="1" applyFill="1" applyBorder="1" applyAlignment="1" applyProtection="1">
      <alignment horizontal="center" vertical="center"/>
      <protection locked="0" hidden="1"/>
    </xf>
    <xf numFmtId="0" fontId="8" fillId="2" borderId="127" xfId="0" applyFont="1" applyFill="1" applyBorder="1" applyAlignment="1" applyProtection="1">
      <alignment horizontal="center" vertical="center"/>
      <protection hidden="1"/>
    </xf>
    <xf numFmtId="0" fontId="8" fillId="2" borderId="126" xfId="0" applyFont="1" applyFill="1" applyBorder="1" applyAlignment="1" applyProtection="1">
      <alignment horizontal="center" vertical="center"/>
      <protection hidden="1"/>
    </xf>
    <xf numFmtId="0" fontId="8" fillId="2" borderId="154" xfId="0" applyFont="1" applyFill="1" applyBorder="1" applyAlignment="1" applyProtection="1">
      <alignment horizontal="center" vertical="center"/>
      <protection hidden="1"/>
    </xf>
    <xf numFmtId="0" fontId="59" fillId="6" borderId="29" xfId="0" applyNumberFormat="1" applyFont="1" applyFill="1" applyBorder="1" applyAlignment="1" applyProtection="1">
      <alignment horizontal="center" vertical="center"/>
      <protection locked="0" hidden="1"/>
    </xf>
    <xf numFmtId="0" fontId="59" fillId="6" borderId="28" xfId="0" applyNumberFormat="1" applyFont="1" applyFill="1" applyBorder="1" applyAlignment="1" applyProtection="1">
      <alignment horizontal="center" vertical="center"/>
      <protection locked="0" hidden="1"/>
    </xf>
    <xf numFmtId="0" fontId="59" fillId="6" borderId="70" xfId="0" applyNumberFormat="1" applyFont="1" applyFill="1" applyBorder="1" applyAlignment="1" applyProtection="1">
      <alignment horizontal="center" vertical="center"/>
      <protection locked="0" hidden="1"/>
    </xf>
    <xf numFmtId="0" fontId="59" fillId="6" borderId="151" xfId="0" applyNumberFormat="1" applyFont="1" applyFill="1" applyBorder="1" applyAlignment="1" applyProtection="1">
      <alignment horizontal="center" vertical="center"/>
      <protection locked="0" hidden="1"/>
    </xf>
    <xf numFmtId="0" fontId="59" fillId="6" borderId="141" xfId="0" applyNumberFormat="1" applyFont="1" applyFill="1" applyBorder="1" applyAlignment="1" applyProtection="1">
      <alignment horizontal="center" vertical="center"/>
      <protection locked="0" hidden="1"/>
    </xf>
    <xf numFmtId="0" fontId="59" fillId="6" borderId="142" xfId="0" applyNumberFormat="1" applyFont="1" applyFill="1" applyBorder="1" applyAlignment="1" applyProtection="1">
      <alignment horizontal="center" vertical="center"/>
      <protection locked="0" hidden="1"/>
    </xf>
    <xf numFmtId="0" fontId="59" fillId="6" borderId="44" xfId="0" applyFont="1" applyFill="1" applyBorder="1" applyAlignment="1" applyProtection="1">
      <alignment horizontal="center" vertical="center"/>
      <protection locked="0" hidden="1"/>
    </xf>
    <xf numFmtId="0" fontId="50" fillId="2" borderId="111" xfId="0" applyFont="1" applyFill="1" applyBorder="1" applyAlignment="1" applyProtection="1">
      <alignment horizontal="center" vertical="center"/>
      <protection hidden="1"/>
    </xf>
    <xf numFmtId="0" fontId="50" fillId="2" borderId="103" xfId="0" applyFont="1" applyFill="1" applyBorder="1" applyAlignment="1" applyProtection="1">
      <alignment horizontal="center" vertical="center"/>
      <protection hidden="1"/>
    </xf>
    <xf numFmtId="0" fontId="50" fillId="2" borderId="109" xfId="0" applyFont="1" applyFill="1" applyBorder="1" applyAlignment="1" applyProtection="1">
      <alignment horizontal="center" vertical="center"/>
      <protection hidden="1"/>
    </xf>
    <xf numFmtId="0" fontId="50" fillId="2" borderId="61" xfId="0" applyFont="1" applyFill="1" applyBorder="1" applyAlignment="1" applyProtection="1">
      <alignment horizontal="center" vertical="center"/>
      <protection hidden="1"/>
    </xf>
    <xf numFmtId="0" fontId="50" fillId="2" borderId="22" xfId="0" applyFont="1" applyFill="1" applyBorder="1" applyAlignment="1" applyProtection="1">
      <alignment horizontal="center" vertical="center"/>
      <protection hidden="1"/>
    </xf>
    <xf numFmtId="0" fontId="50" fillId="2" borderId="74" xfId="0" applyFont="1" applyFill="1" applyBorder="1" applyAlignment="1" applyProtection="1">
      <alignment horizontal="center" vertical="center"/>
      <protection hidden="1"/>
    </xf>
    <xf numFmtId="0" fontId="54" fillId="6" borderId="110" xfId="0" applyFont="1" applyFill="1" applyBorder="1" applyAlignment="1" applyProtection="1">
      <alignment horizontal="center" vertical="center" wrapText="1" shrinkToFit="1"/>
      <protection locked="0" hidden="1"/>
    </xf>
    <xf numFmtId="0" fontId="55" fillId="6" borderId="103" xfId="0" applyFont="1" applyFill="1" applyBorder="1" applyAlignment="1" applyProtection="1">
      <alignment horizontal="center" vertical="center" wrapText="1" shrinkToFit="1"/>
      <protection locked="0" hidden="1"/>
    </xf>
    <xf numFmtId="0" fontId="55" fillId="6" borderId="128" xfId="0" applyFont="1" applyFill="1" applyBorder="1" applyAlignment="1" applyProtection="1">
      <alignment horizontal="center" vertical="center" wrapText="1" shrinkToFit="1"/>
      <protection locked="0" hidden="1"/>
    </xf>
    <xf numFmtId="0" fontId="55" fillId="6" borderId="73" xfId="0" applyFont="1" applyFill="1" applyBorder="1" applyAlignment="1" applyProtection="1">
      <alignment horizontal="center" vertical="center" wrapText="1" shrinkToFit="1"/>
      <protection locked="0" hidden="1"/>
    </xf>
    <xf numFmtId="0" fontId="55" fillId="6" borderId="22" xfId="0" applyFont="1" applyFill="1" applyBorder="1" applyAlignment="1" applyProtection="1">
      <alignment horizontal="center" vertical="center" wrapText="1" shrinkToFit="1"/>
      <protection locked="0" hidden="1"/>
    </xf>
    <xf numFmtId="0" fontId="55" fillId="6" borderId="60" xfId="0" applyFont="1" applyFill="1" applyBorder="1" applyAlignment="1" applyProtection="1">
      <alignment horizontal="center" vertical="center" wrapText="1" shrinkToFit="1"/>
      <protection locked="0" hidden="1"/>
    </xf>
    <xf numFmtId="0" fontId="25" fillId="0" borderId="114" xfId="0" applyFont="1" applyBorder="1" applyAlignment="1" applyProtection="1">
      <alignment horizontal="center" vertical="center"/>
      <protection hidden="1"/>
    </xf>
    <xf numFmtId="0" fontId="25" fillId="0" borderId="11" xfId="0" applyFont="1" applyBorder="1" applyAlignment="1" applyProtection="1">
      <alignment horizontal="center" vertical="center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0" fontId="21" fillId="3" borderId="48" xfId="0" applyFont="1" applyFill="1" applyBorder="1" applyAlignment="1" applyProtection="1">
      <alignment horizontal="center" vertical="center"/>
      <protection hidden="1"/>
    </xf>
    <xf numFmtId="0" fontId="10" fillId="3" borderId="124" xfId="0" applyFont="1" applyFill="1" applyBorder="1" applyAlignment="1" applyProtection="1">
      <alignment horizontal="left" vertical="center" shrinkToFit="1"/>
      <protection hidden="1"/>
    </xf>
    <xf numFmtId="0" fontId="22" fillId="3" borderId="106" xfId="0" applyFont="1" applyFill="1" applyBorder="1" applyAlignment="1" applyProtection="1">
      <alignment horizontal="left" vertical="center" shrinkToFit="1"/>
      <protection hidden="1"/>
    </xf>
    <xf numFmtId="0" fontId="22" fillId="3" borderId="123" xfId="0" applyFont="1" applyFill="1" applyBorder="1" applyAlignment="1" applyProtection="1">
      <alignment horizontal="left" vertical="center" shrinkToFit="1"/>
      <protection hidden="1"/>
    </xf>
    <xf numFmtId="4" fontId="18" fillId="0" borderId="101" xfId="0" applyNumberFormat="1" applyFont="1" applyFill="1" applyBorder="1" applyAlignment="1" applyProtection="1">
      <alignment horizontal="right" vertical="center" shrinkToFit="1"/>
      <protection locked="0" hidden="1"/>
    </xf>
    <xf numFmtId="4" fontId="2" fillId="0" borderId="80" xfId="0" applyNumberFormat="1" applyFont="1" applyBorder="1" applyAlignment="1" applyProtection="1">
      <alignment horizontal="right" vertical="center"/>
      <protection locked="0" hidden="1"/>
    </xf>
    <xf numFmtId="4" fontId="2" fillId="0" borderId="61" xfId="0" applyNumberFormat="1" applyFont="1" applyBorder="1" applyAlignment="1" applyProtection="1">
      <alignment horizontal="right" vertical="center"/>
      <protection locked="0" hidden="1"/>
    </xf>
    <xf numFmtId="4" fontId="2" fillId="0" borderId="22" xfId="0" applyNumberFormat="1" applyFont="1" applyBorder="1" applyAlignment="1" applyProtection="1">
      <alignment horizontal="right" vertical="center"/>
      <protection locked="0" hidden="1"/>
    </xf>
    <xf numFmtId="0" fontId="4" fillId="0" borderId="112" xfId="0" applyFont="1" applyBorder="1" applyAlignment="1" applyProtection="1">
      <alignment horizontal="center" vertical="center" shrinkToFit="1"/>
      <protection locked="0" hidden="1"/>
    </xf>
    <xf numFmtId="0" fontId="4" fillId="0" borderId="16" xfId="0" applyFont="1" applyBorder="1" applyAlignment="1" applyProtection="1">
      <alignment horizontal="center" vertical="center" shrinkToFit="1"/>
      <protection locked="0" hidden="1"/>
    </xf>
    <xf numFmtId="0" fontId="33" fillId="0" borderId="0" xfId="0" applyFont="1" applyFill="1" applyBorder="1" applyAlignment="1" applyProtection="1">
      <alignment horizontal="center" vertical="center"/>
      <protection locked="0" hidden="1"/>
    </xf>
    <xf numFmtId="0" fontId="33" fillId="0" borderId="77" xfId="0" applyFont="1" applyFill="1" applyBorder="1" applyAlignment="1" applyProtection="1">
      <alignment horizontal="center" vertical="center"/>
      <protection locked="0" hidden="1"/>
    </xf>
    <xf numFmtId="0" fontId="33" fillId="0" borderId="22" xfId="0" applyFont="1" applyFill="1" applyBorder="1" applyAlignment="1" applyProtection="1">
      <alignment horizontal="center" vertical="center"/>
      <protection locked="0" hidden="1"/>
    </xf>
    <xf numFmtId="0" fontId="33" fillId="0" borderId="74" xfId="0" applyFont="1" applyFill="1" applyBorder="1" applyAlignment="1" applyProtection="1">
      <alignment horizontal="center" vertical="center"/>
      <protection locked="0" hidden="1"/>
    </xf>
    <xf numFmtId="164" fontId="10" fillId="0" borderId="122" xfId="0" applyNumberFormat="1" applyFont="1" applyFill="1" applyBorder="1" applyAlignment="1" applyProtection="1">
      <alignment horizontal="center" vertical="center" shrinkToFit="1"/>
      <protection locked="0" hidden="1"/>
    </xf>
    <xf numFmtId="0" fontId="0" fillId="0" borderId="121" xfId="0" applyBorder="1" applyAlignment="1" applyProtection="1">
      <alignment horizontal="center" vertical="center" shrinkToFit="1"/>
      <protection locked="0" hidden="1"/>
    </xf>
    <xf numFmtId="0" fontId="14" fillId="5" borderId="103" xfId="0" applyFont="1" applyFill="1" applyBorder="1" applyAlignment="1" applyProtection="1">
      <alignment horizontal="center" vertical="center" wrapText="1"/>
      <protection locked="0" hidden="1"/>
    </xf>
    <xf numFmtId="0" fontId="14" fillId="5" borderId="128" xfId="0" applyFont="1" applyFill="1" applyBorder="1" applyAlignment="1" applyProtection="1">
      <alignment horizontal="center" vertical="center" wrapText="1"/>
      <protection locked="0" hidden="1"/>
    </xf>
    <xf numFmtId="0" fontId="14" fillId="5" borderId="22" xfId="0" applyFont="1" applyFill="1" applyBorder="1" applyAlignment="1" applyProtection="1">
      <alignment horizontal="center" vertical="center" wrapText="1"/>
      <protection locked="0" hidden="1"/>
    </xf>
    <xf numFmtId="0" fontId="14" fillId="5" borderId="60" xfId="0" applyFont="1" applyFill="1" applyBorder="1" applyAlignment="1" applyProtection="1">
      <alignment horizontal="center" vertical="center" wrapText="1"/>
      <protection locked="0" hidden="1"/>
    </xf>
    <xf numFmtId="0" fontId="4" fillId="0" borderId="41" xfId="0" applyFont="1" applyFill="1" applyBorder="1" applyAlignment="1" applyProtection="1">
      <alignment horizontal="center" vertical="center" shrinkToFit="1"/>
      <protection locked="0" hidden="1"/>
    </xf>
    <xf numFmtId="0" fontId="4" fillId="0" borderId="113" xfId="0" applyFont="1" applyFill="1" applyBorder="1" applyAlignment="1" applyProtection="1">
      <alignment horizontal="center" vertical="center" shrinkToFit="1"/>
      <protection locked="0" hidden="1"/>
    </xf>
    <xf numFmtId="0" fontId="4" fillId="0" borderId="18" xfId="0" applyFont="1" applyFill="1" applyBorder="1" applyAlignment="1" applyProtection="1">
      <alignment horizontal="center" vertical="center" shrinkToFit="1"/>
      <protection locked="0" hidden="1"/>
    </xf>
    <xf numFmtId="0" fontId="4" fillId="0" borderId="17" xfId="0" applyFont="1" applyFill="1" applyBorder="1" applyAlignment="1" applyProtection="1">
      <alignment horizontal="center" vertical="center" shrinkToFit="1"/>
      <protection locked="0" hidden="1"/>
    </xf>
    <xf numFmtId="0" fontId="10" fillId="3" borderId="47" xfId="0" applyFont="1" applyFill="1" applyBorder="1" applyAlignment="1" applyProtection="1">
      <alignment horizontal="center" vertical="center"/>
      <protection hidden="1"/>
    </xf>
    <xf numFmtId="0" fontId="22" fillId="3" borderId="47" xfId="0" applyFont="1" applyFill="1" applyBorder="1" applyAlignment="1" applyProtection="1">
      <alignment horizontal="center" vertical="center"/>
      <protection hidden="1"/>
    </xf>
    <xf numFmtId="0" fontId="4" fillId="6" borderId="32" xfId="0" applyFont="1" applyFill="1" applyBorder="1" applyAlignment="1" applyProtection="1">
      <alignment horizontal="center" vertical="center" shrinkToFit="1"/>
      <protection locked="0" hidden="1"/>
    </xf>
    <xf numFmtId="0" fontId="4" fillId="6" borderId="31" xfId="0" applyFont="1" applyFill="1" applyBorder="1" applyAlignment="1" applyProtection="1">
      <alignment horizontal="center" vertical="center" shrinkToFit="1"/>
      <protection locked="0" hidden="1"/>
    </xf>
    <xf numFmtId="1" fontId="40" fillId="0" borderId="102" xfId="0" applyNumberFormat="1" applyFont="1" applyBorder="1" applyAlignment="1" applyProtection="1">
      <alignment horizontal="center" vertical="center"/>
      <protection locked="0" hidden="1"/>
    </xf>
    <xf numFmtId="1" fontId="40" fillId="0" borderId="28" xfId="0" applyNumberFormat="1" applyFont="1" applyBorder="1" applyAlignment="1" applyProtection="1">
      <alignment horizontal="center" vertical="center"/>
      <protection locked="0" hidden="1"/>
    </xf>
    <xf numFmtId="1" fontId="40" fillId="0" borderId="70" xfId="0" applyNumberFormat="1" applyFont="1" applyBorder="1" applyAlignment="1" applyProtection="1">
      <alignment horizontal="center" vertical="center"/>
      <protection locked="0" hidden="1"/>
    </xf>
    <xf numFmtId="1" fontId="40" fillId="0" borderId="63" xfId="0" applyNumberFormat="1" applyFont="1" applyBorder="1" applyAlignment="1" applyProtection="1">
      <alignment horizontal="center" vertical="center"/>
      <protection locked="0" hidden="1"/>
    </xf>
    <xf numFmtId="1" fontId="40" fillId="0" borderId="31" xfId="0" applyNumberFormat="1" applyFont="1" applyBorder="1" applyAlignment="1" applyProtection="1">
      <alignment horizontal="center" vertical="center"/>
      <protection locked="0" hidden="1"/>
    </xf>
    <xf numFmtId="1" fontId="40" fillId="0" borderId="30" xfId="0" applyNumberFormat="1" applyFont="1" applyBorder="1" applyAlignment="1" applyProtection="1">
      <alignment horizontal="center" vertical="center"/>
      <protection locked="0" hidden="1"/>
    </xf>
    <xf numFmtId="1" fontId="37" fillId="0" borderId="59" xfId="0" applyNumberFormat="1" applyFont="1" applyBorder="1" applyAlignment="1" applyProtection="1">
      <alignment vertical="center"/>
      <protection locked="0" hidden="1"/>
    </xf>
    <xf numFmtId="1" fontId="37" fillId="0" borderId="17" xfId="0" applyNumberFormat="1" applyFont="1" applyBorder="1" applyAlignment="1" applyProtection="1">
      <alignment vertical="center"/>
      <protection locked="0" hidden="1"/>
    </xf>
    <xf numFmtId="1" fontId="37" fillId="0" borderId="19" xfId="0" applyNumberFormat="1" applyFont="1" applyBorder="1" applyAlignment="1" applyProtection="1">
      <alignment vertical="center"/>
      <protection locked="0" hidden="1"/>
    </xf>
    <xf numFmtId="0" fontId="4" fillId="0" borderId="31" xfId="0" quotePrefix="1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62" xfId="0" applyFont="1" applyBorder="1" applyAlignment="1" applyProtection="1">
      <alignment horizontal="center" vertical="center"/>
      <protection hidden="1"/>
    </xf>
    <xf numFmtId="0" fontId="18" fillId="3" borderId="131" xfId="0" applyFont="1" applyFill="1" applyBorder="1" applyAlignment="1" applyProtection="1">
      <alignment horizontal="center" vertical="center"/>
      <protection hidden="1"/>
    </xf>
    <xf numFmtId="0" fontId="18" fillId="3" borderId="113" xfId="0" applyFont="1" applyFill="1" applyBorder="1" applyAlignment="1" applyProtection="1">
      <alignment horizontal="center" vertical="center"/>
      <protection hidden="1"/>
    </xf>
    <xf numFmtId="0" fontId="15" fillId="3" borderId="54" xfId="0" applyFont="1" applyFill="1" applyBorder="1" applyAlignment="1" applyProtection="1">
      <alignment horizontal="center" vertical="center" shrinkToFit="1"/>
      <protection hidden="1"/>
    </xf>
    <xf numFmtId="0" fontId="15" fillId="3" borderId="53" xfId="0" applyFont="1" applyFill="1" applyBorder="1" applyAlignment="1" applyProtection="1">
      <alignment horizontal="center" vertical="center" shrinkToFit="1"/>
      <protection hidden="1"/>
    </xf>
    <xf numFmtId="0" fontId="15" fillId="3" borderId="90" xfId="0" applyFont="1" applyFill="1" applyBorder="1" applyAlignment="1" applyProtection="1">
      <alignment horizontal="center" vertical="center" shrinkToFit="1"/>
      <protection hidden="1"/>
    </xf>
    <xf numFmtId="164" fontId="5" fillId="0" borderId="47" xfId="0" applyNumberFormat="1" applyFont="1" applyFill="1" applyBorder="1" applyAlignment="1" applyProtection="1">
      <alignment horizontal="center" vertical="center"/>
      <protection hidden="1"/>
    </xf>
    <xf numFmtId="0" fontId="46" fillId="0" borderId="46" xfId="0" applyFont="1" applyFill="1" applyBorder="1" applyAlignment="1" applyProtection="1">
      <alignment vertical="center"/>
      <protection hidden="1"/>
    </xf>
    <xf numFmtId="0" fontId="69" fillId="5" borderId="31" xfId="0" applyFont="1" applyFill="1" applyBorder="1" applyAlignment="1" applyProtection="1">
      <alignment vertical="center" wrapText="1"/>
      <protection hidden="1"/>
    </xf>
    <xf numFmtId="0" fontId="43" fillId="5" borderId="31" xfId="0" applyFont="1" applyFill="1" applyBorder="1" applyAlignment="1" applyProtection="1">
      <alignment vertical="center" wrapText="1"/>
      <protection hidden="1"/>
    </xf>
    <xf numFmtId="0" fontId="43" fillId="5" borderId="62" xfId="0" applyFont="1" applyFill="1" applyBorder="1" applyAlignment="1" applyProtection="1">
      <alignment vertical="center" wrapText="1"/>
      <protection hidden="1"/>
    </xf>
    <xf numFmtId="164" fontId="38" fillId="0" borderId="126" xfId="0" applyNumberFormat="1" applyFont="1" applyBorder="1" applyAlignment="1" applyProtection="1">
      <alignment horizontal="center" vertical="center" shrinkToFit="1"/>
      <protection hidden="1"/>
    </xf>
    <xf numFmtId="0" fontId="15" fillId="3" borderId="126" xfId="0" applyFont="1" applyFill="1" applyBorder="1" applyAlignment="1" applyProtection="1">
      <alignment horizontal="center" vertical="center"/>
      <protection hidden="1"/>
    </xf>
    <xf numFmtId="0" fontId="38" fillId="6" borderId="126" xfId="0" applyFont="1" applyFill="1" applyBorder="1" applyAlignment="1" applyProtection="1">
      <alignment horizontal="left" vertical="center" shrinkToFit="1"/>
      <protection locked="0" hidden="1"/>
    </xf>
    <xf numFmtId="0" fontId="4" fillId="0" borderId="31" xfId="0" applyFont="1" applyFill="1" applyBorder="1" applyAlignment="1" applyProtection="1">
      <alignment horizontal="center" vertical="center" shrinkToFit="1"/>
      <protection hidden="1"/>
    </xf>
    <xf numFmtId="164" fontId="10" fillId="3" borderId="122" xfId="0" applyNumberFormat="1" applyFont="1" applyFill="1" applyBorder="1" applyAlignment="1" applyProtection="1">
      <alignment horizontal="center" vertical="center" shrinkToFit="1"/>
      <protection hidden="1"/>
    </xf>
    <xf numFmtId="0" fontId="36" fillId="2" borderId="66" xfId="0" applyFont="1" applyFill="1" applyBorder="1" applyAlignment="1" applyProtection="1">
      <alignment horizontal="center" vertical="center"/>
      <protection hidden="1"/>
    </xf>
    <xf numFmtId="0" fontId="36" fillId="2" borderId="47" xfId="0" applyFont="1" applyFill="1" applyBorder="1" applyAlignment="1" applyProtection="1">
      <alignment horizontal="center" vertical="center"/>
      <protection hidden="1"/>
    </xf>
    <xf numFmtId="0" fontId="43" fillId="0" borderId="108" xfId="0" applyFont="1" applyBorder="1" applyAlignment="1" applyProtection="1">
      <alignment horizontal="center" vertical="center"/>
      <protection hidden="1"/>
    </xf>
    <xf numFmtId="0" fontId="21" fillId="3" borderId="57" xfId="0" applyFont="1" applyFill="1" applyBorder="1" applyAlignment="1" applyProtection="1">
      <alignment horizontal="center" vertical="center" wrapText="1"/>
      <protection hidden="1"/>
    </xf>
    <xf numFmtId="0" fontId="21" fillId="3" borderId="56" xfId="0" applyFont="1" applyFill="1" applyBorder="1" applyAlignment="1" applyProtection="1">
      <alignment horizontal="center" vertical="center" wrapText="1"/>
      <protection hidden="1"/>
    </xf>
    <xf numFmtId="0" fontId="21" fillId="3" borderId="55" xfId="0" applyFont="1" applyFill="1" applyBorder="1" applyAlignment="1" applyProtection="1">
      <alignment horizontal="center" vertical="center" wrapText="1"/>
      <protection hidden="1"/>
    </xf>
    <xf numFmtId="0" fontId="15" fillId="3" borderId="127" xfId="0" applyFont="1" applyFill="1" applyBorder="1" applyAlignment="1" applyProtection="1">
      <alignment horizontal="left" vertical="center" shrinkToFit="1"/>
      <protection hidden="1"/>
    </xf>
    <xf numFmtId="0" fontId="39" fillId="3" borderId="126" xfId="0" applyFont="1" applyFill="1" applyBorder="1" applyAlignment="1" applyProtection="1">
      <alignment horizontal="left" vertical="center" shrinkToFit="1"/>
      <protection hidden="1"/>
    </xf>
    <xf numFmtId="0" fontId="70" fillId="5" borderId="94" xfId="0" applyFont="1" applyFill="1" applyBorder="1" applyAlignment="1" applyProtection="1">
      <alignment vertical="center" wrapText="1"/>
      <protection hidden="1"/>
    </xf>
    <xf numFmtId="0" fontId="71" fillId="5" borderId="2" xfId="0" applyFont="1" applyFill="1" applyBorder="1" applyAlignment="1" applyProtection="1">
      <alignment vertical="center" wrapText="1"/>
      <protection hidden="1"/>
    </xf>
    <xf numFmtId="0" fontId="71" fillId="5" borderId="1" xfId="0" applyFont="1" applyFill="1" applyBorder="1" applyAlignment="1" applyProtection="1">
      <alignment vertical="center" wrapText="1"/>
      <protection hidden="1"/>
    </xf>
    <xf numFmtId="0" fontId="25" fillId="3" borderId="39" xfId="0" applyFont="1" applyFill="1" applyBorder="1" applyAlignment="1" applyProtection="1">
      <alignment horizontal="center" vertical="center"/>
      <protection hidden="1"/>
    </xf>
    <xf numFmtId="0" fontId="4" fillId="0" borderId="39" xfId="0" quotePrefix="1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4" fillId="0" borderId="126" xfId="0" applyFont="1" applyBorder="1" applyAlignment="1" applyProtection="1">
      <alignment horizontal="center" vertical="center"/>
      <protection hidden="1"/>
    </xf>
    <xf numFmtId="0" fontId="4" fillId="0" borderId="125" xfId="0" applyFont="1" applyBorder="1" applyAlignment="1" applyProtection="1">
      <alignment horizontal="center" vertical="center"/>
      <protection hidden="1"/>
    </xf>
    <xf numFmtId="0" fontId="15" fillId="3" borderId="126" xfId="0" applyFont="1" applyFill="1" applyBorder="1" applyAlignment="1" applyProtection="1">
      <alignment horizontal="left" vertical="center" shrinkToFit="1"/>
      <protection hidden="1"/>
    </xf>
    <xf numFmtId="1" fontId="4" fillId="0" borderId="31" xfId="0" applyNumberFormat="1" applyFont="1" applyFill="1" applyBorder="1" applyAlignment="1" applyProtection="1">
      <alignment horizontal="center" vertical="center" shrinkToFit="1"/>
      <protection hidden="1"/>
    </xf>
    <xf numFmtId="0" fontId="4" fillId="6" borderId="32" xfId="0" applyFont="1" applyFill="1" applyBorder="1" applyAlignment="1" applyProtection="1">
      <alignment horizontal="center" vertical="center"/>
      <protection locked="0" hidden="1"/>
    </xf>
    <xf numFmtId="0" fontId="29" fillId="5" borderId="99" xfId="0" applyFont="1" applyFill="1" applyBorder="1" applyAlignment="1" applyProtection="1">
      <alignment horizontal="right" vertical="center" wrapText="1"/>
      <protection locked="0" hidden="1"/>
    </xf>
    <xf numFmtId="0" fontId="29" fillId="5" borderId="105" xfId="0" applyFont="1" applyFill="1" applyBorder="1" applyAlignment="1" applyProtection="1">
      <alignment horizontal="right" vertical="center" wrapText="1"/>
      <protection locked="0" hidden="1"/>
    </xf>
    <xf numFmtId="0" fontId="29" fillId="5" borderId="105" xfId="0" applyFont="1" applyFill="1" applyBorder="1" applyAlignment="1" applyProtection="1">
      <alignment horizontal="left" vertical="center" wrapText="1"/>
      <protection locked="0" hidden="1"/>
    </xf>
    <xf numFmtId="0" fontId="29" fillId="5" borderId="155" xfId="0" applyFont="1" applyFill="1" applyBorder="1" applyAlignment="1" applyProtection="1">
      <alignment horizontal="left" vertical="center" wrapText="1"/>
      <protection locked="0" hidden="1"/>
    </xf>
    <xf numFmtId="0" fontId="27" fillId="0" borderId="103" xfId="0" applyFont="1" applyBorder="1" applyAlignment="1" applyProtection="1">
      <alignment horizontal="center" vertical="top"/>
      <protection hidden="1"/>
    </xf>
    <xf numFmtId="0" fontId="28" fillId="0" borderId="103" xfId="0" applyFont="1" applyBorder="1" applyAlignment="1" applyProtection="1">
      <alignment horizontal="left" vertical="center"/>
      <protection hidden="1"/>
    </xf>
    <xf numFmtId="0" fontId="12" fillId="2" borderId="109" xfId="0" applyFont="1" applyFill="1" applyBorder="1" applyAlignment="1" applyProtection="1">
      <alignment horizontal="center" vertical="center" wrapText="1"/>
      <protection hidden="1"/>
    </xf>
    <xf numFmtId="0" fontId="12" fillId="2" borderId="74" xfId="0" applyFont="1" applyFill="1" applyBorder="1" applyAlignment="1" applyProtection="1">
      <alignment horizontal="center" vertical="center" wrapText="1"/>
      <protection hidden="1"/>
    </xf>
    <xf numFmtId="0" fontId="28" fillId="0" borderId="103" xfId="0" applyFont="1" applyBorder="1" applyAlignment="1" applyProtection="1">
      <alignment horizontal="center"/>
      <protection hidden="1"/>
    </xf>
    <xf numFmtId="0" fontId="4" fillId="6" borderId="29" xfId="0" applyFont="1" applyFill="1" applyBorder="1" applyAlignment="1" applyProtection="1">
      <alignment horizontal="center" vertical="center"/>
      <protection locked="0" hidden="1"/>
    </xf>
    <xf numFmtId="0" fontId="4" fillId="6" borderId="28" xfId="0" applyFont="1" applyFill="1" applyBorder="1" applyAlignment="1" applyProtection="1">
      <alignment horizontal="center" vertical="center"/>
      <protection locked="0" hidden="1"/>
    </xf>
    <xf numFmtId="0" fontId="4" fillId="6" borderId="70" xfId="0" applyFont="1" applyFill="1" applyBorder="1" applyAlignment="1" applyProtection="1">
      <alignment horizontal="center" vertical="center"/>
      <protection locked="0" hidden="1"/>
    </xf>
    <xf numFmtId="0" fontId="4" fillId="6" borderId="71" xfId="0" applyFont="1" applyFill="1" applyBorder="1" applyAlignment="1" applyProtection="1">
      <alignment horizontal="center" vertical="center"/>
      <protection locked="0" hidden="1"/>
    </xf>
    <xf numFmtId="0" fontId="30" fillId="3" borderId="67" xfId="0" applyFont="1" applyFill="1" applyBorder="1" applyAlignment="1" applyProtection="1">
      <alignment horizontal="center" vertical="center" wrapText="1"/>
      <protection hidden="1"/>
    </xf>
    <xf numFmtId="0" fontId="30" fillId="3" borderId="56" xfId="0" applyFont="1" applyFill="1" applyBorder="1" applyAlignment="1" applyProtection="1">
      <alignment horizontal="center" vertical="center" wrapText="1"/>
      <protection hidden="1"/>
    </xf>
    <xf numFmtId="0" fontId="30" fillId="3" borderId="64" xfId="0" applyFont="1" applyFill="1" applyBorder="1" applyAlignment="1" applyProtection="1">
      <alignment horizontal="center" vertical="center" wrapText="1"/>
      <protection hidden="1"/>
    </xf>
    <xf numFmtId="0" fontId="29" fillId="5" borderId="99" xfId="0" applyFont="1" applyFill="1" applyBorder="1" applyAlignment="1" applyProtection="1">
      <alignment horizontal="center" vertical="center" wrapText="1"/>
      <protection locked="0" hidden="1"/>
    </xf>
    <xf numFmtId="0" fontId="29" fillId="5" borderId="105" xfId="0" applyFont="1" applyFill="1" applyBorder="1" applyAlignment="1" applyProtection="1">
      <alignment horizontal="center" vertical="center" wrapText="1"/>
      <protection locked="0" hidden="1"/>
    </xf>
    <xf numFmtId="0" fontId="29" fillId="5" borderId="104" xfId="0" applyFont="1" applyFill="1" applyBorder="1" applyAlignment="1" applyProtection="1">
      <alignment horizontal="center" vertical="center" wrapText="1"/>
      <protection locked="0" hidden="1"/>
    </xf>
    <xf numFmtId="0" fontId="29" fillId="5" borderId="156" xfId="0" applyFont="1" applyFill="1" applyBorder="1" applyAlignment="1" applyProtection="1">
      <alignment horizontal="right" vertical="center" wrapText="1"/>
      <protection locked="0" hidden="1"/>
    </xf>
    <xf numFmtId="0" fontId="29" fillId="5" borderId="104" xfId="0" applyFont="1" applyFill="1" applyBorder="1" applyAlignment="1" applyProtection="1">
      <alignment horizontal="left" vertical="center" wrapText="1"/>
      <protection locked="0" hidden="1"/>
    </xf>
    <xf numFmtId="0" fontId="32" fillId="3" borderId="49" xfId="0" applyFont="1" applyFill="1" applyBorder="1" applyAlignment="1" applyProtection="1">
      <alignment horizontal="center" vertical="center"/>
      <protection hidden="1"/>
    </xf>
    <xf numFmtId="0" fontId="5" fillId="0" borderId="110" xfId="0" applyNumberFormat="1" applyFont="1" applyFill="1" applyBorder="1" applyAlignment="1" applyProtection="1">
      <alignment horizontal="center" vertical="center" shrinkToFit="1"/>
      <protection locked="0" hidden="1"/>
    </xf>
    <xf numFmtId="0" fontId="5" fillId="0" borderId="103" xfId="0" applyNumberFormat="1" applyFont="1" applyFill="1" applyBorder="1" applyAlignment="1" applyProtection="1">
      <alignment horizontal="center" vertical="center" shrinkToFit="1"/>
      <protection locked="0" hidden="1"/>
    </xf>
    <xf numFmtId="0" fontId="22" fillId="0" borderId="109" xfId="0" applyNumberFormat="1" applyFont="1" applyFill="1" applyBorder="1" applyAlignment="1" applyProtection="1">
      <alignment vertical="center" shrinkToFit="1"/>
      <protection locked="0" hidden="1"/>
    </xf>
    <xf numFmtId="0" fontId="5" fillId="0" borderId="73" xfId="0" applyNumberFormat="1" applyFont="1" applyFill="1" applyBorder="1" applyAlignment="1" applyProtection="1">
      <alignment horizontal="center" vertical="center" shrinkToFit="1"/>
      <protection locked="0" hidden="1"/>
    </xf>
    <xf numFmtId="0" fontId="5" fillId="0" borderId="22" xfId="0" applyNumberFormat="1" applyFont="1" applyFill="1" applyBorder="1" applyAlignment="1" applyProtection="1">
      <alignment horizontal="center" vertical="center" shrinkToFit="1"/>
      <protection locked="0" hidden="1"/>
    </xf>
    <xf numFmtId="0" fontId="22" fillId="0" borderId="74" xfId="0" applyNumberFormat="1" applyFont="1" applyFill="1" applyBorder="1" applyAlignment="1" applyProtection="1">
      <alignment vertical="center" shrinkToFit="1"/>
      <protection locked="0" hidden="1"/>
    </xf>
    <xf numFmtId="0" fontId="21" fillId="3" borderId="82" xfId="0" applyFont="1" applyFill="1" applyBorder="1" applyAlignment="1" applyProtection="1">
      <alignment horizontal="center" vertical="center" textRotation="90"/>
      <protection hidden="1"/>
    </xf>
    <xf numFmtId="0" fontId="21" fillId="3" borderId="77" xfId="0" applyFont="1" applyFill="1" applyBorder="1" applyAlignment="1" applyProtection="1">
      <alignment horizontal="center" vertical="center" textRotation="90"/>
      <protection hidden="1"/>
    </xf>
    <xf numFmtId="0" fontId="21" fillId="3" borderId="74" xfId="0" applyFont="1" applyFill="1" applyBorder="1" applyAlignment="1" applyProtection="1">
      <alignment horizontal="center" vertical="center" textRotation="90"/>
      <protection hidden="1"/>
    </xf>
    <xf numFmtId="0" fontId="8" fillId="2" borderId="72" xfId="0" applyFont="1" applyFill="1" applyBorder="1" applyAlignment="1" applyProtection="1">
      <alignment horizontal="center" vertical="center" textRotation="90"/>
      <protection hidden="1"/>
    </xf>
    <xf numFmtId="0" fontId="8" fillId="2" borderId="69" xfId="0" applyFont="1" applyFill="1" applyBorder="1" applyAlignment="1" applyProtection="1">
      <alignment horizontal="center" vertical="center" textRotation="90"/>
      <protection hidden="1"/>
    </xf>
    <xf numFmtId="0" fontId="3" fillId="2" borderId="69" xfId="0" applyFont="1" applyFill="1" applyBorder="1" applyAlignment="1" applyProtection="1">
      <alignment vertical="center"/>
      <protection hidden="1"/>
    </xf>
    <xf numFmtId="0" fontId="3" fillId="2" borderId="68" xfId="0" applyFont="1" applyFill="1" applyBorder="1" applyAlignment="1" applyProtection="1">
      <alignment vertical="center"/>
      <protection hidden="1"/>
    </xf>
    <xf numFmtId="0" fontId="8" fillId="2" borderId="89" xfId="0" applyFont="1" applyFill="1" applyBorder="1" applyAlignment="1" applyProtection="1">
      <alignment horizontal="left" vertical="center" shrinkToFit="1"/>
      <protection hidden="1"/>
    </xf>
    <xf numFmtId="0" fontId="8" fillId="2" borderId="88" xfId="0" applyFont="1" applyFill="1" applyBorder="1" applyAlignment="1" applyProtection="1">
      <alignment horizontal="left" vertical="center" shrinkToFit="1"/>
      <protection hidden="1"/>
    </xf>
    <xf numFmtId="0" fontId="10" fillId="3" borderId="56" xfId="0" applyFont="1" applyFill="1" applyBorder="1" applyAlignment="1" applyProtection="1">
      <alignment horizontal="center" vertical="center"/>
      <protection hidden="1"/>
    </xf>
    <xf numFmtId="0" fontId="10" fillId="3" borderId="64" xfId="0" applyFont="1" applyFill="1" applyBorder="1" applyAlignment="1" applyProtection="1">
      <alignment horizontal="center" vertical="center"/>
      <protection hidden="1"/>
    </xf>
    <xf numFmtId="0" fontId="8" fillId="2" borderId="89" xfId="0" applyFont="1" applyFill="1" applyBorder="1" applyAlignment="1" applyProtection="1">
      <alignment horizontal="center" vertical="center"/>
      <protection hidden="1"/>
    </xf>
    <xf numFmtId="0" fontId="8" fillId="2" borderId="88" xfId="0" applyFont="1" applyFill="1" applyBorder="1" applyAlignment="1" applyProtection="1">
      <alignment horizontal="center" vertical="center"/>
      <protection hidden="1"/>
    </xf>
    <xf numFmtId="0" fontId="8" fillId="2" borderId="115" xfId="0" applyFont="1" applyFill="1" applyBorder="1" applyAlignment="1" applyProtection="1">
      <alignment horizontal="center" vertical="center"/>
      <protection hidden="1"/>
    </xf>
    <xf numFmtId="0" fontId="8" fillId="2" borderId="61" xfId="0" applyFont="1" applyFill="1" applyBorder="1" applyAlignment="1" applyProtection="1">
      <alignment horizontal="center" vertical="center"/>
      <protection hidden="1"/>
    </xf>
    <xf numFmtId="0" fontId="8" fillId="2" borderId="22" xfId="0" applyFont="1" applyFill="1" applyBorder="1" applyAlignment="1" applyProtection="1">
      <alignment horizontal="center" vertical="center"/>
      <protection hidden="1"/>
    </xf>
    <xf numFmtId="0" fontId="27" fillId="6" borderId="110" xfId="0" applyFont="1" applyFill="1" applyBorder="1" applyAlignment="1" applyProtection="1">
      <alignment horizontal="center" vertical="center" wrapText="1" shrinkToFit="1"/>
      <protection locked="0" hidden="1"/>
    </xf>
    <xf numFmtId="0" fontId="56" fillId="6" borderId="103" xfId="0" applyFont="1" applyFill="1" applyBorder="1" applyAlignment="1" applyProtection="1">
      <alignment horizontal="center" vertical="center" wrapText="1" shrinkToFit="1"/>
      <protection locked="0" hidden="1"/>
    </xf>
    <xf numFmtId="0" fontId="56" fillId="6" borderId="128" xfId="0" applyFont="1" applyFill="1" applyBorder="1" applyAlignment="1" applyProtection="1">
      <alignment horizontal="center" vertical="center" wrapText="1" shrinkToFit="1"/>
      <protection locked="0" hidden="1"/>
    </xf>
    <xf numFmtId="0" fontId="56" fillId="6" borderId="73" xfId="0" applyFont="1" applyFill="1" applyBorder="1" applyAlignment="1" applyProtection="1">
      <alignment horizontal="center" vertical="center" wrapText="1" shrinkToFit="1"/>
      <protection locked="0" hidden="1"/>
    </xf>
    <xf numFmtId="0" fontId="56" fillId="6" borderId="22" xfId="0" applyFont="1" applyFill="1" applyBorder="1" applyAlignment="1" applyProtection="1">
      <alignment horizontal="center" vertical="center" wrapText="1" shrinkToFit="1"/>
      <protection locked="0" hidden="1"/>
    </xf>
    <xf numFmtId="0" fontId="56" fillId="6" borderId="60" xfId="0" applyFont="1" applyFill="1" applyBorder="1" applyAlignment="1" applyProtection="1">
      <alignment horizontal="center" vertical="center" wrapText="1" shrinkToFit="1"/>
      <protection locked="0" hidden="1"/>
    </xf>
    <xf numFmtId="0" fontId="4" fillId="0" borderId="110" xfId="0" applyFont="1" applyBorder="1" applyAlignment="1" applyProtection="1">
      <alignment horizontal="center" vertical="center" shrinkToFit="1"/>
      <protection locked="0" hidden="1"/>
    </xf>
    <xf numFmtId="0" fontId="4" fillId="0" borderId="103" xfId="0" applyFont="1" applyBorder="1" applyAlignment="1" applyProtection="1">
      <alignment horizontal="center" vertical="center" shrinkToFit="1"/>
      <protection locked="0" hidden="1"/>
    </xf>
    <xf numFmtId="0" fontId="4" fillId="0" borderId="128" xfId="0" applyFont="1" applyBorder="1" applyAlignment="1" applyProtection="1">
      <alignment horizontal="center" vertical="center" shrinkToFit="1"/>
      <protection locked="0" hidden="1"/>
    </xf>
    <xf numFmtId="0" fontId="4" fillId="0" borderId="73" xfId="0" applyFont="1" applyBorder="1" applyAlignment="1" applyProtection="1">
      <alignment horizontal="center" vertical="center" shrinkToFit="1"/>
      <protection locked="0" hidden="1"/>
    </xf>
    <xf numFmtId="0" fontId="4" fillId="0" borderId="22" xfId="0" applyFont="1" applyBorder="1" applyAlignment="1" applyProtection="1">
      <alignment horizontal="center" vertical="center" shrinkToFit="1"/>
      <protection locked="0" hidden="1"/>
    </xf>
    <xf numFmtId="0" fontId="4" fillId="0" borderId="60" xfId="0" applyFont="1" applyBorder="1" applyAlignment="1" applyProtection="1">
      <alignment horizontal="center" vertical="center" shrinkToFit="1"/>
      <protection locked="0" hidden="1"/>
    </xf>
    <xf numFmtId="0" fontId="16" fillId="0" borderId="81" xfId="0" applyFont="1" applyBorder="1" applyAlignment="1" applyProtection="1">
      <alignment horizontal="left" vertical="center" wrapText="1" shrinkToFit="1"/>
      <protection locked="0" hidden="1"/>
    </xf>
    <xf numFmtId="0" fontId="16" fillId="0" borderId="80" xfId="0" applyFont="1" applyBorder="1" applyAlignment="1" applyProtection="1">
      <alignment horizontal="left" vertical="center" wrapText="1" shrinkToFit="1"/>
      <protection locked="0" hidden="1"/>
    </xf>
    <xf numFmtId="0" fontId="16" fillId="0" borderId="79" xfId="0" applyFont="1" applyBorder="1" applyAlignment="1" applyProtection="1">
      <alignment horizontal="left" vertical="center" wrapText="1" shrinkToFit="1"/>
      <protection locked="0" hidden="1"/>
    </xf>
    <xf numFmtId="0" fontId="16" fillId="0" borderId="76" xfId="0" applyFont="1" applyBorder="1" applyAlignment="1" applyProtection="1">
      <alignment horizontal="left" vertical="center" wrapText="1" shrinkToFit="1"/>
      <protection locked="0" hidden="1"/>
    </xf>
    <xf numFmtId="0" fontId="16" fillId="0" borderId="0" xfId="0" applyFont="1" applyBorder="1" applyAlignment="1" applyProtection="1">
      <alignment horizontal="left" vertical="center" wrapText="1" shrinkToFit="1"/>
      <protection locked="0" hidden="1"/>
    </xf>
    <xf numFmtId="0" fontId="16" fillId="0" borderId="8" xfId="0" applyFont="1" applyBorder="1" applyAlignment="1" applyProtection="1">
      <alignment horizontal="left" vertical="center" wrapText="1" shrinkToFit="1"/>
      <protection locked="0" hidden="1"/>
    </xf>
    <xf numFmtId="0" fontId="16" fillId="0" borderId="73" xfId="0" applyFont="1" applyBorder="1" applyAlignment="1" applyProtection="1">
      <alignment horizontal="left" vertical="center" wrapText="1" shrinkToFit="1"/>
      <protection locked="0" hidden="1"/>
    </xf>
    <xf numFmtId="0" fontId="16" fillId="0" borderId="22" xfId="0" applyFont="1" applyBorder="1" applyAlignment="1" applyProtection="1">
      <alignment horizontal="left" vertical="center" wrapText="1" shrinkToFit="1"/>
      <protection locked="0" hidden="1"/>
    </xf>
    <xf numFmtId="0" fontId="16" fillId="0" borderId="60" xfId="0" applyFont="1" applyBorder="1" applyAlignment="1" applyProtection="1">
      <alignment horizontal="left" vertical="center" wrapText="1" shrinkToFit="1"/>
      <protection locked="0" hidden="1"/>
    </xf>
    <xf numFmtId="0" fontId="54" fillId="0" borderId="28" xfId="0" applyFont="1" applyBorder="1" applyAlignment="1" applyProtection="1">
      <alignment horizontal="left" vertical="center" shrinkToFit="1"/>
      <protection hidden="1"/>
    </xf>
    <xf numFmtId="0" fontId="54" fillId="0" borderId="70" xfId="0" applyFont="1" applyBorder="1" applyAlignment="1" applyProtection="1">
      <alignment horizontal="left" vertical="center" shrinkToFit="1"/>
      <protection hidden="1"/>
    </xf>
    <xf numFmtId="0" fontId="10" fillId="3" borderId="126" xfId="0" applyFont="1" applyFill="1" applyBorder="1" applyAlignment="1" applyProtection="1">
      <alignment horizontal="left" vertical="center"/>
      <protection hidden="1"/>
    </xf>
    <xf numFmtId="0" fontId="10" fillId="3" borderId="138" xfId="0" applyFont="1" applyFill="1" applyBorder="1" applyAlignment="1" applyProtection="1">
      <alignment horizontal="left" vertical="center"/>
      <protection hidden="1"/>
    </xf>
    <xf numFmtId="0" fontId="54" fillId="0" borderId="28" xfId="0" applyFont="1" applyBorder="1" applyAlignment="1" applyProtection="1">
      <alignment horizontal="center" vertical="center"/>
      <protection hidden="1"/>
    </xf>
    <xf numFmtId="0" fontId="60" fillId="0" borderId="28" xfId="0" applyFont="1" applyBorder="1" applyAlignment="1" applyProtection="1">
      <alignment horizontal="center" vertical="center"/>
      <protection hidden="1"/>
    </xf>
    <xf numFmtId="0" fontId="61" fillId="0" borderId="97" xfId="0" applyFont="1" applyBorder="1" applyAlignment="1" applyProtection="1">
      <alignment horizontal="center" vertical="center"/>
      <protection hidden="1"/>
    </xf>
    <xf numFmtId="0" fontId="4" fillId="0" borderId="91" xfId="0" applyFont="1" applyBorder="1" applyAlignment="1" applyProtection="1">
      <alignment vertical="center" wrapText="1"/>
      <protection locked="0" hidden="1"/>
    </xf>
    <xf numFmtId="0" fontId="4" fillId="0" borderId="53" xfId="0" applyFont="1" applyBorder="1" applyAlignment="1" applyProtection="1">
      <alignment vertical="center" wrapText="1"/>
      <protection locked="0" hidden="1"/>
    </xf>
    <xf numFmtId="0" fontId="4" fillId="0" borderId="90" xfId="0" applyFont="1" applyBorder="1" applyAlignment="1" applyProtection="1">
      <alignment vertical="center" wrapText="1"/>
      <protection locked="0" hidden="1"/>
    </xf>
    <xf numFmtId="0" fontId="59" fillId="0" borderId="71" xfId="0" applyNumberFormat="1" applyFont="1" applyBorder="1" applyAlignment="1" applyProtection="1">
      <alignment horizontal="center" vertical="center" wrapText="1" shrinkToFit="1"/>
      <protection hidden="1"/>
    </xf>
    <xf numFmtId="0" fontId="59" fillId="0" borderId="28" xfId="0" applyNumberFormat="1" applyFont="1" applyBorder="1" applyAlignment="1" applyProtection="1">
      <alignment horizontal="center" vertical="center" wrapText="1" shrinkToFit="1"/>
      <protection hidden="1"/>
    </xf>
    <xf numFmtId="0" fontId="59" fillId="0" borderId="70" xfId="0" applyNumberFormat="1" applyFont="1" applyBorder="1" applyAlignment="1" applyProtection="1">
      <alignment horizontal="center" vertical="center" wrapText="1" shrinkToFit="1"/>
      <protection hidden="1"/>
    </xf>
    <xf numFmtId="0" fontId="60" fillId="0" borderId="29" xfId="0" applyFont="1" applyBorder="1" applyAlignment="1" applyProtection="1">
      <alignment horizontal="center" vertical="center"/>
      <protection hidden="1"/>
    </xf>
    <xf numFmtId="0" fontId="61" fillId="0" borderId="28" xfId="0" applyFont="1" applyBorder="1" applyAlignment="1" applyProtection="1">
      <alignment horizontal="center" vertical="center"/>
      <protection hidden="1"/>
    </xf>
    <xf numFmtId="0" fontId="13" fillId="2" borderId="67" xfId="0" applyFont="1" applyFill="1" applyBorder="1" applyAlignment="1" applyProtection="1">
      <alignment horizontal="center" vertical="center"/>
      <protection hidden="1"/>
    </xf>
    <xf numFmtId="0" fontId="13" fillId="2" borderId="56" xfId="0" applyFont="1" applyFill="1" applyBorder="1" applyAlignment="1" applyProtection="1">
      <alignment horizontal="center" vertical="center"/>
      <protection hidden="1"/>
    </xf>
    <xf numFmtId="0" fontId="13" fillId="2" borderId="48" xfId="0" applyFont="1" applyFill="1" applyBorder="1" applyAlignment="1" applyProtection="1">
      <alignment horizontal="center" vertical="center"/>
      <protection hidden="1"/>
    </xf>
    <xf numFmtId="0" fontId="4" fillId="6" borderId="40" xfId="0" applyFont="1" applyFill="1" applyBorder="1" applyAlignment="1" applyProtection="1">
      <alignment horizontal="center" vertical="center"/>
      <protection locked="0" hidden="1"/>
    </xf>
    <xf numFmtId="0" fontId="4" fillId="6" borderId="39" xfId="0" applyFont="1" applyFill="1" applyBorder="1" applyAlignment="1" applyProtection="1">
      <alignment horizontal="center" vertical="center"/>
      <protection locked="0" hidden="1"/>
    </xf>
    <xf numFmtId="0" fontId="7" fillId="0" borderId="36" xfId="0" applyFont="1" applyBorder="1" applyAlignment="1" applyProtection="1">
      <alignment horizontal="center" vertical="center" shrinkToFit="1"/>
      <protection locked="0" hidden="1"/>
    </xf>
    <xf numFmtId="0" fontId="7" fillId="0" borderId="5" xfId="0" applyFont="1" applyBorder="1" applyAlignment="1" applyProtection="1">
      <alignment horizontal="center" vertical="center" shrinkToFit="1"/>
      <protection locked="0" hidden="1"/>
    </xf>
    <xf numFmtId="0" fontId="7" fillId="0" borderId="35" xfId="0" applyFont="1" applyBorder="1" applyAlignment="1" applyProtection="1">
      <alignment horizontal="center" vertical="center" shrinkToFit="1"/>
      <protection locked="0" hidden="1"/>
    </xf>
    <xf numFmtId="0" fontId="10" fillId="3" borderId="14" xfId="0" applyFont="1" applyFill="1" applyBorder="1" applyAlignment="1" applyProtection="1">
      <alignment horizontal="center" vertical="center" shrinkToFit="1"/>
      <protection hidden="1"/>
    </xf>
    <xf numFmtId="0" fontId="10" fillId="3" borderId="50" xfId="0" applyFont="1" applyFill="1" applyBorder="1" applyAlignment="1" applyProtection="1">
      <alignment horizontal="center" vertical="center" shrinkToFit="1"/>
      <protection hidden="1"/>
    </xf>
    <xf numFmtId="0" fontId="10" fillId="3" borderId="49" xfId="0" applyFont="1" applyFill="1" applyBorder="1" applyAlignment="1" applyProtection="1">
      <alignment horizontal="center" vertical="center" shrinkToFit="1"/>
      <protection hidden="1"/>
    </xf>
    <xf numFmtId="0" fontId="10" fillId="3" borderId="47" xfId="0" applyFont="1" applyFill="1" applyBorder="1" applyAlignment="1" applyProtection="1">
      <alignment horizontal="center" vertical="center" shrinkToFit="1"/>
      <protection hidden="1"/>
    </xf>
    <xf numFmtId="0" fontId="7" fillId="0" borderId="29" xfId="0" applyFont="1" applyBorder="1" applyAlignment="1" applyProtection="1">
      <alignment horizontal="center" vertical="center" shrinkToFit="1"/>
      <protection locked="0" hidden="1"/>
    </xf>
    <xf numFmtId="0" fontId="7" fillId="0" borderId="28" xfId="0" applyFont="1" applyBorder="1" applyAlignment="1" applyProtection="1">
      <alignment horizontal="center" vertical="center" shrinkToFit="1"/>
      <protection locked="0" hidden="1"/>
    </xf>
    <xf numFmtId="0" fontId="12" fillId="2" borderId="58" xfId="0" applyFont="1" applyFill="1" applyBorder="1" applyAlignment="1" applyProtection="1">
      <alignment horizontal="center" vertical="center" textRotation="90" shrinkToFit="1"/>
      <protection hidden="1"/>
    </xf>
    <xf numFmtId="0" fontId="9" fillId="2" borderId="37" xfId="0" applyFont="1" applyFill="1" applyBorder="1" applyAlignment="1" applyProtection="1">
      <alignment horizontal="center" vertical="center" textRotation="90" shrinkToFit="1"/>
      <protection hidden="1"/>
    </xf>
    <xf numFmtId="0" fontId="9" fillId="2" borderId="26" xfId="0" applyFont="1" applyFill="1" applyBorder="1" applyAlignment="1" applyProtection="1">
      <alignment horizontal="center" vertical="center" textRotation="90" shrinkToFit="1"/>
      <protection hidden="1"/>
    </xf>
    <xf numFmtId="0" fontId="10" fillId="3" borderId="55" xfId="0" applyFont="1" applyFill="1" applyBorder="1" applyAlignment="1" applyProtection="1">
      <alignment horizontal="center" vertical="center" shrinkToFit="1"/>
      <protection hidden="1"/>
    </xf>
    <xf numFmtId="0" fontId="10" fillId="3" borderId="51" xfId="0" applyFont="1" applyFill="1" applyBorder="1" applyAlignment="1" applyProtection="1">
      <alignment horizontal="center" vertical="center" shrinkToFit="1"/>
      <protection hidden="1"/>
    </xf>
    <xf numFmtId="0" fontId="11" fillId="3" borderId="54" xfId="0" applyFont="1" applyFill="1" applyBorder="1" applyAlignment="1" applyProtection="1">
      <alignment horizontal="center" vertical="center" shrinkToFit="1"/>
      <protection hidden="1"/>
    </xf>
    <xf numFmtId="0" fontId="11" fillId="3" borderId="53" xfId="0" applyFont="1" applyFill="1" applyBorder="1" applyAlignment="1" applyProtection="1">
      <alignment horizontal="center" vertical="center" shrinkToFit="1"/>
      <protection hidden="1"/>
    </xf>
    <xf numFmtId="0" fontId="11" fillId="3" borderId="52" xfId="0" applyFont="1" applyFill="1" applyBorder="1" applyAlignment="1" applyProtection="1">
      <alignment horizontal="center" vertical="center" shrinkToFit="1"/>
      <protection hidden="1"/>
    </xf>
    <xf numFmtId="0" fontId="7" fillId="0" borderId="34" xfId="0" applyFont="1" applyBorder="1" applyAlignment="1" applyProtection="1">
      <alignment horizontal="center" vertical="center" shrinkToFit="1"/>
      <protection locked="0" hidden="1"/>
    </xf>
    <xf numFmtId="0" fontId="7" fillId="0" borderId="11" xfId="0" applyFont="1" applyBorder="1" applyAlignment="1" applyProtection="1">
      <alignment horizontal="center" vertical="center" shrinkToFit="1"/>
      <protection locked="0" hidden="1"/>
    </xf>
    <xf numFmtId="0" fontId="7" fillId="0" borderId="33" xfId="0" applyFont="1" applyBorder="1" applyAlignment="1" applyProtection="1">
      <alignment horizontal="center" vertical="center" shrinkToFit="1"/>
      <protection locked="0" hidden="1"/>
    </xf>
    <xf numFmtId="0" fontId="7" fillId="0" borderId="42" xfId="0" applyFont="1" applyBorder="1" applyAlignment="1" applyProtection="1">
      <alignment horizontal="center" vertical="center" shrinkToFit="1"/>
      <protection locked="0" hidden="1"/>
    </xf>
    <xf numFmtId="0" fontId="7" fillId="0" borderId="7" xfId="0" applyFont="1" applyBorder="1" applyAlignment="1" applyProtection="1">
      <alignment horizontal="center" vertical="center" shrinkToFit="1"/>
      <protection locked="0" hidden="1"/>
    </xf>
    <xf numFmtId="0" fontId="7" fillId="0" borderId="41" xfId="0" applyFont="1" applyBorder="1" applyAlignment="1" applyProtection="1">
      <alignment horizontal="center" vertical="center" shrinkToFit="1"/>
      <protection locked="0" hidden="1"/>
    </xf>
    <xf numFmtId="0" fontId="7" fillId="0" borderId="23" xfId="0" applyFont="1" applyBorder="1" applyAlignment="1" applyProtection="1">
      <alignment horizontal="center" vertical="center" shrinkToFit="1"/>
      <protection locked="0" hidden="1"/>
    </xf>
    <xf numFmtId="0" fontId="7" fillId="0" borderId="22" xfId="0" applyFont="1" applyBorder="1" applyAlignment="1" applyProtection="1">
      <alignment horizontal="center" vertical="center" shrinkToFit="1"/>
      <protection locked="0" hidden="1"/>
    </xf>
    <xf numFmtId="0" fontId="7" fillId="0" borderId="21" xfId="0" applyFont="1" applyBorder="1" applyAlignment="1" applyProtection="1">
      <alignment horizontal="center" vertical="center" shrinkToFit="1"/>
      <protection locked="0" hidden="1"/>
    </xf>
    <xf numFmtId="0" fontId="7" fillId="0" borderId="25" xfId="0" applyFont="1" applyBorder="1" applyAlignment="1" applyProtection="1">
      <alignment horizontal="center" vertical="center" shrinkToFit="1"/>
      <protection locked="0" hidden="1"/>
    </xf>
    <xf numFmtId="0" fontId="7" fillId="0" borderId="2" xfId="0" applyFont="1" applyBorder="1" applyAlignment="1" applyProtection="1">
      <alignment horizontal="center" vertical="center" shrinkToFit="1"/>
      <protection locked="0" hidden="1"/>
    </xf>
    <xf numFmtId="0" fontId="7" fillId="0" borderId="24" xfId="0" applyFont="1" applyBorder="1" applyAlignment="1" applyProtection="1">
      <alignment horizontal="center" vertical="center" shrinkToFit="1"/>
      <protection locked="0" hidden="1"/>
    </xf>
    <xf numFmtId="0" fontId="7" fillId="0" borderId="32" xfId="0" applyFont="1" applyBorder="1" applyAlignment="1" applyProtection="1">
      <alignment horizontal="center" vertical="center" shrinkToFit="1"/>
      <protection locked="0" hidden="1"/>
    </xf>
    <xf numFmtId="0" fontId="7" fillId="0" borderId="31" xfId="0" applyFont="1" applyBorder="1" applyAlignment="1" applyProtection="1">
      <alignment horizontal="center" vertical="center" shrinkToFit="1"/>
      <protection locked="0" hidden="1"/>
    </xf>
    <xf numFmtId="0" fontId="7" fillId="0" borderId="20" xfId="0" applyFont="1" applyBorder="1" applyAlignment="1" applyProtection="1">
      <alignment horizontal="center" vertical="center" shrinkToFit="1"/>
      <protection locked="0" hidden="1"/>
    </xf>
    <xf numFmtId="0" fontId="7" fillId="0" borderId="17" xfId="0" applyFont="1" applyBorder="1" applyAlignment="1" applyProtection="1">
      <alignment horizontal="center" vertical="center" shrinkToFit="1"/>
      <protection locked="0" hidden="1"/>
    </xf>
    <xf numFmtId="0" fontId="7" fillId="0" borderId="30" xfId="0" applyFont="1" applyBorder="1" applyAlignment="1" applyProtection="1">
      <alignment horizontal="center" vertical="center" shrinkToFit="1"/>
      <protection locked="0" hidden="1"/>
    </xf>
    <xf numFmtId="0" fontId="7" fillId="0" borderId="19" xfId="0" applyFont="1" applyBorder="1" applyAlignment="1" applyProtection="1">
      <alignment horizontal="center" vertical="center" shrinkToFit="1"/>
      <protection locked="0" hidden="1"/>
    </xf>
    <xf numFmtId="0" fontId="7" fillId="0" borderId="45" xfId="0" applyFont="1" applyBorder="1" applyAlignment="1" applyProtection="1">
      <alignment horizontal="center" vertical="center" shrinkToFit="1"/>
      <protection locked="0" hidden="1"/>
    </xf>
    <xf numFmtId="0" fontId="7" fillId="0" borderId="44" xfId="0" applyFont="1" applyBorder="1" applyAlignment="1" applyProtection="1">
      <alignment horizontal="center" vertical="center" shrinkToFit="1"/>
      <protection locked="0" hidden="1"/>
    </xf>
    <xf numFmtId="0" fontId="7" fillId="0" borderId="43" xfId="0" applyFont="1" applyBorder="1" applyAlignment="1" applyProtection="1">
      <alignment horizontal="center" vertical="center" shrinkToFit="1"/>
      <protection locked="0" hidden="1"/>
    </xf>
    <xf numFmtId="0" fontId="7" fillId="0" borderId="40" xfId="0" applyFont="1" applyBorder="1" applyAlignment="1" applyProtection="1">
      <alignment horizontal="center" vertical="center" shrinkToFit="1"/>
      <protection locked="0" hidden="1"/>
    </xf>
    <xf numFmtId="0" fontId="7" fillId="0" borderId="39" xfId="0" applyFont="1" applyBorder="1" applyAlignment="1" applyProtection="1">
      <alignment horizontal="center" vertical="center" shrinkToFit="1"/>
      <protection locked="0" hidden="1"/>
    </xf>
    <xf numFmtId="0" fontId="7" fillId="0" borderId="38" xfId="0" applyFont="1" applyBorder="1" applyAlignment="1" applyProtection="1">
      <alignment horizontal="center" vertical="center" shrinkToFit="1"/>
      <protection locked="0" hidden="1"/>
    </xf>
    <xf numFmtId="0" fontId="10" fillId="3" borderId="48" xfId="0" applyFont="1" applyFill="1" applyBorder="1" applyAlignment="1" applyProtection="1">
      <alignment horizontal="center" vertical="center" shrinkToFit="1"/>
      <protection hidden="1"/>
    </xf>
    <xf numFmtId="0" fontId="10" fillId="3" borderId="46" xfId="0" applyFont="1" applyFill="1" applyBorder="1" applyAlignment="1" applyProtection="1">
      <alignment horizontal="center" vertical="center" shrinkToFit="1"/>
      <protection hidden="1"/>
    </xf>
    <xf numFmtId="0" fontId="7" fillId="0" borderId="27" xfId="0" applyFont="1" applyBorder="1" applyAlignment="1" applyProtection="1">
      <alignment horizontal="center" vertical="center" shrinkToFit="1"/>
      <protection locked="0" hidden="1"/>
    </xf>
    <xf numFmtId="164" fontId="5" fillId="0" borderId="0" xfId="0" applyNumberFormat="1" applyFont="1" applyAlignment="1" applyProtection="1">
      <alignment horizontal="center" vertical="center"/>
      <protection hidden="1"/>
    </xf>
    <xf numFmtId="0" fontId="10" fillId="3" borderId="80" xfId="0" applyFont="1" applyFill="1" applyBorder="1" applyAlignment="1" applyProtection="1">
      <alignment horizontal="center" vertical="center"/>
      <protection hidden="1"/>
    </xf>
    <xf numFmtId="0" fontId="10" fillId="3" borderId="82" xfId="0" applyFont="1" applyFill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vertical="center" wrapText="1"/>
      <protection locked="0" hidden="1"/>
    </xf>
    <xf numFmtId="0" fontId="7" fillId="0" borderId="5" xfId="0" applyFont="1" applyBorder="1" applyAlignment="1" applyProtection="1">
      <alignment vertical="center" wrapText="1"/>
      <protection locked="0" hidden="1"/>
    </xf>
    <xf numFmtId="0" fontId="7" fillId="0" borderId="35" xfId="0" applyFont="1" applyBorder="1" applyAlignment="1" applyProtection="1">
      <alignment vertical="center" wrapText="1"/>
      <protection locked="0" hidden="1"/>
    </xf>
    <xf numFmtId="0" fontId="7" fillId="0" borderId="85" xfId="0" applyFont="1" applyBorder="1" applyAlignment="1" applyProtection="1">
      <alignment vertical="center" wrapText="1"/>
      <protection locked="0" hidden="1"/>
    </xf>
    <xf numFmtId="0" fontId="7" fillId="0" borderId="84" xfId="0" applyFont="1" applyBorder="1" applyAlignment="1" applyProtection="1">
      <alignment vertical="center" wrapText="1"/>
      <protection locked="0" hidden="1"/>
    </xf>
    <xf numFmtId="0" fontId="7" fillId="0" borderId="86" xfId="0" applyFont="1" applyBorder="1" applyAlignment="1" applyProtection="1">
      <alignment vertical="center" wrapText="1"/>
      <protection locked="0" hidden="1"/>
    </xf>
    <xf numFmtId="0" fontId="72" fillId="2" borderId="76" xfId="0" applyFont="1" applyFill="1" applyBorder="1" applyAlignment="1" applyProtection="1">
      <alignment horizontal="center" vertical="center" wrapText="1"/>
      <protection hidden="1"/>
    </xf>
    <xf numFmtId="0" fontId="8" fillId="2" borderId="71" xfId="0" applyFont="1" applyFill="1" applyBorder="1" applyAlignment="1" applyProtection="1">
      <alignment horizontal="center" vertical="center"/>
      <protection hidden="1"/>
    </xf>
    <xf numFmtId="0" fontId="8" fillId="2" borderId="28" xfId="0" applyFont="1" applyFill="1" applyBorder="1" applyAlignment="1" applyProtection="1">
      <alignment horizontal="center" vertical="center"/>
      <protection hidden="1"/>
    </xf>
    <xf numFmtId="0" fontId="8" fillId="2" borderId="70" xfId="0" applyFont="1" applyFill="1" applyBorder="1" applyAlignment="1" applyProtection="1">
      <alignment horizontal="center" vertical="center"/>
      <protection hidden="1"/>
    </xf>
    <xf numFmtId="0" fontId="4" fillId="6" borderId="59" xfId="0" applyFont="1" applyFill="1" applyBorder="1" applyAlignment="1" applyProtection="1">
      <alignment horizontal="left" vertical="center" shrinkToFit="1"/>
      <protection locked="0" hidden="1"/>
    </xf>
    <xf numFmtId="0" fontId="4" fillId="6" borderId="17" xfId="0" applyFont="1" applyFill="1" applyBorder="1" applyAlignment="1" applyProtection="1">
      <alignment horizontal="left" vertical="center" shrinkToFit="1"/>
      <protection locked="0" hidden="1"/>
    </xf>
    <xf numFmtId="0" fontId="4" fillId="6" borderId="17" xfId="0" applyFont="1" applyFill="1" applyBorder="1" applyAlignment="1" applyProtection="1">
      <alignment horizontal="center" vertical="center"/>
      <protection locked="0" hidden="1"/>
    </xf>
    <xf numFmtId="0" fontId="4" fillId="6" borderId="16" xfId="0" applyFont="1" applyFill="1" applyBorder="1" applyAlignment="1" applyProtection="1">
      <alignment horizontal="center" vertical="center"/>
      <protection locked="0" hidden="1"/>
    </xf>
    <xf numFmtId="0" fontId="4" fillId="0" borderId="59" xfId="0" applyFont="1" applyBorder="1" applyAlignment="1" applyProtection="1">
      <alignment horizontal="left" vertical="center" shrinkToFit="1"/>
      <protection locked="0" hidden="1"/>
    </xf>
    <xf numFmtId="0" fontId="4" fillId="0" borderId="17" xfId="0" applyFont="1" applyBorder="1" applyAlignment="1" applyProtection="1">
      <alignment horizontal="left" vertical="center" shrinkToFit="1"/>
      <protection locked="0" hidden="1"/>
    </xf>
    <xf numFmtId="0" fontId="4" fillId="0" borderId="17" xfId="0" applyFont="1" applyBorder="1" applyAlignment="1" applyProtection="1">
      <alignment horizontal="center" vertical="center"/>
      <protection locked="0" hidden="1"/>
    </xf>
    <xf numFmtId="0" fontId="4" fillId="0" borderId="16" xfId="0" applyFont="1" applyBorder="1" applyAlignment="1" applyProtection="1">
      <alignment horizontal="center" vertical="center"/>
      <protection locked="0" hidden="1"/>
    </xf>
    <xf numFmtId="0" fontId="7" fillId="0" borderId="114" xfId="0" applyFont="1" applyBorder="1" applyAlignment="1" applyProtection="1">
      <alignment horizontal="left" vertical="center" wrapText="1"/>
      <protection locked="0" hidden="1"/>
    </xf>
    <xf numFmtId="0" fontId="4" fillId="0" borderId="76" xfId="0" applyFont="1" applyBorder="1" applyAlignment="1" applyProtection="1">
      <alignment horizontal="left" vertical="center" wrapText="1"/>
      <protection locked="0" hidden="1"/>
    </xf>
    <xf numFmtId="0" fontId="4" fillId="0" borderId="0" xfId="0" applyFont="1" applyBorder="1" applyAlignment="1" applyProtection="1">
      <alignment horizontal="left" vertical="center" wrapText="1"/>
      <protection locked="0" hidden="1"/>
    </xf>
    <xf numFmtId="0" fontId="4" fillId="0" borderId="77" xfId="0" applyFont="1" applyBorder="1" applyAlignment="1" applyProtection="1">
      <alignment horizontal="left" vertical="center" wrapText="1"/>
      <protection locked="0" hidden="1"/>
    </xf>
    <xf numFmtId="0" fontId="7" fillId="0" borderId="114" xfId="0" applyFont="1" applyBorder="1" applyAlignment="1" applyProtection="1">
      <alignment vertical="center" wrapText="1"/>
      <protection locked="0" hidden="1"/>
    </xf>
    <xf numFmtId="0" fontId="7" fillId="0" borderId="11" xfId="0" applyFont="1" applyBorder="1" applyAlignment="1" applyProtection="1">
      <alignment vertical="center" wrapText="1"/>
      <protection locked="0" hidden="1"/>
    </xf>
    <xf numFmtId="0" fontId="7" fillId="0" borderId="132" xfId="0" applyFont="1" applyBorder="1" applyAlignment="1" applyProtection="1">
      <alignment vertical="center" wrapText="1"/>
      <protection locked="0" hidden="1"/>
    </xf>
    <xf numFmtId="0" fontId="7" fillId="0" borderId="76" xfId="0" applyFont="1" applyBorder="1" applyAlignment="1" applyProtection="1">
      <alignment vertical="center" wrapText="1"/>
      <protection locked="0" hidden="1"/>
    </xf>
    <xf numFmtId="0" fontId="7" fillId="0" borderId="0" xfId="0" applyFont="1" applyBorder="1" applyAlignment="1" applyProtection="1">
      <alignment vertical="center" wrapText="1"/>
      <protection locked="0" hidden="1"/>
    </xf>
    <xf numFmtId="0" fontId="7" fillId="0" borderId="77" xfId="0" applyFont="1" applyBorder="1" applyAlignment="1" applyProtection="1">
      <alignment vertical="center" wrapText="1"/>
      <protection locked="0" hidden="1"/>
    </xf>
    <xf numFmtId="0" fontId="7" fillId="0" borderId="158" xfId="0" applyFont="1" applyBorder="1" applyAlignment="1" applyProtection="1">
      <alignment vertical="center" wrapText="1"/>
      <protection locked="0" hidden="1"/>
    </xf>
    <xf numFmtId="0" fontId="7" fillId="0" borderId="7" xfId="0" applyFont="1" applyBorder="1" applyAlignment="1" applyProtection="1">
      <alignment vertical="center" wrapText="1"/>
      <protection locked="0" hidden="1"/>
    </xf>
    <xf numFmtId="0" fontId="7" fillId="0" borderId="159" xfId="0" applyFont="1" applyBorder="1" applyAlignment="1" applyProtection="1">
      <alignment vertical="center" wrapText="1"/>
      <protection locked="0" hidden="1"/>
    </xf>
    <xf numFmtId="0" fontId="52" fillId="0" borderId="9" xfId="0" applyFont="1" applyBorder="1" applyAlignment="1" applyProtection="1">
      <alignment horizontal="right" vertical="center"/>
      <protection hidden="1"/>
    </xf>
    <xf numFmtId="0" fontId="52" fillId="0" borderId="0" xfId="0" applyFont="1" applyBorder="1" applyAlignment="1" applyProtection="1">
      <alignment horizontal="right" vertical="center"/>
      <protection hidden="1"/>
    </xf>
    <xf numFmtId="0" fontId="52" fillId="0" borderId="133" xfId="0" applyFont="1" applyBorder="1" applyAlignment="1" applyProtection="1">
      <alignment horizontal="right" vertical="center"/>
      <protection hidden="1"/>
    </xf>
    <xf numFmtId="0" fontId="52" fillId="0" borderId="117" xfId="0" applyFont="1" applyBorder="1" applyAlignment="1" applyProtection="1">
      <alignment horizontal="right" vertical="center"/>
      <protection hidden="1"/>
    </xf>
    <xf numFmtId="0" fontId="52" fillId="0" borderId="0" xfId="0" applyFont="1" applyBorder="1" applyAlignment="1" applyProtection="1">
      <alignment horizontal="center" vertical="center"/>
      <protection hidden="1"/>
    </xf>
    <xf numFmtId="0" fontId="52" fillId="0" borderId="8" xfId="0" applyFont="1" applyBorder="1" applyAlignment="1" applyProtection="1">
      <alignment horizontal="center" vertical="center"/>
      <protection hidden="1"/>
    </xf>
    <xf numFmtId="0" fontId="52" fillId="0" borderId="117" xfId="0" applyFont="1" applyBorder="1" applyAlignment="1" applyProtection="1">
      <alignment horizontal="center" vertical="center"/>
      <protection hidden="1"/>
    </xf>
    <xf numFmtId="0" fontId="52" fillId="0" borderId="100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 shrinkToFit="1"/>
      <protection locked="0" hidden="1"/>
    </xf>
    <xf numFmtId="0" fontId="7" fillId="0" borderId="16" xfId="0" applyFont="1" applyBorder="1" applyAlignment="1" applyProtection="1">
      <alignment horizontal="center" vertical="center" shrinkToFit="1"/>
      <protection locked="0" hidden="1"/>
    </xf>
    <xf numFmtId="0" fontId="0" fillId="0" borderId="135" xfId="0" applyFill="1" applyBorder="1" applyAlignment="1">
      <alignment horizontal="center" vertical="center"/>
    </xf>
    <xf numFmtId="0" fontId="0" fillId="0" borderId="137" xfId="0" applyFill="1" applyBorder="1" applyAlignment="1">
      <alignment horizontal="center" vertical="center"/>
    </xf>
    <xf numFmtId="0" fontId="0" fillId="0" borderId="89" xfId="0" applyFill="1" applyBorder="1" applyAlignment="1">
      <alignment horizontal="center"/>
    </xf>
    <xf numFmtId="0" fontId="0" fillId="0" borderId="88" xfId="0" applyFill="1" applyBorder="1" applyAlignment="1">
      <alignment horizontal="center"/>
    </xf>
    <xf numFmtId="0" fontId="0" fillId="0" borderId="115" xfId="0" applyFill="1" applyBorder="1" applyAlignment="1">
      <alignment horizontal="center"/>
    </xf>
    <xf numFmtId="0" fontId="0" fillId="0" borderId="135" xfId="0" applyBorder="1" applyAlignment="1">
      <alignment horizontal="center" vertical="center" textRotation="90"/>
    </xf>
    <xf numFmtId="0" fontId="0" fillId="0" borderId="136" xfId="0" applyBorder="1" applyAlignment="1">
      <alignment horizontal="center" vertical="center" textRotation="90"/>
    </xf>
    <xf numFmtId="0" fontId="0" fillId="0" borderId="137" xfId="0" applyBorder="1" applyAlignment="1">
      <alignment horizontal="center" vertical="center" textRotation="90"/>
    </xf>
    <xf numFmtId="0" fontId="22" fillId="0" borderId="89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115" xfId="0" applyFont="1" applyBorder="1" applyAlignment="1">
      <alignment horizontal="center" vertical="center"/>
    </xf>
    <xf numFmtId="0" fontId="53" fillId="4" borderId="33" xfId="0" applyFont="1" applyFill="1" applyBorder="1" applyAlignment="1" applyProtection="1">
      <alignment horizontal="left" vertical="center" wrapText="1"/>
      <protection hidden="1"/>
    </xf>
    <xf numFmtId="0" fontId="53" fillId="4" borderId="157" xfId="0" applyFont="1" applyFill="1" applyBorder="1" applyAlignment="1" applyProtection="1">
      <alignment horizontal="left" vertical="center" wrapText="1"/>
      <protection hidden="1"/>
    </xf>
    <xf numFmtId="0" fontId="53" fillId="4" borderId="161" xfId="0" applyFont="1" applyFill="1" applyBorder="1" applyAlignment="1" applyProtection="1">
      <alignment horizontal="left" vertical="center" wrapText="1"/>
      <protection hidden="1"/>
    </xf>
    <xf numFmtId="0" fontId="53" fillId="0" borderId="95" xfId="0" applyFont="1" applyBorder="1" applyAlignment="1" applyProtection="1">
      <alignment horizontal="left" vertical="center" wrapText="1"/>
      <protection hidden="1"/>
    </xf>
    <xf numFmtId="0" fontId="53" fillId="0" borderId="31" xfId="0" applyFont="1" applyBorder="1" applyAlignment="1" applyProtection="1">
      <alignment horizontal="left" vertical="center" wrapText="1"/>
      <protection hidden="1"/>
    </xf>
    <xf numFmtId="0" fontId="53" fillId="0" borderId="30" xfId="0" applyFont="1" applyBorder="1" applyAlignment="1" applyProtection="1">
      <alignment horizontal="left" vertical="center" wrapText="1"/>
      <protection hidden="1"/>
    </xf>
    <xf numFmtId="0" fontId="53" fillId="4" borderId="95" xfId="0" applyFont="1" applyFill="1" applyBorder="1" applyAlignment="1" applyProtection="1">
      <alignment horizontal="left" vertical="center" wrapText="1"/>
      <protection hidden="1"/>
    </xf>
    <xf numFmtId="0" fontId="53" fillId="4" borderId="31" xfId="0" applyFont="1" applyFill="1" applyBorder="1" applyAlignment="1" applyProtection="1">
      <alignment horizontal="left" vertical="center" wrapText="1"/>
      <protection hidden="1"/>
    </xf>
    <xf numFmtId="0" fontId="53" fillId="4" borderId="30" xfId="0" applyFont="1" applyFill="1" applyBorder="1" applyAlignment="1" applyProtection="1">
      <alignment horizontal="left" vertical="center" wrapText="1"/>
      <protection hidden="1"/>
    </xf>
    <xf numFmtId="0" fontId="63" fillId="0" borderId="45" xfId="0" applyFont="1" applyBorder="1" applyAlignment="1" applyProtection="1">
      <alignment horizontal="left" vertical="center" wrapText="1"/>
      <protection hidden="1"/>
    </xf>
    <xf numFmtId="0" fontId="63" fillId="0" borderId="85" xfId="0" applyFont="1" applyBorder="1" applyAlignment="1" applyProtection="1">
      <alignment horizontal="left" vertical="center" wrapText="1"/>
      <protection hidden="1"/>
    </xf>
    <xf numFmtId="0" fontId="63" fillId="0" borderId="145" xfId="0" applyFont="1" applyBorder="1" applyAlignment="1" applyProtection="1">
      <alignment horizontal="left" vertical="center" wrapText="1"/>
      <protection hidden="1"/>
    </xf>
    <xf numFmtId="0" fontId="63" fillId="0" borderId="147" xfId="0" applyFont="1" applyBorder="1" applyAlignment="1" applyProtection="1">
      <alignment horizontal="left" vertical="center" wrapText="1"/>
      <protection hidden="1"/>
    </xf>
    <xf numFmtId="0" fontId="53" fillId="0" borderId="40" xfId="0" applyFont="1" applyBorder="1" applyAlignment="1" applyProtection="1">
      <alignment horizontal="left" vertical="center" wrapText="1"/>
      <protection hidden="1"/>
    </xf>
    <xf numFmtId="0" fontId="53" fillId="0" borderId="39" xfId="0" applyFont="1" applyBorder="1" applyAlignment="1" applyProtection="1">
      <alignment horizontal="left" vertical="center" wrapText="1"/>
      <protection hidden="1"/>
    </xf>
    <xf numFmtId="0" fontId="53" fillId="0" borderId="143" xfId="0" applyFont="1" applyBorder="1" applyAlignment="1" applyProtection="1">
      <alignment horizontal="left" vertical="center" wrapText="1"/>
      <protection hidden="1"/>
    </xf>
    <xf numFmtId="0" fontId="53" fillId="0" borderId="41" xfId="0" applyFont="1" applyBorder="1" applyAlignment="1" applyProtection="1">
      <alignment horizontal="left" vertical="center" wrapText="1"/>
      <protection hidden="1"/>
    </xf>
    <xf numFmtId="0" fontId="53" fillId="0" borderId="113" xfId="0" applyFont="1" applyBorder="1" applyAlignment="1" applyProtection="1">
      <alignment horizontal="left" vertical="center" wrapText="1"/>
      <protection hidden="1"/>
    </xf>
    <xf numFmtId="0" fontId="53" fillId="0" borderId="140" xfId="0" applyFont="1" applyBorder="1" applyAlignment="1" applyProtection="1">
      <alignment horizontal="left" vertical="center" wrapText="1"/>
      <protection hidden="1"/>
    </xf>
    <xf numFmtId="0" fontId="63" fillId="0" borderId="144" xfId="0" applyFont="1" applyBorder="1" applyAlignment="1" applyProtection="1">
      <alignment horizontal="left" vertical="center" wrapText="1"/>
      <protection hidden="1"/>
    </xf>
    <xf numFmtId="0" fontId="63" fillId="0" borderId="126" xfId="0" applyFont="1" applyBorder="1" applyAlignment="1" applyProtection="1">
      <alignment horizontal="left" vertical="center" wrapText="1"/>
      <protection hidden="1"/>
    </xf>
    <xf numFmtId="0" fontId="63" fillId="0" borderId="138" xfId="0" applyFont="1" applyBorder="1" applyAlignment="1" applyProtection="1">
      <alignment horizontal="left" vertical="center" wrapText="1"/>
      <protection hidden="1"/>
    </xf>
    <xf numFmtId="0" fontId="53" fillId="4" borderId="32" xfId="0" applyFont="1" applyFill="1" applyBorder="1" applyAlignment="1" applyProtection="1">
      <alignment horizontal="left" vertical="center" wrapText="1"/>
      <protection hidden="1"/>
    </xf>
    <xf numFmtId="0" fontId="53" fillId="0" borderId="32" xfId="0" applyFont="1" applyBorder="1" applyAlignment="1" applyProtection="1">
      <alignment horizontal="left" vertical="center" wrapText="1"/>
      <protection hidden="1"/>
    </xf>
    <xf numFmtId="0" fontId="53" fillId="0" borderId="129" xfId="0" applyFont="1" applyBorder="1" applyAlignment="1" applyProtection="1">
      <alignment horizontal="left" vertical="center" wrapText="1"/>
      <protection hidden="1"/>
    </xf>
    <xf numFmtId="0" fontId="63" fillId="0" borderId="82" xfId="0" applyFont="1" applyBorder="1" applyAlignment="1" applyProtection="1">
      <alignment horizontal="left" vertical="center" wrapText="1"/>
      <protection hidden="1"/>
    </xf>
    <xf numFmtId="0" fontId="63" fillId="0" borderId="116" xfId="0" applyFont="1" applyBorder="1" applyAlignment="1" applyProtection="1">
      <alignment horizontal="left" vertical="center" wrapText="1"/>
      <protection hidden="1"/>
    </xf>
    <xf numFmtId="0" fontId="63" fillId="0" borderId="127" xfId="0" applyFont="1" applyBorder="1" applyAlignment="1" applyProtection="1">
      <alignment horizontal="left" vertical="center" wrapText="1"/>
      <protection hidden="1"/>
    </xf>
    <xf numFmtId="0" fontId="53" fillId="0" borderId="152" xfId="0" applyFont="1" applyBorder="1" applyAlignment="1" applyProtection="1">
      <alignment horizontal="left" vertical="center" wrapText="1"/>
      <protection hidden="1"/>
    </xf>
    <xf numFmtId="0" fontId="53" fillId="4" borderId="96" xfId="0" applyFont="1" applyFill="1" applyBorder="1" applyAlignment="1" applyProtection="1">
      <alignment horizontal="left" vertical="center" wrapText="1"/>
      <protection hidden="1"/>
    </xf>
    <xf numFmtId="0" fontId="53" fillId="4" borderId="5" xfId="0" applyFont="1" applyFill="1" applyBorder="1" applyAlignment="1" applyProtection="1">
      <alignment horizontal="left" vertical="center" wrapText="1"/>
      <protection hidden="1"/>
    </xf>
    <xf numFmtId="0" fontId="53" fillId="4" borderId="35" xfId="0" applyFont="1" applyFill="1" applyBorder="1" applyAlignment="1" applyProtection="1">
      <alignment horizontal="left" vertical="center" wrapText="1"/>
      <protection hidden="1"/>
    </xf>
    <xf numFmtId="0" fontId="53" fillId="0" borderId="96" xfId="0" applyFont="1" applyBorder="1" applyAlignment="1" applyProtection="1">
      <alignment horizontal="left" vertical="center" wrapText="1"/>
      <protection hidden="1"/>
    </xf>
    <xf numFmtId="0" fontId="53" fillId="0" borderId="5" xfId="0" applyFont="1" applyBorder="1" applyAlignment="1" applyProtection="1">
      <alignment horizontal="left" vertical="center" wrapText="1"/>
      <protection hidden="1"/>
    </xf>
    <xf numFmtId="0" fontId="53" fillId="0" borderId="35" xfId="0" applyFont="1" applyBorder="1" applyAlignment="1" applyProtection="1">
      <alignment horizontal="left" vertical="center" wrapText="1"/>
      <protection hidden="1"/>
    </xf>
    <xf numFmtId="0" fontId="53" fillId="0" borderId="97" xfId="0" applyFont="1" applyBorder="1" applyAlignment="1" applyProtection="1">
      <alignment horizontal="left" vertical="center" wrapText="1"/>
      <protection hidden="1"/>
    </xf>
    <xf numFmtId="0" fontId="53" fillId="0" borderId="44" xfId="0" applyFont="1" applyBorder="1" applyAlignment="1" applyProtection="1">
      <alignment horizontal="left" vertical="center" wrapText="1"/>
      <protection hidden="1"/>
    </xf>
    <xf numFmtId="0" fontId="53" fillId="0" borderId="43" xfId="0" applyFont="1" applyBorder="1" applyAlignment="1" applyProtection="1">
      <alignment horizontal="left" vertical="center" wrapText="1"/>
      <protection hidden="1"/>
    </xf>
    <xf numFmtId="0" fontId="53" fillId="0" borderId="96" xfId="0" applyFont="1" applyFill="1" applyBorder="1" applyAlignment="1" applyProtection="1">
      <alignment horizontal="left" vertical="center" wrapText="1"/>
      <protection hidden="1"/>
    </xf>
    <xf numFmtId="0" fontId="53" fillId="0" borderId="5" xfId="0" applyFont="1" applyFill="1" applyBorder="1" applyAlignment="1" applyProtection="1">
      <alignment horizontal="left" vertical="center" wrapText="1"/>
      <protection hidden="1"/>
    </xf>
    <xf numFmtId="0" fontId="53" fillId="0" borderId="35" xfId="0" applyFont="1" applyFill="1" applyBorder="1" applyAlignment="1" applyProtection="1">
      <alignment horizontal="left" vertical="center" wrapText="1"/>
      <protection hidden="1"/>
    </xf>
    <xf numFmtId="0" fontId="53" fillId="4" borderId="139" xfId="0" applyFont="1" applyFill="1" applyBorder="1" applyAlignment="1" applyProtection="1">
      <alignment horizontal="left" vertical="center" wrapText="1"/>
      <protection hidden="1"/>
    </xf>
    <xf numFmtId="0" fontId="53" fillId="4" borderId="84" xfId="0" applyFont="1" applyFill="1" applyBorder="1" applyAlignment="1" applyProtection="1">
      <alignment horizontal="left" vertical="center" wrapText="1"/>
      <protection hidden="1"/>
    </xf>
    <xf numFmtId="0" fontId="53" fillId="4" borderId="86" xfId="0" applyFont="1" applyFill="1" applyBorder="1" applyAlignment="1" applyProtection="1">
      <alignment horizontal="left" vertical="center" wrapText="1"/>
      <protection hidden="1"/>
    </xf>
  </cellXfs>
  <cellStyles count="1">
    <cellStyle name="Normal" xfId="0" builtinId="0"/>
  </cellStyles>
  <dxfs count="2">
    <dxf>
      <fill>
        <patternFill patternType="gray0625">
          <bgColor auto="1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H38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fmlaLink="H39" lockText="1" noThreeD="1"/>
</file>

<file path=xl/ctrlProps/ctrlProp17.xml><?xml version="1.0" encoding="utf-8"?>
<formControlPr xmlns="http://schemas.microsoft.com/office/spreadsheetml/2009/9/main" objectType="CheckBox" fmlaLink="I38" lockText="1" noThreeD="1"/>
</file>

<file path=xl/ctrlProps/ctrlProp18.xml><?xml version="1.0" encoding="utf-8"?>
<formControlPr xmlns="http://schemas.microsoft.com/office/spreadsheetml/2009/9/main" objectType="CheckBox" fmlaLink="H40" lockText="1" noThreeD="1"/>
</file>

<file path=xl/ctrlProps/ctrlProp19.xml><?xml version="1.0" encoding="utf-8"?>
<formControlPr xmlns="http://schemas.microsoft.com/office/spreadsheetml/2009/9/main" objectType="CheckBox" fmlaLink="I39" lockText="1" noThreeD="1"/>
</file>

<file path=xl/ctrlProps/ctrlProp2.xml><?xml version="1.0" encoding="utf-8"?>
<formControlPr xmlns="http://schemas.microsoft.com/office/spreadsheetml/2009/9/main" objectType="CheckBox" fmlaLink="H37" lockText="1" noThreeD="1"/>
</file>

<file path=xl/ctrlProps/ctrlProp20.xml><?xml version="1.0" encoding="utf-8"?>
<formControlPr xmlns="http://schemas.microsoft.com/office/spreadsheetml/2009/9/main" objectType="CheckBox" fmlaLink="H41" lockText="1" noThreeD="1"/>
</file>

<file path=xl/ctrlProps/ctrlProp21.xml><?xml version="1.0" encoding="utf-8"?>
<formControlPr xmlns="http://schemas.microsoft.com/office/spreadsheetml/2009/9/main" objectType="CheckBox" fmlaLink="I40" lockText="1" noThreeD="1"/>
</file>

<file path=xl/ctrlProps/ctrlProp22.xml><?xml version="1.0" encoding="utf-8"?>
<formControlPr xmlns="http://schemas.microsoft.com/office/spreadsheetml/2009/9/main" objectType="CheckBox" fmlaLink="H42" lockText="1" noThreeD="1"/>
</file>

<file path=xl/ctrlProps/ctrlProp23.xml><?xml version="1.0" encoding="utf-8"?>
<formControlPr xmlns="http://schemas.microsoft.com/office/spreadsheetml/2009/9/main" objectType="CheckBox" fmlaLink="I41" lockText="1" noThreeD="1"/>
</file>

<file path=xl/ctrlProps/ctrlProp24.xml><?xml version="1.0" encoding="utf-8"?>
<formControlPr xmlns="http://schemas.microsoft.com/office/spreadsheetml/2009/9/main" objectType="CheckBox" fmlaLink="H43" lockText="1" noThreeD="1"/>
</file>

<file path=xl/ctrlProps/ctrlProp25.xml><?xml version="1.0" encoding="utf-8"?>
<formControlPr xmlns="http://schemas.microsoft.com/office/spreadsheetml/2009/9/main" objectType="CheckBox" fmlaLink="I42" lockText="1" noThreeD="1"/>
</file>

<file path=xl/ctrlProps/ctrlProp26.xml><?xml version="1.0" encoding="utf-8"?>
<formControlPr xmlns="http://schemas.microsoft.com/office/spreadsheetml/2009/9/main" objectType="CheckBox" fmlaLink="H44" lockText="1" noThreeD="1"/>
</file>

<file path=xl/ctrlProps/ctrlProp27.xml><?xml version="1.0" encoding="utf-8"?>
<formControlPr xmlns="http://schemas.microsoft.com/office/spreadsheetml/2009/9/main" objectType="CheckBox" fmlaLink="I43" lockText="1" noThreeD="1"/>
</file>

<file path=xl/ctrlProps/ctrlProp28.xml><?xml version="1.0" encoding="utf-8"?>
<formControlPr xmlns="http://schemas.microsoft.com/office/spreadsheetml/2009/9/main" objectType="CheckBox" fmlaLink="H45" lockText="1" noThreeD="1"/>
</file>

<file path=xl/ctrlProps/ctrlProp29.xml><?xml version="1.0" encoding="utf-8"?>
<formControlPr xmlns="http://schemas.microsoft.com/office/spreadsheetml/2009/9/main" objectType="CheckBox" fmlaLink="I44" lockText="1" noThreeD="1"/>
</file>

<file path=xl/ctrlProps/ctrlProp3.xml><?xml version="1.0" encoding="utf-8"?>
<formControlPr xmlns="http://schemas.microsoft.com/office/spreadsheetml/2009/9/main" objectType="CheckBox" fmlaLink="I37" lockText="1" noThreeD="1"/>
</file>

<file path=xl/ctrlProps/ctrlProp30.xml><?xml version="1.0" encoding="utf-8"?>
<formControlPr xmlns="http://schemas.microsoft.com/office/spreadsheetml/2009/9/main" objectType="CheckBox" fmlaLink="H46" lockText="1" noThreeD="1"/>
</file>

<file path=xl/ctrlProps/ctrlProp31.xml><?xml version="1.0" encoding="utf-8"?>
<formControlPr xmlns="http://schemas.microsoft.com/office/spreadsheetml/2009/9/main" objectType="CheckBox" fmlaLink="I45" lockText="1" noThreeD="1"/>
</file>

<file path=xl/ctrlProps/ctrlProp32.xml><?xml version="1.0" encoding="utf-8"?>
<formControlPr xmlns="http://schemas.microsoft.com/office/spreadsheetml/2009/9/main" objectType="CheckBox" fmlaLink="H47" lockText="1" noThreeD="1"/>
</file>

<file path=xl/ctrlProps/ctrlProp33.xml><?xml version="1.0" encoding="utf-8"?>
<formControlPr xmlns="http://schemas.microsoft.com/office/spreadsheetml/2009/9/main" objectType="CheckBox" fmlaLink="I46" lockText="1" noThreeD="1"/>
</file>

<file path=xl/ctrlProps/ctrlProp34.xml><?xml version="1.0" encoding="utf-8"?>
<formControlPr xmlns="http://schemas.microsoft.com/office/spreadsheetml/2009/9/main" objectType="CheckBox" fmlaLink="H48" lockText="1" noThreeD="1"/>
</file>

<file path=xl/ctrlProps/ctrlProp35.xml><?xml version="1.0" encoding="utf-8"?>
<formControlPr xmlns="http://schemas.microsoft.com/office/spreadsheetml/2009/9/main" objectType="CheckBox" fmlaLink="I47" lockText="1" noThreeD="1"/>
</file>

<file path=xl/ctrlProps/ctrlProp36.xml><?xml version="1.0" encoding="utf-8"?>
<formControlPr xmlns="http://schemas.microsoft.com/office/spreadsheetml/2009/9/main" objectType="CheckBox" fmlaLink="H49" lockText="1" noThreeD="1"/>
</file>

<file path=xl/ctrlProps/ctrlProp37.xml><?xml version="1.0" encoding="utf-8"?>
<formControlPr xmlns="http://schemas.microsoft.com/office/spreadsheetml/2009/9/main" objectType="CheckBox" fmlaLink="I48" lockText="1" noThreeD="1"/>
</file>

<file path=xl/ctrlProps/ctrlProp38.xml><?xml version="1.0" encoding="utf-8"?>
<formControlPr xmlns="http://schemas.microsoft.com/office/spreadsheetml/2009/9/main" objectType="CheckBox" fmlaLink="H50" lockText="1" noThreeD="1"/>
</file>

<file path=xl/ctrlProps/ctrlProp39.xml><?xml version="1.0" encoding="utf-8"?>
<formControlPr xmlns="http://schemas.microsoft.com/office/spreadsheetml/2009/9/main" objectType="CheckBox" fmlaLink="I49" lockText="1" noThreeD="1"/>
</file>

<file path=xl/ctrlProps/ctrlProp4.xml><?xml version="1.0" encoding="utf-8"?>
<formControlPr xmlns="http://schemas.microsoft.com/office/spreadsheetml/2009/9/main" objectType="CheckBox" fmlaLink="H28" lockText="1" noThreeD="1"/>
</file>

<file path=xl/ctrlProps/ctrlProp40.xml><?xml version="1.0" encoding="utf-8"?>
<formControlPr xmlns="http://schemas.microsoft.com/office/spreadsheetml/2009/9/main" objectType="CheckBox" fmlaLink="H51" lockText="1" noThreeD="1"/>
</file>

<file path=xl/ctrlProps/ctrlProp41.xml><?xml version="1.0" encoding="utf-8"?>
<formControlPr xmlns="http://schemas.microsoft.com/office/spreadsheetml/2009/9/main" objectType="CheckBox" fmlaLink="I50" lockText="1" noThreeD="1"/>
</file>

<file path=xl/ctrlProps/ctrlProp42.xml><?xml version="1.0" encoding="utf-8"?>
<formControlPr xmlns="http://schemas.microsoft.com/office/spreadsheetml/2009/9/main" objectType="CheckBox" fmlaLink="H52" lockText="1" noThreeD="1"/>
</file>

<file path=xl/ctrlProps/ctrlProp43.xml><?xml version="1.0" encoding="utf-8"?>
<formControlPr xmlns="http://schemas.microsoft.com/office/spreadsheetml/2009/9/main" objectType="CheckBox" fmlaLink="I51" lockText="1" noThreeD="1"/>
</file>

<file path=xl/ctrlProps/ctrlProp44.xml><?xml version="1.0" encoding="utf-8"?>
<formControlPr xmlns="http://schemas.microsoft.com/office/spreadsheetml/2009/9/main" objectType="CheckBox" fmlaLink="H53" lockText="1" noThreeD="1"/>
</file>

<file path=xl/ctrlProps/ctrlProp45.xml><?xml version="1.0" encoding="utf-8"?>
<formControlPr xmlns="http://schemas.microsoft.com/office/spreadsheetml/2009/9/main" objectType="CheckBox" fmlaLink="I52" lockText="1" noThreeD="1"/>
</file>

<file path=xl/ctrlProps/ctrlProp46.xml><?xml version="1.0" encoding="utf-8"?>
<formControlPr xmlns="http://schemas.microsoft.com/office/spreadsheetml/2009/9/main" objectType="CheckBox" fmlaLink="H54" lockText="1" noThreeD="1"/>
</file>

<file path=xl/ctrlProps/ctrlProp47.xml><?xml version="1.0" encoding="utf-8"?>
<formControlPr xmlns="http://schemas.microsoft.com/office/spreadsheetml/2009/9/main" objectType="CheckBox" fmlaLink="I53" lockText="1" noThreeD="1"/>
</file>

<file path=xl/ctrlProps/ctrlProp48.xml><?xml version="1.0" encoding="utf-8"?>
<formControlPr xmlns="http://schemas.microsoft.com/office/spreadsheetml/2009/9/main" objectType="CheckBox" fmlaLink="I54" lockText="1" noThreeD="1"/>
</file>

<file path=xl/ctrlProps/ctrlProp5.xml><?xml version="1.0" encoding="utf-8"?>
<formControlPr xmlns="http://schemas.microsoft.com/office/spreadsheetml/2009/9/main" objectType="CheckBox" fmlaLink="H29" lockText="1" noThreeD="1"/>
</file>

<file path=xl/ctrlProps/ctrlProp6.xml><?xml version="1.0" encoding="utf-8"?>
<formControlPr xmlns="http://schemas.microsoft.com/office/spreadsheetml/2009/9/main" objectType="CheckBox" fmlaLink="H30" lockText="1" noThreeD="1"/>
</file>

<file path=xl/ctrlProps/ctrlProp7.xml><?xml version="1.0" encoding="utf-8"?>
<formControlPr xmlns="http://schemas.microsoft.com/office/spreadsheetml/2009/9/main" objectType="CheckBox" fmlaLink="H31" lockText="1" noThreeD="1"/>
</file>

<file path=xl/ctrlProps/ctrlProp8.xml><?xml version="1.0" encoding="utf-8"?>
<formControlPr xmlns="http://schemas.microsoft.com/office/spreadsheetml/2009/9/main" objectType="CheckBox" fmlaLink="H32" lockText="1" noThreeD="1"/>
</file>

<file path=xl/ctrlProps/ctrlProp9.xml><?xml version="1.0" encoding="utf-8"?>
<formControlPr xmlns="http://schemas.microsoft.com/office/spreadsheetml/2009/9/main" objectType="CheckBox" fmlaLink="H33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85726</xdr:colOff>
      <xdr:row>0</xdr:row>
      <xdr:rowOff>0</xdr:rowOff>
    </xdr:from>
    <xdr:ext cx="999015" cy="447675"/>
    <xdr:pic>
      <xdr:nvPicPr>
        <xdr:cNvPr id="2" name="Picture 1" descr="dnd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3750" t="21000" r="11250" b="39333"/>
        <a:stretch>
          <a:fillRect/>
        </a:stretch>
      </xdr:blipFill>
      <xdr:spPr>
        <a:xfrm>
          <a:off x="3705226" y="0"/>
          <a:ext cx="999015" cy="447675"/>
        </a:xfrm>
        <a:prstGeom prst="rect">
          <a:avLst/>
        </a:prstGeom>
      </xdr:spPr>
    </xdr:pic>
    <xdr:clientData/>
  </xdr:oneCellAnchor>
  <xdr:twoCellAnchor>
    <xdr:from>
      <xdr:col>8</xdr:col>
      <xdr:colOff>8793</xdr:colOff>
      <xdr:row>36</xdr:row>
      <xdr:rowOff>16851</xdr:rowOff>
    </xdr:from>
    <xdr:to>
      <xdr:col>8</xdr:col>
      <xdr:colOff>170718</xdr:colOff>
      <xdr:row>36</xdr:row>
      <xdr:rowOff>178776</xdr:rowOff>
    </xdr:to>
    <xdr:sp macro="" textlink="">
      <xdr:nvSpPr>
        <xdr:cNvPr id="3" name="Diamond 24"/>
        <xdr:cNvSpPr/>
      </xdr:nvSpPr>
      <xdr:spPr>
        <a:xfrm>
          <a:off x="1532793" y="6874851"/>
          <a:ext cx="161925" cy="161925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8793</xdr:colOff>
      <xdr:row>37</xdr:row>
      <xdr:rowOff>16851</xdr:rowOff>
    </xdr:from>
    <xdr:to>
      <xdr:col>8</xdr:col>
      <xdr:colOff>170718</xdr:colOff>
      <xdr:row>37</xdr:row>
      <xdr:rowOff>178776</xdr:rowOff>
    </xdr:to>
    <xdr:sp macro="" textlink="">
      <xdr:nvSpPr>
        <xdr:cNvPr id="5" name="Diamond 48"/>
        <xdr:cNvSpPr/>
      </xdr:nvSpPr>
      <xdr:spPr>
        <a:xfrm>
          <a:off x="1532793" y="7065351"/>
          <a:ext cx="161925" cy="161925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8793</xdr:colOff>
      <xdr:row>38</xdr:row>
      <xdr:rowOff>16851</xdr:rowOff>
    </xdr:from>
    <xdr:to>
      <xdr:col>8</xdr:col>
      <xdr:colOff>170718</xdr:colOff>
      <xdr:row>38</xdr:row>
      <xdr:rowOff>178776</xdr:rowOff>
    </xdr:to>
    <xdr:sp macro="" textlink="">
      <xdr:nvSpPr>
        <xdr:cNvPr id="6" name="Diamond 49"/>
        <xdr:cNvSpPr/>
      </xdr:nvSpPr>
      <xdr:spPr>
        <a:xfrm>
          <a:off x="1532793" y="7255851"/>
          <a:ext cx="161925" cy="161925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8793</xdr:colOff>
      <xdr:row>39</xdr:row>
      <xdr:rowOff>16851</xdr:rowOff>
    </xdr:from>
    <xdr:to>
      <xdr:col>8</xdr:col>
      <xdr:colOff>170718</xdr:colOff>
      <xdr:row>39</xdr:row>
      <xdr:rowOff>178776</xdr:rowOff>
    </xdr:to>
    <xdr:sp macro="" textlink="">
      <xdr:nvSpPr>
        <xdr:cNvPr id="7" name="Diamond 50"/>
        <xdr:cNvSpPr/>
      </xdr:nvSpPr>
      <xdr:spPr>
        <a:xfrm>
          <a:off x="1532793" y="7446351"/>
          <a:ext cx="161925" cy="161925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8793</xdr:colOff>
      <xdr:row>40</xdr:row>
      <xdr:rowOff>16851</xdr:rowOff>
    </xdr:from>
    <xdr:to>
      <xdr:col>8</xdr:col>
      <xdr:colOff>170718</xdr:colOff>
      <xdr:row>40</xdr:row>
      <xdr:rowOff>178776</xdr:rowOff>
    </xdr:to>
    <xdr:sp macro="" textlink="">
      <xdr:nvSpPr>
        <xdr:cNvPr id="8" name="Diamond 51"/>
        <xdr:cNvSpPr/>
      </xdr:nvSpPr>
      <xdr:spPr>
        <a:xfrm>
          <a:off x="1532793" y="7636851"/>
          <a:ext cx="161925" cy="161925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8793</xdr:colOff>
      <xdr:row>41</xdr:row>
      <xdr:rowOff>16851</xdr:rowOff>
    </xdr:from>
    <xdr:to>
      <xdr:col>8</xdr:col>
      <xdr:colOff>170718</xdr:colOff>
      <xdr:row>41</xdr:row>
      <xdr:rowOff>178776</xdr:rowOff>
    </xdr:to>
    <xdr:sp macro="" textlink="">
      <xdr:nvSpPr>
        <xdr:cNvPr id="9" name="Diamond 52"/>
        <xdr:cNvSpPr/>
      </xdr:nvSpPr>
      <xdr:spPr>
        <a:xfrm>
          <a:off x="1532793" y="7827351"/>
          <a:ext cx="161925" cy="161925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8793</xdr:colOff>
      <xdr:row>42</xdr:row>
      <xdr:rowOff>16851</xdr:rowOff>
    </xdr:from>
    <xdr:to>
      <xdr:col>8</xdr:col>
      <xdr:colOff>170718</xdr:colOff>
      <xdr:row>42</xdr:row>
      <xdr:rowOff>178776</xdr:rowOff>
    </xdr:to>
    <xdr:sp macro="" textlink="">
      <xdr:nvSpPr>
        <xdr:cNvPr id="10" name="Diamond 53"/>
        <xdr:cNvSpPr/>
      </xdr:nvSpPr>
      <xdr:spPr>
        <a:xfrm>
          <a:off x="1532793" y="8017851"/>
          <a:ext cx="161925" cy="161925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8793</xdr:colOff>
      <xdr:row>43</xdr:row>
      <xdr:rowOff>16851</xdr:rowOff>
    </xdr:from>
    <xdr:to>
      <xdr:col>8</xdr:col>
      <xdr:colOff>170718</xdr:colOff>
      <xdr:row>43</xdr:row>
      <xdr:rowOff>178776</xdr:rowOff>
    </xdr:to>
    <xdr:sp macro="" textlink="">
      <xdr:nvSpPr>
        <xdr:cNvPr id="11" name="Diamond 54"/>
        <xdr:cNvSpPr/>
      </xdr:nvSpPr>
      <xdr:spPr>
        <a:xfrm>
          <a:off x="1532793" y="8208351"/>
          <a:ext cx="161925" cy="161925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8793</xdr:colOff>
      <xdr:row>44</xdr:row>
      <xdr:rowOff>16851</xdr:rowOff>
    </xdr:from>
    <xdr:to>
      <xdr:col>8</xdr:col>
      <xdr:colOff>170718</xdr:colOff>
      <xdr:row>44</xdr:row>
      <xdr:rowOff>178776</xdr:rowOff>
    </xdr:to>
    <xdr:sp macro="" textlink="">
      <xdr:nvSpPr>
        <xdr:cNvPr id="12" name="Diamond 55"/>
        <xdr:cNvSpPr/>
      </xdr:nvSpPr>
      <xdr:spPr>
        <a:xfrm>
          <a:off x="1532793" y="8398851"/>
          <a:ext cx="161925" cy="161925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8793</xdr:colOff>
      <xdr:row>45</xdr:row>
      <xdr:rowOff>16851</xdr:rowOff>
    </xdr:from>
    <xdr:to>
      <xdr:col>8</xdr:col>
      <xdr:colOff>170718</xdr:colOff>
      <xdr:row>45</xdr:row>
      <xdr:rowOff>178776</xdr:rowOff>
    </xdr:to>
    <xdr:sp macro="" textlink="">
      <xdr:nvSpPr>
        <xdr:cNvPr id="13" name="Diamond 56"/>
        <xdr:cNvSpPr/>
      </xdr:nvSpPr>
      <xdr:spPr>
        <a:xfrm>
          <a:off x="1532793" y="8589351"/>
          <a:ext cx="161925" cy="161925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8793</xdr:colOff>
      <xdr:row>46</xdr:row>
      <xdr:rowOff>16851</xdr:rowOff>
    </xdr:from>
    <xdr:to>
      <xdr:col>8</xdr:col>
      <xdr:colOff>170718</xdr:colOff>
      <xdr:row>46</xdr:row>
      <xdr:rowOff>178776</xdr:rowOff>
    </xdr:to>
    <xdr:sp macro="" textlink="">
      <xdr:nvSpPr>
        <xdr:cNvPr id="14" name="Diamond 57"/>
        <xdr:cNvSpPr/>
      </xdr:nvSpPr>
      <xdr:spPr>
        <a:xfrm>
          <a:off x="1532793" y="8779851"/>
          <a:ext cx="161925" cy="161925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8793</xdr:colOff>
      <xdr:row>47</xdr:row>
      <xdr:rowOff>16851</xdr:rowOff>
    </xdr:from>
    <xdr:to>
      <xdr:col>8</xdr:col>
      <xdr:colOff>170718</xdr:colOff>
      <xdr:row>47</xdr:row>
      <xdr:rowOff>178776</xdr:rowOff>
    </xdr:to>
    <xdr:sp macro="" textlink="">
      <xdr:nvSpPr>
        <xdr:cNvPr id="15" name="Diamond 58"/>
        <xdr:cNvSpPr/>
      </xdr:nvSpPr>
      <xdr:spPr>
        <a:xfrm>
          <a:off x="1532793" y="8970351"/>
          <a:ext cx="161925" cy="161925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8793</xdr:colOff>
      <xdr:row>48</xdr:row>
      <xdr:rowOff>16851</xdr:rowOff>
    </xdr:from>
    <xdr:to>
      <xdr:col>8</xdr:col>
      <xdr:colOff>170718</xdr:colOff>
      <xdr:row>48</xdr:row>
      <xdr:rowOff>178776</xdr:rowOff>
    </xdr:to>
    <xdr:sp macro="" textlink="">
      <xdr:nvSpPr>
        <xdr:cNvPr id="16" name="Diamond 59"/>
        <xdr:cNvSpPr/>
      </xdr:nvSpPr>
      <xdr:spPr>
        <a:xfrm>
          <a:off x="1532793" y="9160851"/>
          <a:ext cx="161925" cy="161925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8793</xdr:colOff>
      <xdr:row>49</xdr:row>
      <xdr:rowOff>16851</xdr:rowOff>
    </xdr:from>
    <xdr:to>
      <xdr:col>8</xdr:col>
      <xdr:colOff>170718</xdr:colOff>
      <xdr:row>49</xdr:row>
      <xdr:rowOff>178776</xdr:rowOff>
    </xdr:to>
    <xdr:sp macro="" textlink="">
      <xdr:nvSpPr>
        <xdr:cNvPr id="17" name="Diamond 60"/>
        <xdr:cNvSpPr/>
      </xdr:nvSpPr>
      <xdr:spPr>
        <a:xfrm>
          <a:off x="1532793" y="9351351"/>
          <a:ext cx="161925" cy="161925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8793</xdr:colOff>
      <xdr:row>50</xdr:row>
      <xdr:rowOff>16851</xdr:rowOff>
    </xdr:from>
    <xdr:to>
      <xdr:col>8</xdr:col>
      <xdr:colOff>170718</xdr:colOff>
      <xdr:row>50</xdr:row>
      <xdr:rowOff>178776</xdr:rowOff>
    </xdr:to>
    <xdr:sp macro="" textlink="">
      <xdr:nvSpPr>
        <xdr:cNvPr id="18" name="Diamond 61"/>
        <xdr:cNvSpPr/>
      </xdr:nvSpPr>
      <xdr:spPr>
        <a:xfrm>
          <a:off x="1532793" y="9541851"/>
          <a:ext cx="161925" cy="161925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8793</xdr:colOff>
      <xdr:row>51</xdr:row>
      <xdr:rowOff>16851</xdr:rowOff>
    </xdr:from>
    <xdr:to>
      <xdr:col>8</xdr:col>
      <xdr:colOff>170718</xdr:colOff>
      <xdr:row>51</xdr:row>
      <xdr:rowOff>178776</xdr:rowOff>
    </xdr:to>
    <xdr:sp macro="" textlink="">
      <xdr:nvSpPr>
        <xdr:cNvPr id="19" name="Diamond 62"/>
        <xdr:cNvSpPr/>
      </xdr:nvSpPr>
      <xdr:spPr>
        <a:xfrm>
          <a:off x="1532793" y="9732351"/>
          <a:ext cx="161925" cy="161925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8793</xdr:colOff>
      <xdr:row>52</xdr:row>
      <xdr:rowOff>16851</xdr:rowOff>
    </xdr:from>
    <xdr:to>
      <xdr:col>8</xdr:col>
      <xdr:colOff>170718</xdr:colOff>
      <xdr:row>52</xdr:row>
      <xdr:rowOff>178776</xdr:rowOff>
    </xdr:to>
    <xdr:sp macro="" textlink="">
      <xdr:nvSpPr>
        <xdr:cNvPr id="20" name="Diamond 63"/>
        <xdr:cNvSpPr/>
      </xdr:nvSpPr>
      <xdr:spPr>
        <a:xfrm>
          <a:off x="1532793" y="9922851"/>
          <a:ext cx="161925" cy="161925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8793</xdr:colOff>
      <xdr:row>53</xdr:row>
      <xdr:rowOff>16851</xdr:rowOff>
    </xdr:from>
    <xdr:to>
      <xdr:col>8</xdr:col>
      <xdr:colOff>170718</xdr:colOff>
      <xdr:row>53</xdr:row>
      <xdr:rowOff>178776</xdr:rowOff>
    </xdr:to>
    <xdr:sp macro="" textlink="">
      <xdr:nvSpPr>
        <xdr:cNvPr id="21" name="Diamond 64"/>
        <xdr:cNvSpPr/>
      </xdr:nvSpPr>
      <xdr:spPr>
        <a:xfrm>
          <a:off x="1532793" y="10113351"/>
          <a:ext cx="161925" cy="161925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36</xdr:row>
          <xdr:rowOff>180975</xdr:rowOff>
        </xdr:from>
        <xdr:to>
          <xdr:col>8</xdr:col>
          <xdr:colOff>95250</xdr:colOff>
          <xdr:row>38</xdr:row>
          <xdr:rowOff>28575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35</xdr:row>
          <xdr:rowOff>171450</xdr:rowOff>
        </xdr:from>
        <xdr:to>
          <xdr:col>8</xdr:col>
          <xdr:colOff>95250</xdr:colOff>
          <xdr:row>37</xdr:row>
          <xdr:rowOff>19050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35</xdr:row>
          <xdr:rowOff>171450</xdr:rowOff>
        </xdr:from>
        <xdr:to>
          <xdr:col>9</xdr:col>
          <xdr:colOff>76200</xdr:colOff>
          <xdr:row>37</xdr:row>
          <xdr:rowOff>19050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26</xdr:row>
          <xdr:rowOff>171450</xdr:rowOff>
        </xdr:from>
        <xdr:to>
          <xdr:col>8</xdr:col>
          <xdr:colOff>123825</xdr:colOff>
          <xdr:row>28</xdr:row>
          <xdr:rowOff>28575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27</xdr:row>
          <xdr:rowOff>171450</xdr:rowOff>
        </xdr:from>
        <xdr:to>
          <xdr:col>8</xdr:col>
          <xdr:colOff>123825</xdr:colOff>
          <xdr:row>29</xdr:row>
          <xdr:rowOff>28575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28</xdr:row>
          <xdr:rowOff>161925</xdr:rowOff>
        </xdr:from>
        <xdr:to>
          <xdr:col>8</xdr:col>
          <xdr:colOff>123825</xdr:colOff>
          <xdr:row>30</xdr:row>
          <xdr:rowOff>19050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29</xdr:row>
          <xdr:rowOff>152400</xdr:rowOff>
        </xdr:from>
        <xdr:to>
          <xdr:col>8</xdr:col>
          <xdr:colOff>123825</xdr:colOff>
          <xdr:row>31</xdr:row>
          <xdr:rowOff>9525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30</xdr:row>
          <xdr:rowOff>171450</xdr:rowOff>
        </xdr:from>
        <xdr:to>
          <xdr:col>8</xdr:col>
          <xdr:colOff>123825</xdr:colOff>
          <xdr:row>32</xdr:row>
          <xdr:rowOff>19050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31</xdr:row>
          <xdr:rowOff>152400</xdr:rowOff>
        </xdr:from>
        <xdr:to>
          <xdr:col>8</xdr:col>
          <xdr:colOff>123825</xdr:colOff>
          <xdr:row>33</xdr:row>
          <xdr:rowOff>9525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123825</xdr:colOff>
          <xdr:row>29</xdr:row>
          <xdr:rowOff>142875</xdr:rowOff>
        </xdr:from>
        <xdr:to>
          <xdr:col>44</xdr:col>
          <xdr:colOff>85725</xdr:colOff>
          <xdr:row>30</xdr:row>
          <xdr:rowOff>180975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180975</xdr:colOff>
          <xdr:row>29</xdr:row>
          <xdr:rowOff>142875</xdr:rowOff>
        </xdr:from>
        <xdr:to>
          <xdr:col>42</xdr:col>
          <xdr:colOff>133350</xdr:colOff>
          <xdr:row>31</xdr:row>
          <xdr:rowOff>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47625</xdr:colOff>
          <xdr:row>29</xdr:row>
          <xdr:rowOff>142875</xdr:rowOff>
        </xdr:from>
        <xdr:to>
          <xdr:col>40</xdr:col>
          <xdr:colOff>161925</xdr:colOff>
          <xdr:row>31</xdr:row>
          <xdr:rowOff>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180975</xdr:colOff>
          <xdr:row>27</xdr:row>
          <xdr:rowOff>152400</xdr:rowOff>
        </xdr:from>
        <xdr:to>
          <xdr:col>42</xdr:col>
          <xdr:colOff>133350</xdr:colOff>
          <xdr:row>28</xdr:row>
          <xdr:rowOff>180975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47625</xdr:colOff>
          <xdr:row>27</xdr:row>
          <xdr:rowOff>142875</xdr:rowOff>
        </xdr:from>
        <xdr:to>
          <xdr:col>40</xdr:col>
          <xdr:colOff>152400</xdr:colOff>
          <xdr:row>29</xdr:row>
          <xdr:rowOff>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123825</xdr:colOff>
          <xdr:row>27</xdr:row>
          <xdr:rowOff>142875</xdr:rowOff>
        </xdr:from>
        <xdr:to>
          <xdr:col>44</xdr:col>
          <xdr:colOff>76200</xdr:colOff>
          <xdr:row>29</xdr:row>
          <xdr:rowOff>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37</xdr:row>
          <xdr:rowOff>180975</xdr:rowOff>
        </xdr:from>
        <xdr:to>
          <xdr:col>8</xdr:col>
          <xdr:colOff>95250</xdr:colOff>
          <xdr:row>39</xdr:row>
          <xdr:rowOff>28575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180975</xdr:rowOff>
        </xdr:from>
        <xdr:to>
          <xdr:col>9</xdr:col>
          <xdr:colOff>76200</xdr:colOff>
          <xdr:row>38</xdr:row>
          <xdr:rowOff>28575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38</xdr:row>
          <xdr:rowOff>161925</xdr:rowOff>
        </xdr:from>
        <xdr:to>
          <xdr:col>8</xdr:col>
          <xdr:colOff>95250</xdr:colOff>
          <xdr:row>40</xdr:row>
          <xdr:rowOff>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37</xdr:row>
          <xdr:rowOff>180975</xdr:rowOff>
        </xdr:from>
        <xdr:to>
          <xdr:col>9</xdr:col>
          <xdr:colOff>76200</xdr:colOff>
          <xdr:row>39</xdr:row>
          <xdr:rowOff>28575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39</xdr:row>
          <xdr:rowOff>161925</xdr:rowOff>
        </xdr:from>
        <xdr:to>
          <xdr:col>8</xdr:col>
          <xdr:colOff>95250</xdr:colOff>
          <xdr:row>41</xdr:row>
          <xdr:rowOff>9525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38</xdr:row>
          <xdr:rowOff>161925</xdr:rowOff>
        </xdr:from>
        <xdr:to>
          <xdr:col>9</xdr:col>
          <xdr:colOff>76200</xdr:colOff>
          <xdr:row>40</xdr:row>
          <xdr:rowOff>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40</xdr:row>
          <xdr:rowOff>161925</xdr:rowOff>
        </xdr:from>
        <xdr:to>
          <xdr:col>8</xdr:col>
          <xdr:colOff>95250</xdr:colOff>
          <xdr:row>42</xdr:row>
          <xdr:rowOff>9525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39</xdr:row>
          <xdr:rowOff>161925</xdr:rowOff>
        </xdr:from>
        <xdr:to>
          <xdr:col>9</xdr:col>
          <xdr:colOff>76200</xdr:colOff>
          <xdr:row>41</xdr:row>
          <xdr:rowOff>9525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41</xdr:row>
          <xdr:rowOff>171450</xdr:rowOff>
        </xdr:from>
        <xdr:to>
          <xdr:col>8</xdr:col>
          <xdr:colOff>95250</xdr:colOff>
          <xdr:row>43</xdr:row>
          <xdr:rowOff>19050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40</xdr:row>
          <xdr:rowOff>161925</xdr:rowOff>
        </xdr:from>
        <xdr:to>
          <xdr:col>9</xdr:col>
          <xdr:colOff>76200</xdr:colOff>
          <xdr:row>42</xdr:row>
          <xdr:rowOff>9525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42</xdr:row>
          <xdr:rowOff>171450</xdr:rowOff>
        </xdr:from>
        <xdr:to>
          <xdr:col>8</xdr:col>
          <xdr:colOff>95250</xdr:colOff>
          <xdr:row>44</xdr:row>
          <xdr:rowOff>19050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41</xdr:row>
          <xdr:rowOff>171450</xdr:rowOff>
        </xdr:from>
        <xdr:to>
          <xdr:col>9</xdr:col>
          <xdr:colOff>76200</xdr:colOff>
          <xdr:row>43</xdr:row>
          <xdr:rowOff>19050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44</xdr:row>
          <xdr:rowOff>0</xdr:rowOff>
        </xdr:from>
        <xdr:to>
          <xdr:col>8</xdr:col>
          <xdr:colOff>95250</xdr:colOff>
          <xdr:row>45</xdr:row>
          <xdr:rowOff>38100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42</xdr:row>
          <xdr:rowOff>171450</xdr:rowOff>
        </xdr:from>
        <xdr:to>
          <xdr:col>9</xdr:col>
          <xdr:colOff>76200</xdr:colOff>
          <xdr:row>44</xdr:row>
          <xdr:rowOff>19050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44</xdr:row>
          <xdr:rowOff>180975</xdr:rowOff>
        </xdr:from>
        <xdr:to>
          <xdr:col>8</xdr:col>
          <xdr:colOff>95250</xdr:colOff>
          <xdr:row>46</xdr:row>
          <xdr:rowOff>28575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44</xdr:row>
          <xdr:rowOff>0</xdr:rowOff>
        </xdr:from>
        <xdr:to>
          <xdr:col>9</xdr:col>
          <xdr:colOff>76200</xdr:colOff>
          <xdr:row>45</xdr:row>
          <xdr:rowOff>38100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45</xdr:row>
          <xdr:rowOff>180975</xdr:rowOff>
        </xdr:from>
        <xdr:to>
          <xdr:col>8</xdr:col>
          <xdr:colOff>95250</xdr:colOff>
          <xdr:row>47</xdr:row>
          <xdr:rowOff>28575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44</xdr:row>
          <xdr:rowOff>180975</xdr:rowOff>
        </xdr:from>
        <xdr:to>
          <xdr:col>9</xdr:col>
          <xdr:colOff>76200</xdr:colOff>
          <xdr:row>46</xdr:row>
          <xdr:rowOff>28575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47</xdr:row>
          <xdr:rowOff>0</xdr:rowOff>
        </xdr:from>
        <xdr:to>
          <xdr:col>8</xdr:col>
          <xdr:colOff>95250</xdr:colOff>
          <xdr:row>48</xdr:row>
          <xdr:rowOff>28575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45</xdr:row>
          <xdr:rowOff>180975</xdr:rowOff>
        </xdr:from>
        <xdr:to>
          <xdr:col>9</xdr:col>
          <xdr:colOff>76200</xdr:colOff>
          <xdr:row>47</xdr:row>
          <xdr:rowOff>28575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48</xdr:row>
          <xdr:rowOff>0</xdr:rowOff>
        </xdr:from>
        <xdr:to>
          <xdr:col>8</xdr:col>
          <xdr:colOff>95250</xdr:colOff>
          <xdr:row>49</xdr:row>
          <xdr:rowOff>38100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47</xdr:row>
          <xdr:rowOff>0</xdr:rowOff>
        </xdr:from>
        <xdr:to>
          <xdr:col>9</xdr:col>
          <xdr:colOff>76200</xdr:colOff>
          <xdr:row>48</xdr:row>
          <xdr:rowOff>28575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49</xdr:row>
          <xdr:rowOff>0</xdr:rowOff>
        </xdr:from>
        <xdr:to>
          <xdr:col>8</xdr:col>
          <xdr:colOff>95250</xdr:colOff>
          <xdr:row>50</xdr:row>
          <xdr:rowOff>38100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48</xdr:row>
          <xdr:rowOff>0</xdr:rowOff>
        </xdr:from>
        <xdr:to>
          <xdr:col>9</xdr:col>
          <xdr:colOff>76200</xdr:colOff>
          <xdr:row>49</xdr:row>
          <xdr:rowOff>38100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50</xdr:row>
          <xdr:rowOff>9525</xdr:rowOff>
        </xdr:from>
        <xdr:to>
          <xdr:col>8</xdr:col>
          <xdr:colOff>95250</xdr:colOff>
          <xdr:row>51</xdr:row>
          <xdr:rowOff>38100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49</xdr:row>
          <xdr:rowOff>0</xdr:rowOff>
        </xdr:from>
        <xdr:to>
          <xdr:col>9</xdr:col>
          <xdr:colOff>76200</xdr:colOff>
          <xdr:row>50</xdr:row>
          <xdr:rowOff>38100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51</xdr:row>
          <xdr:rowOff>19050</xdr:rowOff>
        </xdr:from>
        <xdr:to>
          <xdr:col>8</xdr:col>
          <xdr:colOff>95250</xdr:colOff>
          <xdr:row>52</xdr:row>
          <xdr:rowOff>38100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50</xdr:row>
          <xdr:rowOff>9525</xdr:rowOff>
        </xdr:from>
        <xdr:to>
          <xdr:col>9</xdr:col>
          <xdr:colOff>76200</xdr:colOff>
          <xdr:row>51</xdr:row>
          <xdr:rowOff>38100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52</xdr:row>
          <xdr:rowOff>19050</xdr:rowOff>
        </xdr:from>
        <xdr:to>
          <xdr:col>8</xdr:col>
          <xdr:colOff>95250</xdr:colOff>
          <xdr:row>53</xdr:row>
          <xdr:rowOff>38100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19050</xdr:rowOff>
        </xdr:from>
        <xdr:to>
          <xdr:col>9</xdr:col>
          <xdr:colOff>76200</xdr:colOff>
          <xdr:row>52</xdr:row>
          <xdr:rowOff>38100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53</xdr:row>
          <xdr:rowOff>19050</xdr:rowOff>
        </xdr:from>
        <xdr:to>
          <xdr:col>8</xdr:col>
          <xdr:colOff>95250</xdr:colOff>
          <xdr:row>54</xdr:row>
          <xdr:rowOff>38100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52</xdr:row>
          <xdr:rowOff>19050</xdr:rowOff>
        </xdr:from>
        <xdr:to>
          <xdr:col>9</xdr:col>
          <xdr:colOff>76200</xdr:colOff>
          <xdr:row>53</xdr:row>
          <xdr:rowOff>38100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53</xdr:row>
          <xdr:rowOff>19050</xdr:rowOff>
        </xdr:from>
        <xdr:to>
          <xdr:col>9</xdr:col>
          <xdr:colOff>76200</xdr:colOff>
          <xdr:row>54</xdr:row>
          <xdr:rowOff>38100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-0.249977111117893"/>
    <pageSetUpPr fitToPage="1"/>
  </sheetPr>
  <dimension ref="A1:LP268"/>
  <sheetViews>
    <sheetView showGridLines="0" tabSelected="1" zoomScaleNormal="100" zoomScaleSheetLayoutView="130" zoomScalePageLayoutView="145" workbookViewId="0">
      <selection activeCell="I1" sqref="I1:R2"/>
    </sheetView>
  </sheetViews>
  <sheetFormatPr baseColWidth="10" defaultColWidth="2.85546875" defaultRowHeight="15" customHeight="1"/>
  <cols>
    <col min="1" max="1" width="2.85546875" style="117" customWidth="1"/>
    <col min="2" max="7" width="2.85546875" style="117"/>
    <col min="8" max="8" width="2.85546875" style="117" customWidth="1"/>
    <col min="9" max="12" width="2.85546875" style="117"/>
    <col min="13" max="13" width="2.85546875" style="117" customWidth="1"/>
    <col min="14" max="44" width="2.85546875" style="117"/>
    <col min="45" max="50" width="2.85546875" style="121"/>
    <col min="51" max="52" width="2.85546875" style="121" customWidth="1"/>
    <col min="53" max="54" width="2.85546875" style="121"/>
    <col min="55" max="55" width="6.42578125" style="121" bestFit="1" customWidth="1"/>
    <col min="56" max="57" width="2.85546875" style="121"/>
    <col min="58" max="58" width="3.85546875" style="121" bestFit="1" customWidth="1"/>
    <col min="59" max="66" width="2.85546875" style="91"/>
    <col min="67" max="16384" width="2.85546875" style="117"/>
  </cols>
  <sheetData>
    <row r="1" spans="1:328" ht="15" customHeight="1" thickTop="1">
      <c r="A1" s="553" t="s">
        <v>137</v>
      </c>
      <c r="B1" s="554"/>
      <c r="C1" s="554"/>
      <c r="D1" s="554"/>
      <c r="E1" s="554"/>
      <c r="F1" s="554"/>
      <c r="G1" s="554"/>
      <c r="H1" s="555"/>
      <c r="I1" s="590"/>
      <c r="J1" s="591"/>
      <c r="K1" s="591"/>
      <c r="L1" s="591"/>
      <c r="M1" s="591"/>
      <c r="N1" s="591"/>
      <c r="O1" s="591"/>
      <c r="P1" s="591"/>
      <c r="Q1" s="591"/>
      <c r="R1" s="592"/>
      <c r="S1" s="1"/>
      <c r="T1" s="1"/>
      <c r="U1" s="1"/>
      <c r="V1" s="1"/>
      <c r="W1" s="1"/>
      <c r="X1" s="1"/>
      <c r="Y1" s="1"/>
      <c r="Z1" s="1"/>
      <c r="AA1" s="553" t="s">
        <v>136</v>
      </c>
      <c r="AB1" s="573"/>
      <c r="AC1" s="573"/>
      <c r="AD1" s="573"/>
      <c r="AE1" s="573"/>
      <c r="AF1" s="574"/>
      <c r="AG1" s="492"/>
      <c r="AH1" s="493"/>
      <c r="AI1" s="493"/>
      <c r="AJ1" s="493"/>
      <c r="AK1" s="493"/>
      <c r="AL1" s="493"/>
      <c r="AM1" s="493"/>
      <c r="AN1" s="493"/>
      <c r="AO1" s="493"/>
      <c r="AP1" s="493"/>
      <c r="AQ1" s="493"/>
      <c r="AR1" s="494"/>
      <c r="AS1" s="57"/>
      <c r="AT1" s="52"/>
      <c r="AU1" s="53"/>
      <c r="AV1" s="53"/>
      <c r="AW1" s="2"/>
      <c r="AX1" s="2"/>
      <c r="AY1" s="2"/>
      <c r="AZ1" s="54"/>
      <c r="BA1" s="54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</row>
    <row r="2" spans="1:328" ht="15" customHeight="1" thickBot="1">
      <c r="A2" s="556"/>
      <c r="B2" s="557"/>
      <c r="C2" s="557"/>
      <c r="D2" s="557"/>
      <c r="E2" s="557"/>
      <c r="F2" s="557"/>
      <c r="G2" s="557"/>
      <c r="H2" s="558"/>
      <c r="I2" s="593"/>
      <c r="J2" s="594"/>
      <c r="K2" s="594"/>
      <c r="L2" s="594"/>
      <c r="M2" s="594"/>
      <c r="N2" s="594"/>
      <c r="O2" s="594"/>
      <c r="P2" s="594"/>
      <c r="Q2" s="594"/>
      <c r="R2" s="595"/>
      <c r="S2" s="1"/>
      <c r="T2" s="1"/>
      <c r="U2" s="1"/>
      <c r="V2" s="1"/>
      <c r="W2" s="1"/>
      <c r="X2" s="1"/>
      <c r="Y2" s="1"/>
      <c r="Z2" s="1"/>
      <c r="AA2" s="575"/>
      <c r="AB2" s="576"/>
      <c r="AC2" s="576"/>
      <c r="AD2" s="576"/>
      <c r="AE2" s="576"/>
      <c r="AF2" s="577"/>
      <c r="AG2" s="495"/>
      <c r="AH2" s="496"/>
      <c r="AI2" s="496"/>
      <c r="AJ2" s="496"/>
      <c r="AK2" s="496"/>
      <c r="AL2" s="496"/>
      <c r="AM2" s="496"/>
      <c r="AN2" s="496"/>
      <c r="AO2" s="496"/>
      <c r="AP2" s="496"/>
      <c r="AQ2" s="496"/>
      <c r="AR2" s="497"/>
      <c r="AS2" s="57"/>
      <c r="AT2" s="52"/>
      <c r="AU2" s="55"/>
      <c r="AV2" s="55"/>
      <c r="AW2" s="2"/>
      <c r="AX2" s="2"/>
      <c r="AY2" s="2"/>
      <c r="AZ2" s="54"/>
      <c r="BA2" s="54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</row>
    <row r="3" spans="1:328" ht="15" customHeight="1" thickTop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2"/>
      <c r="AT3" s="52"/>
      <c r="AU3" s="55"/>
      <c r="AV3" s="55"/>
      <c r="AW3" s="2"/>
      <c r="AX3" s="2"/>
      <c r="AY3" s="2"/>
      <c r="AZ3" s="7"/>
      <c r="BA3" s="54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</row>
    <row r="4" spans="1:328" ht="15" customHeight="1" thickTop="1">
      <c r="A4" s="513" t="s">
        <v>135</v>
      </c>
      <c r="B4" s="599"/>
      <c r="C4" s="599"/>
      <c r="D4" s="599"/>
      <c r="E4" s="567"/>
      <c r="F4" s="568"/>
      <c r="G4" s="568"/>
      <c r="H4" s="568"/>
      <c r="I4" s="568"/>
      <c r="J4" s="568"/>
      <c r="K4" s="569"/>
      <c r="L4" s="2"/>
      <c r="M4" s="645" t="s">
        <v>134</v>
      </c>
      <c r="N4" s="646"/>
      <c r="O4" s="646"/>
      <c r="P4" s="646"/>
      <c r="Q4" s="646"/>
      <c r="R4" s="647"/>
      <c r="S4" s="651"/>
      <c r="T4" s="652"/>
      <c r="U4" s="652"/>
      <c r="V4" s="652"/>
      <c r="W4" s="652"/>
      <c r="X4" s="653"/>
      <c r="Y4" s="1"/>
      <c r="Z4" s="513" t="s">
        <v>133</v>
      </c>
      <c r="AA4" s="514"/>
      <c r="AB4" s="514"/>
      <c r="AC4" s="514"/>
      <c r="AD4" s="514"/>
      <c r="AE4" s="514"/>
      <c r="AF4" s="779"/>
      <c r="AG4" s="780"/>
      <c r="AH4" s="781"/>
      <c r="AI4" s="122"/>
      <c r="AJ4" s="513" t="s">
        <v>132</v>
      </c>
      <c r="AK4" s="514"/>
      <c r="AL4" s="514"/>
      <c r="AM4" s="514"/>
      <c r="AN4" s="785"/>
      <c r="AO4" s="786"/>
      <c r="AP4" s="786"/>
      <c r="AQ4" s="786"/>
      <c r="AR4" s="787"/>
      <c r="AS4" s="2"/>
      <c r="AT4" s="52"/>
      <c r="AU4" s="55"/>
      <c r="AV4" s="55"/>
      <c r="AW4" s="2"/>
      <c r="AX4" s="2"/>
      <c r="AY4" s="2"/>
      <c r="AZ4" s="54"/>
      <c r="BA4" s="54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</row>
    <row r="5" spans="1:328" ht="15" customHeight="1" thickBot="1">
      <c r="A5" s="601"/>
      <c r="B5" s="602"/>
      <c r="C5" s="602"/>
      <c r="D5" s="602"/>
      <c r="E5" s="570"/>
      <c r="F5" s="571"/>
      <c r="G5" s="571"/>
      <c r="H5" s="571"/>
      <c r="I5" s="571"/>
      <c r="J5" s="571"/>
      <c r="K5" s="572"/>
      <c r="L5" s="2"/>
      <c r="M5" s="648"/>
      <c r="N5" s="649"/>
      <c r="O5" s="649"/>
      <c r="P5" s="649"/>
      <c r="Q5" s="649"/>
      <c r="R5" s="650"/>
      <c r="S5" s="654"/>
      <c r="T5" s="655"/>
      <c r="U5" s="655"/>
      <c r="V5" s="655"/>
      <c r="W5" s="655"/>
      <c r="X5" s="656"/>
      <c r="Y5" s="1"/>
      <c r="Z5" s="777"/>
      <c r="AA5" s="778"/>
      <c r="AB5" s="778"/>
      <c r="AC5" s="778"/>
      <c r="AD5" s="778"/>
      <c r="AE5" s="778"/>
      <c r="AF5" s="782"/>
      <c r="AG5" s="783"/>
      <c r="AH5" s="784"/>
      <c r="AI5" s="122"/>
      <c r="AJ5" s="777"/>
      <c r="AK5" s="778"/>
      <c r="AL5" s="778"/>
      <c r="AM5" s="778"/>
      <c r="AN5" s="788"/>
      <c r="AO5" s="789"/>
      <c r="AP5" s="789"/>
      <c r="AQ5" s="789"/>
      <c r="AR5" s="790"/>
      <c r="AS5" s="2"/>
      <c r="AT5" s="52"/>
      <c r="AU5" s="55"/>
      <c r="AV5" s="55"/>
      <c r="AW5" s="2"/>
      <c r="AX5" s="2"/>
      <c r="AY5" s="2"/>
      <c r="AZ5" s="54"/>
      <c r="BA5" s="54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</row>
    <row r="6" spans="1:328" ht="15" customHeight="1" thickTop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2"/>
      <c r="AT6" s="52"/>
      <c r="AU6" s="55"/>
      <c r="AV6" s="55"/>
      <c r="AW6" s="2"/>
      <c r="AX6" s="2"/>
      <c r="AY6" s="2"/>
      <c r="AZ6" s="54"/>
      <c r="BA6" s="54"/>
      <c r="BB6" s="873" t="s">
        <v>169</v>
      </c>
      <c r="BC6" s="320"/>
      <c r="BD6" s="320"/>
      <c r="BE6" s="320"/>
      <c r="BF6" s="320"/>
      <c r="BG6" s="320"/>
      <c r="BH6" s="320"/>
      <c r="BI6" s="320"/>
      <c r="BJ6" s="320"/>
      <c r="BK6" s="320"/>
      <c r="BL6" s="320"/>
      <c r="BM6" s="320"/>
      <c r="BN6" s="320"/>
      <c r="BO6" s="320"/>
      <c r="BP6" s="320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</row>
    <row r="7" spans="1:328" ht="15" customHeight="1" thickTop="1" thickBot="1">
      <c r="A7" s="513" t="s">
        <v>131</v>
      </c>
      <c r="B7" s="599"/>
      <c r="C7" s="599"/>
      <c r="D7" s="599"/>
      <c r="E7" s="599"/>
      <c r="F7" s="599"/>
      <c r="G7" s="599"/>
      <c r="H7" s="599"/>
      <c r="I7" s="600"/>
      <c r="J7" s="613">
        <f>R11+R12+R13</f>
        <v>0</v>
      </c>
      <c r="K7" s="614"/>
      <c r="L7" s="615"/>
      <c r="M7" s="626" t="s">
        <v>130</v>
      </c>
      <c r="N7" s="627"/>
      <c r="O7" s="627"/>
      <c r="P7" s="628"/>
      <c r="Q7" s="596" t="str">
        <f>"PX→Niveau " &amp; (J7+1)</f>
        <v>PX→Niveau 1</v>
      </c>
      <c r="R7" s="597"/>
      <c r="S7" s="597"/>
      <c r="T7" s="598"/>
      <c r="U7" s="1"/>
      <c r="V7" s="578" t="s">
        <v>129</v>
      </c>
      <c r="W7" s="579"/>
      <c r="X7" s="579"/>
      <c r="Y7" s="579"/>
      <c r="Z7" s="579"/>
      <c r="AA7" s="364" t="str">
        <f>Feuil1!O63&amp;""&amp;Feuil1!O64&amp;""&amp;Feuil1!O65&amp;""&amp;Feuil1!O66</f>
        <v/>
      </c>
      <c r="AB7" s="365"/>
      <c r="AC7" s="365"/>
      <c r="AD7" s="365"/>
      <c r="AE7" s="365"/>
      <c r="AF7" s="365"/>
      <c r="AG7" s="365"/>
      <c r="AH7" s="365"/>
      <c r="AI7" s="365"/>
      <c r="AJ7" s="365"/>
      <c r="AK7" s="365"/>
      <c r="AL7" s="365"/>
      <c r="AM7" s="365"/>
      <c r="AN7" s="365"/>
      <c r="AO7" s="365"/>
      <c r="AP7" s="365"/>
      <c r="AQ7" s="365"/>
      <c r="AR7" s="366"/>
      <c r="AS7" s="57"/>
      <c r="AT7" s="52"/>
      <c r="AU7" s="55"/>
      <c r="AV7" s="55"/>
      <c r="AW7" s="56"/>
      <c r="AX7" s="2"/>
      <c r="AY7" s="2"/>
      <c r="AZ7" s="54"/>
      <c r="BA7" s="54"/>
      <c r="BB7" s="873"/>
      <c r="BC7" s="320"/>
      <c r="BD7" s="320"/>
      <c r="BE7" s="320"/>
      <c r="BF7" s="320"/>
      <c r="BG7" s="320"/>
      <c r="BH7" s="320"/>
      <c r="BI7" s="320"/>
      <c r="BJ7" s="320"/>
      <c r="BK7" s="320"/>
      <c r="BL7" s="320"/>
      <c r="BM7" s="320"/>
      <c r="BN7" s="320"/>
      <c r="BO7" s="320"/>
      <c r="BP7" s="320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</row>
    <row r="8" spans="1:328" ht="15" customHeight="1" thickBot="1">
      <c r="A8" s="601"/>
      <c r="B8" s="602"/>
      <c r="C8" s="602"/>
      <c r="D8" s="602"/>
      <c r="E8" s="602"/>
      <c r="F8" s="602"/>
      <c r="G8" s="602"/>
      <c r="H8" s="602"/>
      <c r="I8" s="603"/>
      <c r="J8" s="616"/>
      <c r="K8" s="617"/>
      <c r="L8" s="618"/>
      <c r="M8" s="619"/>
      <c r="N8" s="620"/>
      <c r="O8" s="620"/>
      <c r="P8" s="625"/>
      <c r="Q8" s="619"/>
      <c r="R8" s="620"/>
      <c r="S8" s="620"/>
      <c r="T8" s="621"/>
      <c r="U8" s="1"/>
      <c r="V8" s="580"/>
      <c r="W8" s="581"/>
      <c r="X8" s="581"/>
      <c r="Y8" s="581"/>
      <c r="Z8" s="581"/>
      <c r="AA8" s="367"/>
      <c r="AB8" s="368"/>
      <c r="AC8" s="368"/>
      <c r="AD8" s="368"/>
      <c r="AE8" s="368"/>
      <c r="AF8" s="368"/>
      <c r="AG8" s="368"/>
      <c r="AH8" s="368"/>
      <c r="AI8" s="368"/>
      <c r="AJ8" s="367"/>
      <c r="AK8" s="368"/>
      <c r="AL8" s="368"/>
      <c r="AM8" s="368"/>
      <c r="AN8" s="368"/>
      <c r="AO8" s="368"/>
      <c r="AP8" s="368"/>
      <c r="AQ8" s="368"/>
      <c r="AR8" s="369"/>
      <c r="AS8" s="2"/>
      <c r="AT8" s="2"/>
      <c r="AU8" s="2"/>
      <c r="AV8" s="2"/>
      <c r="AW8" s="57"/>
      <c r="AX8" s="7"/>
      <c r="AY8" s="54"/>
      <c r="AZ8" s="54"/>
      <c r="BA8" s="54"/>
      <c r="BB8" s="873"/>
      <c r="BC8" s="320"/>
      <c r="BD8" s="320"/>
      <c r="BE8" s="320"/>
      <c r="BF8" s="320"/>
      <c r="BG8" s="320"/>
      <c r="BH8" s="320"/>
      <c r="BI8" s="320"/>
      <c r="BJ8" s="320"/>
      <c r="BK8" s="320"/>
      <c r="BL8" s="320"/>
      <c r="BM8" s="320"/>
      <c r="BN8" s="320"/>
      <c r="BO8" s="320"/>
      <c r="BP8" s="320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</row>
    <row r="9" spans="1:328" ht="15" customHeight="1" thickTop="1" thickBo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2"/>
      <c r="AT9" s="2"/>
      <c r="AU9" s="2"/>
      <c r="AV9" s="2"/>
      <c r="AW9" s="2"/>
      <c r="AX9" s="2"/>
      <c r="AY9" s="2"/>
      <c r="AZ9" s="2"/>
      <c r="BA9" s="2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</row>
    <row r="10" spans="1:328" ht="15" customHeight="1" thickTop="1" thickBot="1">
      <c r="A10" s="635" t="s">
        <v>128</v>
      </c>
      <c r="B10" s="636"/>
      <c r="C10" s="636"/>
      <c r="D10" s="636"/>
      <c r="E10" s="636"/>
      <c r="F10" s="637"/>
      <c r="G10" s="382" t="s">
        <v>127</v>
      </c>
      <c r="H10" s="265"/>
      <c r="I10" s="265"/>
      <c r="J10" s="265"/>
      <c r="K10" s="265"/>
      <c r="L10" s="265"/>
      <c r="M10" s="265"/>
      <c r="N10" s="265"/>
      <c r="O10" s="265"/>
      <c r="P10" s="265"/>
      <c r="Q10" s="266"/>
      <c r="R10" s="264" t="s">
        <v>126</v>
      </c>
      <c r="S10" s="265"/>
      <c r="T10" s="266"/>
      <c r="U10" s="1"/>
      <c r="V10" s="513" t="s">
        <v>125</v>
      </c>
      <c r="W10" s="514"/>
      <c r="X10" s="514"/>
      <c r="Y10" s="514"/>
      <c r="Z10" s="515"/>
      <c r="AA10" s="528" t="s">
        <v>124</v>
      </c>
      <c r="AB10" s="529"/>
      <c r="AC10" s="528" t="s">
        <v>123</v>
      </c>
      <c r="AD10" s="529"/>
      <c r="AE10" s="528" t="s">
        <v>122</v>
      </c>
      <c r="AF10" s="529"/>
      <c r="AG10" s="528" t="s">
        <v>121</v>
      </c>
      <c r="AH10" s="589"/>
      <c r="AI10" s="1"/>
      <c r="AJ10" s="534" t="s">
        <v>120</v>
      </c>
      <c r="AK10" s="535"/>
      <c r="AL10" s="535"/>
      <c r="AM10" s="535"/>
      <c r="AN10" s="535"/>
      <c r="AO10" s="535"/>
      <c r="AP10" s="535"/>
      <c r="AQ10" s="535"/>
      <c r="AR10" s="536"/>
      <c r="AS10" s="2"/>
      <c r="AT10" s="2"/>
      <c r="AU10" s="2"/>
      <c r="AV10" s="2"/>
      <c r="AW10" s="2"/>
      <c r="AX10" s="2"/>
      <c r="AY10" s="2"/>
      <c r="AZ10" s="2"/>
      <c r="BA10" s="2"/>
      <c r="BB10" s="76"/>
      <c r="BC10" s="76"/>
      <c r="BD10" s="316" t="s">
        <v>138</v>
      </c>
      <c r="BE10" s="317"/>
      <c r="BF10" s="317"/>
      <c r="BG10" s="317"/>
      <c r="BH10" s="317"/>
      <c r="BI10" s="317"/>
      <c r="BJ10" s="317"/>
      <c r="BK10" s="317"/>
      <c r="BL10" s="317"/>
      <c r="BM10" s="318"/>
      <c r="BN10" s="76"/>
      <c r="BO10" s="76"/>
      <c r="BP10" s="76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</row>
    <row r="11" spans="1:328" ht="15" customHeight="1" thickBot="1">
      <c r="A11" s="118">
        <v>1</v>
      </c>
      <c r="B11" s="644"/>
      <c r="C11" s="644"/>
      <c r="D11" s="644"/>
      <c r="E11" s="644"/>
      <c r="F11" s="644"/>
      <c r="G11" s="629"/>
      <c r="H11" s="630"/>
      <c r="I11" s="630"/>
      <c r="J11" s="630"/>
      <c r="K11" s="630"/>
      <c r="L11" s="630"/>
      <c r="M11" s="630"/>
      <c r="N11" s="630"/>
      <c r="O11" s="630"/>
      <c r="P11" s="630"/>
      <c r="Q11" s="631"/>
      <c r="R11" s="638"/>
      <c r="S11" s="639"/>
      <c r="T11" s="640"/>
      <c r="U11" s="1"/>
      <c r="V11" s="516"/>
      <c r="W11" s="517"/>
      <c r="X11" s="517"/>
      <c r="Y11" s="517"/>
      <c r="Z11" s="517"/>
      <c r="AA11" s="504" t="str">
        <f>Feuil1!J12&amp;""&amp;Feuil1!J13&amp;""&amp;Feuil1!J14</f>
        <v/>
      </c>
      <c r="AB11" s="505"/>
      <c r="AC11" s="504" t="str">
        <f>Feuil1!K12&amp;""&amp;Feuil1!K13&amp;""&amp;Feuil1!K14</f>
        <v/>
      </c>
      <c r="AD11" s="582"/>
      <c r="AE11" s="504" t="str">
        <f>Feuil1!L12&amp;""&amp;Feuil1!L13&amp;""&amp;Feuil1!L14</f>
        <v/>
      </c>
      <c r="AF11" s="582"/>
      <c r="AG11" s="502" t="str">
        <f>Feuil1!M12&amp;""&amp;Feuil1!M13&amp;""&amp;Feuil1!M14</f>
        <v/>
      </c>
      <c r="AH11" s="503"/>
      <c r="AI11" s="1"/>
      <c r="AJ11" s="537"/>
      <c r="AK11" s="538"/>
      <c r="AL11" s="538"/>
      <c r="AM11" s="538"/>
      <c r="AN11" s="538"/>
      <c r="AO11" s="538"/>
      <c r="AP11" s="538"/>
      <c r="AQ11" s="538"/>
      <c r="AR11" s="539"/>
      <c r="AS11" s="2"/>
      <c r="AT11" s="2"/>
      <c r="AU11" s="2"/>
      <c r="AV11" s="2"/>
      <c r="AW11" s="2"/>
      <c r="AX11" s="58"/>
      <c r="AY11" s="2"/>
      <c r="AZ11" s="2"/>
      <c r="BA11" s="2"/>
      <c r="BB11" s="76"/>
      <c r="BC11" s="76"/>
      <c r="BD11" s="319"/>
      <c r="BE11" s="320"/>
      <c r="BF11" s="320"/>
      <c r="BG11" s="320"/>
      <c r="BH11" s="320"/>
      <c r="BI11" s="320"/>
      <c r="BJ11" s="320"/>
      <c r="BK11" s="320"/>
      <c r="BL11" s="320"/>
      <c r="BM11" s="321"/>
      <c r="BN11" s="76"/>
      <c r="BO11" s="76"/>
      <c r="BP11" s="76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</row>
    <row r="12" spans="1:328" ht="15" customHeight="1" thickBot="1">
      <c r="A12" s="119">
        <v>2</v>
      </c>
      <c r="B12" s="583"/>
      <c r="C12" s="583"/>
      <c r="D12" s="583"/>
      <c r="E12" s="583"/>
      <c r="F12" s="583"/>
      <c r="G12" s="632"/>
      <c r="H12" s="633"/>
      <c r="I12" s="633"/>
      <c r="J12" s="633"/>
      <c r="K12" s="633"/>
      <c r="L12" s="633"/>
      <c r="M12" s="633"/>
      <c r="N12" s="633"/>
      <c r="O12" s="633"/>
      <c r="P12" s="633"/>
      <c r="Q12" s="634"/>
      <c r="R12" s="610"/>
      <c r="S12" s="611"/>
      <c r="T12" s="612"/>
      <c r="U12" s="1"/>
      <c r="V12" s="500" t="s">
        <v>22</v>
      </c>
      <c r="W12" s="501"/>
      <c r="X12" s="501"/>
      <c r="Y12" s="501"/>
      <c r="Z12" s="501"/>
      <c r="AA12" s="561"/>
      <c r="AB12" s="562"/>
      <c r="AC12" s="561"/>
      <c r="AD12" s="563"/>
      <c r="AE12" s="561"/>
      <c r="AF12" s="563"/>
      <c r="AG12" s="498"/>
      <c r="AH12" s="499"/>
      <c r="AI12" s="1"/>
      <c r="AJ12" s="540"/>
      <c r="AK12" s="541"/>
      <c r="AL12" s="541"/>
      <c r="AM12" s="541"/>
      <c r="AN12" s="541"/>
      <c r="AO12" s="541"/>
      <c r="AP12" s="541"/>
      <c r="AQ12" s="541"/>
      <c r="AR12" s="542"/>
      <c r="AS12" s="2"/>
      <c r="AT12" s="2"/>
      <c r="AU12" s="2"/>
      <c r="AV12" s="2"/>
      <c r="AW12" s="2"/>
      <c r="AX12" s="59"/>
      <c r="AY12" s="2"/>
      <c r="AZ12" s="2"/>
      <c r="BA12" s="2"/>
      <c r="BB12" s="2"/>
      <c r="BC12" s="2"/>
      <c r="BD12" s="898">
        <f>Feuil1!A36</f>
        <v>27</v>
      </c>
      <c r="BE12" s="899"/>
      <c r="BF12" s="899"/>
      <c r="BG12" s="899"/>
      <c r="BH12" s="902" t="s">
        <v>359</v>
      </c>
      <c r="BI12" s="902"/>
      <c r="BJ12" s="902"/>
      <c r="BK12" s="902"/>
      <c r="BL12" s="902"/>
      <c r="BM12" s="903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</row>
    <row r="13" spans="1:328" ht="15" customHeight="1" thickTop="1" thickBot="1">
      <c r="A13" s="120">
        <v>3</v>
      </c>
      <c r="B13" s="584"/>
      <c r="C13" s="584"/>
      <c r="D13" s="584"/>
      <c r="E13" s="584"/>
      <c r="F13" s="584"/>
      <c r="G13" s="622"/>
      <c r="H13" s="623"/>
      <c r="I13" s="623"/>
      <c r="J13" s="623"/>
      <c r="K13" s="623"/>
      <c r="L13" s="623"/>
      <c r="M13" s="623"/>
      <c r="N13" s="623"/>
      <c r="O13" s="623"/>
      <c r="P13" s="623"/>
      <c r="Q13" s="624"/>
      <c r="R13" s="641"/>
      <c r="S13" s="642"/>
      <c r="T13" s="643"/>
      <c r="U13" s="1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898"/>
      <c r="BE13" s="899"/>
      <c r="BF13" s="899"/>
      <c r="BG13" s="899"/>
      <c r="BH13" s="902"/>
      <c r="BI13" s="902"/>
      <c r="BJ13" s="902"/>
      <c r="BK13" s="902"/>
      <c r="BL13" s="902"/>
      <c r="BM13" s="903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</row>
    <row r="14" spans="1:328" ht="15" customHeight="1" thickTop="1" thickBo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9"/>
      <c r="L14" s="79"/>
      <c r="M14" s="80"/>
      <c r="N14" s="81"/>
      <c r="O14" s="80"/>
      <c r="P14" s="80"/>
      <c r="Q14" s="80"/>
      <c r="R14" s="81"/>
      <c r="S14" s="80"/>
      <c r="T14" s="80"/>
      <c r="U14" s="80"/>
      <c r="V14" s="585" t="s">
        <v>119</v>
      </c>
      <c r="W14" s="586"/>
      <c r="X14" s="586"/>
      <c r="Y14" s="586"/>
      <c r="Z14" s="586"/>
      <c r="AA14" s="586"/>
      <c r="AB14" s="586"/>
      <c r="AC14" s="586"/>
      <c r="AD14" s="586"/>
      <c r="AE14" s="586"/>
      <c r="AF14" s="586"/>
      <c r="AG14" s="586"/>
      <c r="AH14" s="684" t="s">
        <v>118</v>
      </c>
      <c r="AI14" s="685"/>
      <c r="AJ14" s="685"/>
      <c r="AK14" s="685"/>
      <c r="AL14" s="685"/>
      <c r="AM14" s="685"/>
      <c r="AN14" s="685"/>
      <c r="AO14" s="685"/>
      <c r="AP14" s="685"/>
      <c r="AQ14" s="705">
        <f>1+ROUNDUP(J7/4,0)</f>
        <v>1</v>
      </c>
      <c r="AR14" s="706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900"/>
      <c r="BE14" s="901"/>
      <c r="BF14" s="901"/>
      <c r="BG14" s="901"/>
      <c r="BH14" s="904"/>
      <c r="BI14" s="904"/>
      <c r="BJ14" s="904"/>
      <c r="BK14" s="904"/>
      <c r="BL14" s="904"/>
      <c r="BM14" s="905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</row>
    <row r="15" spans="1:328" ht="15" customHeight="1" thickTop="1" thickBot="1">
      <c r="A15" s="458" t="s">
        <v>8</v>
      </c>
      <c r="B15" s="459"/>
      <c r="C15" s="459"/>
      <c r="D15" s="460"/>
      <c r="E15" s="1"/>
      <c r="F15" s="75"/>
      <c r="G15" s="470">
        <f>R49+10</f>
        <v>9</v>
      </c>
      <c r="H15" s="471"/>
      <c r="I15" s="472"/>
      <c r="J15" s="514" t="s">
        <v>117</v>
      </c>
      <c r="K15" s="554"/>
      <c r="L15" s="554"/>
      <c r="M15" s="554"/>
      <c r="N15" s="554"/>
      <c r="O15" s="554"/>
      <c r="P15" s="554"/>
      <c r="Q15" s="554"/>
      <c r="R15" s="554"/>
      <c r="S15" s="587"/>
      <c r="T15" s="75"/>
      <c r="U15" s="1"/>
      <c r="V15" s="700" t="s">
        <v>116</v>
      </c>
      <c r="W15" s="701"/>
      <c r="X15" s="701"/>
      <c r="Y15" s="701"/>
      <c r="Z15" s="701"/>
      <c r="AA15" s="701"/>
      <c r="AB15" s="215" t="str">
        <f>Feuil3!G15</f>
        <v xml:space="preserve">           </v>
      </c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7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322" t="s">
        <v>917</v>
      </c>
      <c r="BE15" s="323"/>
      <c r="BF15" s="323"/>
      <c r="BG15" s="323"/>
      <c r="BH15" s="323"/>
      <c r="BI15" s="323"/>
      <c r="BJ15" s="323"/>
      <c r="BK15" s="323"/>
      <c r="BL15" s="323"/>
      <c r="BM15" s="324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</row>
    <row r="16" spans="1:328" ht="15" customHeight="1" thickBot="1">
      <c r="A16" s="270" t="s">
        <v>44</v>
      </c>
      <c r="B16" s="271"/>
      <c r="C16" s="271"/>
      <c r="D16" s="272"/>
      <c r="E16" s="1"/>
      <c r="F16" s="75"/>
      <c r="G16" s="473"/>
      <c r="H16" s="474"/>
      <c r="I16" s="475"/>
      <c r="J16" s="557"/>
      <c r="K16" s="557"/>
      <c r="L16" s="557"/>
      <c r="M16" s="557"/>
      <c r="N16" s="557"/>
      <c r="O16" s="557"/>
      <c r="P16" s="557"/>
      <c r="Q16" s="557"/>
      <c r="R16" s="557"/>
      <c r="S16" s="588"/>
      <c r="T16" s="75"/>
      <c r="U16" s="1"/>
      <c r="V16" s="559" t="s">
        <v>115</v>
      </c>
      <c r="W16" s="560"/>
      <c r="X16" s="560"/>
      <c r="Y16" s="560"/>
      <c r="Z16" s="560"/>
      <c r="AA16" s="560"/>
      <c r="AB16" s="218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20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325"/>
      <c r="BE16" s="326"/>
      <c r="BF16" s="326"/>
      <c r="BG16" s="326"/>
      <c r="BH16" s="326"/>
      <c r="BI16" s="326"/>
      <c r="BJ16" s="326"/>
      <c r="BK16" s="326"/>
      <c r="BL16" s="326"/>
      <c r="BM16" s="327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</row>
    <row r="17" spans="1:328" ht="15" customHeight="1" thickBot="1">
      <c r="A17" s="420">
        <f>INT(C19/2)-5</f>
        <v>-1</v>
      </c>
      <c r="B17" s="421"/>
      <c r="C17" s="421"/>
      <c r="D17" s="424"/>
      <c r="E17" s="1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1"/>
      <c r="V17" s="518" t="s">
        <v>114</v>
      </c>
      <c r="W17" s="519"/>
      <c r="X17" s="519"/>
      <c r="Y17" s="519"/>
      <c r="Z17" s="519"/>
      <c r="AA17" s="519"/>
      <c r="AB17" s="707" t="str">
        <f>Feuil3!H15</f>
        <v xml:space="preserve">           </v>
      </c>
      <c r="AC17" s="708"/>
      <c r="AD17" s="708"/>
      <c r="AE17" s="708"/>
      <c r="AF17" s="708"/>
      <c r="AG17" s="708"/>
      <c r="AH17" s="708"/>
      <c r="AI17" s="708"/>
      <c r="AJ17" s="708"/>
      <c r="AK17" s="708"/>
      <c r="AL17" s="708"/>
      <c r="AM17" s="708"/>
      <c r="AN17" s="708"/>
      <c r="AO17" s="708"/>
      <c r="AP17" s="708"/>
      <c r="AQ17" s="708"/>
      <c r="AR17" s="709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325"/>
      <c r="BE17" s="326"/>
      <c r="BF17" s="326"/>
      <c r="BG17" s="326"/>
      <c r="BH17" s="326"/>
      <c r="BI17" s="326"/>
      <c r="BJ17" s="326"/>
      <c r="BK17" s="326"/>
      <c r="BL17" s="326"/>
      <c r="BM17" s="327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</row>
    <row r="18" spans="1:328" ht="15" customHeight="1" thickTop="1" thickBot="1">
      <c r="A18" s="422"/>
      <c r="B18" s="423"/>
      <c r="C18" s="423"/>
      <c r="D18" s="425"/>
      <c r="E18" s="1"/>
      <c r="F18" s="75"/>
      <c r="G18" s="604">
        <f>A24</f>
        <v>-1</v>
      </c>
      <c r="H18" s="605"/>
      <c r="I18" s="606"/>
      <c r="J18" s="514" t="s">
        <v>113</v>
      </c>
      <c r="K18" s="554"/>
      <c r="L18" s="554"/>
      <c r="M18" s="554"/>
      <c r="N18" s="554"/>
      <c r="O18" s="554"/>
      <c r="P18" s="554"/>
      <c r="Q18" s="554"/>
      <c r="R18" s="554"/>
      <c r="S18" s="587"/>
      <c r="T18" s="75"/>
      <c r="U18" s="1"/>
      <c r="V18" s="518"/>
      <c r="W18" s="519"/>
      <c r="X18" s="519"/>
      <c r="Y18" s="519"/>
      <c r="Z18" s="519"/>
      <c r="AA18" s="519"/>
      <c r="AB18" s="708"/>
      <c r="AC18" s="708"/>
      <c r="AD18" s="708"/>
      <c r="AE18" s="708"/>
      <c r="AF18" s="708"/>
      <c r="AG18" s="708"/>
      <c r="AH18" s="708"/>
      <c r="AI18" s="708"/>
      <c r="AJ18" s="708"/>
      <c r="AK18" s="708"/>
      <c r="AL18" s="708"/>
      <c r="AM18" s="708"/>
      <c r="AN18" s="708"/>
      <c r="AO18" s="708"/>
      <c r="AP18" s="708"/>
      <c r="AQ18" s="708"/>
      <c r="AR18" s="709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325"/>
      <c r="BE18" s="326"/>
      <c r="BF18" s="326"/>
      <c r="BG18" s="326"/>
      <c r="BH18" s="326"/>
      <c r="BI18" s="326"/>
      <c r="BJ18" s="326"/>
      <c r="BK18" s="326"/>
      <c r="BL18" s="326"/>
      <c r="BM18" s="327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</row>
    <row r="19" spans="1:328" ht="15" customHeight="1" thickBot="1">
      <c r="A19" s="73"/>
      <c r="B19" s="4"/>
      <c r="C19" s="278">
        <v>8</v>
      </c>
      <c r="D19" s="279"/>
      <c r="E19" s="1"/>
      <c r="F19" s="75"/>
      <c r="G19" s="607"/>
      <c r="H19" s="608"/>
      <c r="I19" s="609"/>
      <c r="J19" s="557"/>
      <c r="K19" s="557"/>
      <c r="L19" s="557"/>
      <c r="M19" s="557"/>
      <c r="N19" s="557"/>
      <c r="O19" s="557"/>
      <c r="P19" s="557"/>
      <c r="Q19" s="557"/>
      <c r="R19" s="557"/>
      <c r="S19" s="588"/>
      <c r="T19" s="75"/>
      <c r="U19" s="1"/>
      <c r="V19" s="564" t="s">
        <v>112</v>
      </c>
      <c r="W19" s="565"/>
      <c r="X19" s="565"/>
      <c r="Y19" s="565"/>
      <c r="Z19" s="565"/>
      <c r="AA19" s="566"/>
      <c r="AB19" s="723" t="str">
        <f>Feuil3!I15</f>
        <v xml:space="preserve">           </v>
      </c>
      <c r="AC19" s="724"/>
      <c r="AD19" s="724"/>
      <c r="AE19" s="724"/>
      <c r="AF19" s="724"/>
      <c r="AG19" s="724"/>
      <c r="AH19" s="724"/>
      <c r="AI19" s="724"/>
      <c r="AJ19" s="724"/>
      <c r="AK19" s="724"/>
      <c r="AL19" s="724"/>
      <c r="AM19" s="724"/>
      <c r="AN19" s="724"/>
      <c r="AO19" s="724"/>
      <c r="AP19" s="724"/>
      <c r="AQ19" s="724"/>
      <c r="AR19" s="725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328"/>
      <c r="BE19" s="329"/>
      <c r="BF19" s="329"/>
      <c r="BG19" s="329"/>
      <c r="BH19" s="329"/>
      <c r="BI19" s="329"/>
      <c r="BJ19" s="329"/>
      <c r="BK19" s="329"/>
      <c r="BL19" s="329"/>
      <c r="BM19" s="330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</row>
    <row r="20" spans="1:328" ht="15" customHeight="1" thickTop="1" thickBot="1">
      <c r="A20" s="282" t="s">
        <v>47</v>
      </c>
      <c r="B20" s="283"/>
      <c r="C20" s="280"/>
      <c r="D20" s="281"/>
      <c r="E20" s="1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1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</row>
    <row r="21" spans="1:328" ht="15" customHeight="1" thickTop="1" thickBot="1">
      <c r="A21" s="1"/>
      <c r="B21" s="1"/>
      <c r="C21" s="75"/>
      <c r="D21" s="75"/>
      <c r="E21" s="1"/>
      <c r="F21" s="75"/>
      <c r="G21" s="464" t="s">
        <v>111</v>
      </c>
      <c r="H21" s="465"/>
      <c r="I21" s="466"/>
      <c r="J21" s="480" t="s">
        <v>110</v>
      </c>
      <c r="K21" s="481"/>
      <c r="L21" s="481"/>
      <c r="M21" s="481"/>
      <c r="N21" s="482"/>
      <c r="O21" s="483" t="s">
        <v>109</v>
      </c>
      <c r="P21" s="483"/>
      <c r="Q21" s="483"/>
      <c r="R21" s="483"/>
      <c r="S21" s="484"/>
      <c r="T21" s="75"/>
      <c r="U21" s="77"/>
      <c r="V21" s="715" t="s">
        <v>108</v>
      </c>
      <c r="W21" s="716"/>
      <c r="X21" s="716"/>
      <c r="Y21" s="716"/>
      <c r="Z21" s="716"/>
      <c r="AA21" s="717"/>
      <c r="AB21" s="511" t="s">
        <v>107</v>
      </c>
      <c r="AC21" s="512"/>
      <c r="AD21" s="512"/>
      <c r="AE21" s="512"/>
      <c r="AF21" s="512"/>
      <c r="AG21" s="512"/>
      <c r="AH21" s="512"/>
      <c r="AI21" s="512" t="s">
        <v>43</v>
      </c>
      <c r="AJ21" s="512"/>
      <c r="AK21" s="512"/>
      <c r="AL21" s="512"/>
      <c r="AM21" s="512" t="s">
        <v>11</v>
      </c>
      <c r="AN21" s="512"/>
      <c r="AO21" s="512"/>
      <c r="AP21" s="702" t="s">
        <v>106</v>
      </c>
      <c r="AQ21" s="703"/>
      <c r="AR21" s="704"/>
      <c r="AS21" s="2"/>
      <c r="AT21" s="2"/>
      <c r="AU21" s="127"/>
      <c r="AV21" s="128"/>
      <c r="AW21" s="129"/>
      <c r="AX21" s="129"/>
      <c r="AY21" s="130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</row>
    <row r="22" spans="1:328" ht="15" customHeight="1" thickTop="1" thickBot="1">
      <c r="A22" s="458" t="s">
        <v>7</v>
      </c>
      <c r="B22" s="459"/>
      <c r="C22" s="459"/>
      <c r="D22" s="460"/>
      <c r="E22" s="1"/>
      <c r="F22" s="75"/>
      <c r="G22" s="467"/>
      <c r="H22" s="468"/>
      <c r="I22" s="469"/>
      <c r="J22" s="454">
        <f>IF(OR(E4="Aarakocra",E4="Gnome",E4="Gnome des Forets",E4="Gnome des Profondeurs",E4="Gnome des Roches",E4="Halfelin",E4="Halfelin Corpulent",E4="Halfelin Pied-Léger",E4="Nain",E4="Nain des Collines",E4="Nain des Montagnes"),7.5,IF(E4="Elfe des Bois",10.5,IF(AND(OR(AND(B11="moine",R11&gt;1),AND(B12="moine",R12&gt;1),AND(B13="moine",R13&gt;1)),AB15="",AB16=""),12,9)))</f>
        <v>9</v>
      </c>
      <c r="K22" s="455"/>
      <c r="L22" s="462" t="str">
        <f>"(" &amp; J22/1.5&amp;" cases)"</f>
        <v>(6 cases)</v>
      </c>
      <c r="M22" s="462"/>
      <c r="N22" s="463"/>
      <c r="O22" s="454">
        <f>IF(AND(Z37&gt;AC38,Z37&lt;AH38),J22-3,IF(Z37&gt;AH38,J22-6,J22))</f>
        <v>9</v>
      </c>
      <c r="P22" s="455"/>
      <c r="Q22" s="485" t="str">
        <f>"(" &amp; O22/1.5&amp;" cases)"</f>
        <v>(6 cases)</v>
      </c>
      <c r="R22" s="485"/>
      <c r="S22" s="486"/>
      <c r="T22" s="75"/>
      <c r="U22" s="1"/>
      <c r="V22" s="688">
        <f>IF(AND(OR(B11="Moine",B12="Moine",B13="Moine"),AB22="",AE24=""),10+A45+A24,AM22+AK24+AH25+AP25)</f>
        <v>0</v>
      </c>
      <c r="W22" s="689"/>
      <c r="X22" s="689"/>
      <c r="Y22" s="689"/>
      <c r="Z22" s="689"/>
      <c r="AA22" s="690"/>
      <c r="AB22" s="686"/>
      <c r="AC22" s="687"/>
      <c r="AD22" s="687"/>
      <c r="AE22" s="687"/>
      <c r="AF22" s="687"/>
      <c r="AG22" s="687"/>
      <c r="AH22" s="687"/>
      <c r="AI22" s="713" t="str">
        <f>Equipements!J60</f>
        <v/>
      </c>
      <c r="AJ22" s="713"/>
      <c r="AK22" s="713"/>
      <c r="AL22" s="713"/>
      <c r="AM22" s="733">
        <f>Equipements!I63</f>
        <v>0</v>
      </c>
      <c r="AN22" s="733"/>
      <c r="AO22" s="733"/>
      <c r="AP22" s="697" t="str">
        <f>IF(OR(AB22="Clibanion",AB22="Harnois"),15,IF(AB22="Cotte de mailles",13,"0"))</f>
        <v>0</v>
      </c>
      <c r="AQ22" s="698"/>
      <c r="AR22" s="699"/>
      <c r="AS22" s="2"/>
      <c r="AT22" s="2"/>
      <c r="AU22" s="127"/>
      <c r="AV22" s="128"/>
      <c r="AW22" s="129"/>
      <c r="AX22" s="129"/>
      <c r="AY22" s="130"/>
      <c r="AZ22" s="2"/>
      <c r="BA22" s="2"/>
      <c r="BB22" s="221" t="s">
        <v>272</v>
      </c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3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</row>
    <row r="23" spans="1:328" ht="15" customHeight="1" thickBot="1">
      <c r="A23" s="270" t="s">
        <v>44</v>
      </c>
      <c r="B23" s="271"/>
      <c r="C23" s="271"/>
      <c r="D23" s="272"/>
      <c r="E23" s="1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82"/>
      <c r="V23" s="691"/>
      <c r="W23" s="692"/>
      <c r="X23" s="692"/>
      <c r="Y23" s="692"/>
      <c r="Z23" s="692"/>
      <c r="AA23" s="693"/>
      <c r="AB23" s="545" t="s">
        <v>14</v>
      </c>
      <c r="AC23" s="546"/>
      <c r="AD23" s="546"/>
      <c r="AE23" s="546"/>
      <c r="AF23" s="530" t="str">
        <f>Equipements!K60</f>
        <v>0</v>
      </c>
      <c r="AG23" s="530"/>
      <c r="AH23" s="530"/>
      <c r="AI23" s="726" t="s">
        <v>104</v>
      </c>
      <c r="AJ23" s="726"/>
      <c r="AK23" s="726"/>
      <c r="AL23" s="726"/>
      <c r="AM23" s="727" t="str">
        <f>IF(OR(AB22="Armure matelassée",AB22="Armure d'écailles",AB22="Armure à plaques",AB22="Broigne",AB22="Cotte de mailles",AB22="Clibanion",AB22="Harnois"),"Désavantage","")</f>
        <v/>
      </c>
      <c r="AN23" s="728"/>
      <c r="AO23" s="728"/>
      <c r="AP23" s="728"/>
      <c r="AQ23" s="728"/>
      <c r="AR23" s="729"/>
      <c r="AS23" s="2"/>
      <c r="AT23" s="2"/>
      <c r="AU23" s="127"/>
      <c r="AV23" s="129"/>
      <c r="AW23" s="129"/>
      <c r="AX23" s="129"/>
      <c r="AY23" s="130"/>
      <c r="AZ23" s="2"/>
      <c r="BA23" s="2"/>
      <c r="BB23" s="224" t="str">
        <f>Feuil1!P29&amp;""&amp;Feuil1!P30&amp;""&amp;Feuil1!P31&amp;""&amp;Feuil1!P32</f>
        <v/>
      </c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6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</row>
    <row r="24" spans="1:328" ht="15" customHeight="1" thickTop="1" thickBot="1">
      <c r="A24" s="420">
        <f>INT(C26/2)-5</f>
        <v>-1</v>
      </c>
      <c r="B24" s="421"/>
      <c r="C24" s="421"/>
      <c r="D24" s="424"/>
      <c r="E24" s="1"/>
      <c r="F24" s="75"/>
      <c r="G24" s="476" t="s">
        <v>102</v>
      </c>
      <c r="H24" s="477"/>
      <c r="I24" s="477"/>
      <c r="J24" s="676" t="str">
        <f>Feuil1!Q33</f>
        <v/>
      </c>
      <c r="K24" s="676"/>
      <c r="L24" s="676"/>
      <c r="M24" s="676"/>
      <c r="N24" s="676"/>
      <c r="O24" s="676"/>
      <c r="P24" s="676"/>
      <c r="Q24" s="676"/>
      <c r="R24" s="676"/>
      <c r="S24" s="677"/>
      <c r="T24" s="75"/>
      <c r="U24" s="83"/>
      <c r="V24" s="691"/>
      <c r="W24" s="692"/>
      <c r="X24" s="692"/>
      <c r="Y24" s="692"/>
      <c r="Z24" s="692"/>
      <c r="AA24" s="693"/>
      <c r="AB24" s="721" t="s">
        <v>101</v>
      </c>
      <c r="AC24" s="722"/>
      <c r="AD24" s="722"/>
      <c r="AE24" s="712"/>
      <c r="AF24" s="712"/>
      <c r="AG24" s="712"/>
      <c r="AH24" s="712"/>
      <c r="AI24" s="711" t="s">
        <v>11</v>
      </c>
      <c r="AJ24" s="711"/>
      <c r="AK24" s="710" t="str">
        <f>IF(AE24="Bouclier",2,"0")</f>
        <v>0</v>
      </c>
      <c r="AL24" s="710"/>
      <c r="AM24" s="732" t="s">
        <v>14</v>
      </c>
      <c r="AN24" s="732"/>
      <c r="AO24" s="732"/>
      <c r="AP24" s="732"/>
      <c r="AQ24" s="730" t="str">
        <f>IF(AE24="Bouclier",3,"0")</f>
        <v>0</v>
      </c>
      <c r="AR24" s="731"/>
      <c r="AS24" s="2"/>
      <c r="AT24" s="2"/>
      <c r="AU24" s="127"/>
      <c r="AV24" s="128"/>
      <c r="AW24" s="129"/>
      <c r="AX24" s="129"/>
      <c r="AY24" s="130"/>
      <c r="AZ24" s="2"/>
      <c r="BA24" s="2"/>
      <c r="BB24" s="227"/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9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</row>
    <row r="25" spans="1:328" ht="15" customHeight="1" thickBot="1">
      <c r="A25" s="422"/>
      <c r="B25" s="423"/>
      <c r="C25" s="423"/>
      <c r="D25" s="425"/>
      <c r="E25" s="1"/>
      <c r="F25" s="75"/>
      <c r="G25" s="478"/>
      <c r="H25" s="479"/>
      <c r="I25" s="479"/>
      <c r="J25" s="678"/>
      <c r="K25" s="678"/>
      <c r="L25" s="678"/>
      <c r="M25" s="678"/>
      <c r="N25" s="678"/>
      <c r="O25" s="678"/>
      <c r="P25" s="678"/>
      <c r="Q25" s="678"/>
      <c r="R25" s="678"/>
      <c r="S25" s="679"/>
      <c r="T25" s="75"/>
      <c r="U25" s="84"/>
      <c r="V25" s="694"/>
      <c r="W25" s="695"/>
      <c r="X25" s="695"/>
      <c r="Y25" s="695"/>
      <c r="Z25" s="695"/>
      <c r="AA25" s="696"/>
      <c r="AB25" s="661" t="s">
        <v>100</v>
      </c>
      <c r="AC25" s="662"/>
      <c r="AD25" s="662"/>
      <c r="AE25" s="662"/>
      <c r="AF25" s="662"/>
      <c r="AG25" s="663"/>
      <c r="AH25" s="543"/>
      <c r="AI25" s="544"/>
      <c r="AJ25" s="544"/>
      <c r="AK25" s="714" t="s">
        <v>99</v>
      </c>
      <c r="AL25" s="714"/>
      <c r="AM25" s="714"/>
      <c r="AN25" s="714"/>
      <c r="AO25" s="714"/>
      <c r="AP25" s="674"/>
      <c r="AQ25" s="544"/>
      <c r="AR25" s="675"/>
      <c r="AS25" s="2"/>
      <c r="AT25" s="2"/>
      <c r="AU25" s="2"/>
      <c r="AV25" s="2"/>
      <c r="AW25" s="2"/>
      <c r="AX25" s="2"/>
      <c r="AY25" s="2"/>
      <c r="AZ25" s="2"/>
      <c r="BA25" s="2"/>
      <c r="BB25" s="227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9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</row>
    <row r="26" spans="1:328" ht="15" customHeight="1" thickBot="1">
      <c r="A26" s="73"/>
      <c r="B26" s="4"/>
      <c r="C26" s="278">
        <v>8</v>
      </c>
      <c r="D26" s="279"/>
      <c r="E26" s="1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2"/>
      <c r="AT26" s="7"/>
      <c r="AU26" s="7"/>
      <c r="AV26" s="7"/>
      <c r="AW26" s="7"/>
      <c r="AX26" s="7"/>
      <c r="AY26" s="2"/>
      <c r="AZ26" s="2"/>
      <c r="BA26" s="2"/>
      <c r="BB26" s="227"/>
      <c r="BC26" s="228"/>
      <c r="BD26" s="228"/>
      <c r="BE26" s="228"/>
      <c r="BF26" s="228"/>
      <c r="BG26" s="228"/>
      <c r="BH26" s="228"/>
      <c r="BI26" s="228"/>
      <c r="BJ26" s="228"/>
      <c r="BK26" s="228"/>
      <c r="BL26" s="228"/>
      <c r="BM26" s="228"/>
      <c r="BN26" s="228"/>
      <c r="BO26" s="228"/>
      <c r="BP26" s="229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</row>
    <row r="27" spans="1:328" ht="15" customHeight="1" thickTop="1" thickBot="1">
      <c r="A27" s="282" t="s">
        <v>47</v>
      </c>
      <c r="B27" s="283"/>
      <c r="C27" s="280"/>
      <c r="D27" s="281"/>
      <c r="E27" s="1"/>
      <c r="F27" s="75"/>
      <c r="G27" s="456" t="s">
        <v>98</v>
      </c>
      <c r="H27" s="457"/>
      <c r="I27" s="457"/>
      <c r="J27" s="457"/>
      <c r="K27" s="457"/>
      <c r="L27" s="457"/>
      <c r="M27" s="457"/>
      <c r="N27" s="457"/>
      <c r="O27" s="457"/>
      <c r="P27" s="457"/>
      <c r="Q27" s="457"/>
      <c r="R27" s="487" t="s">
        <v>44</v>
      </c>
      <c r="S27" s="488"/>
      <c r="T27" s="75"/>
      <c r="U27" s="1"/>
      <c r="V27" s="464" t="s">
        <v>97</v>
      </c>
      <c r="W27" s="465"/>
      <c r="X27" s="465"/>
      <c r="Y27" s="465"/>
      <c r="Z27" s="465"/>
      <c r="AA27" s="465"/>
      <c r="AB27" s="531" t="s">
        <v>96</v>
      </c>
      <c r="AC27" s="465"/>
      <c r="AD27" s="465"/>
      <c r="AE27" s="465"/>
      <c r="AF27" s="466"/>
      <c r="AG27" s="718" t="s">
        <v>95</v>
      </c>
      <c r="AH27" s="719"/>
      <c r="AI27" s="719"/>
      <c r="AJ27" s="719"/>
      <c r="AK27" s="719"/>
      <c r="AL27" s="719"/>
      <c r="AM27" s="720"/>
      <c r="AN27" s="547" t="s">
        <v>94</v>
      </c>
      <c r="AO27" s="548"/>
      <c r="AP27" s="548"/>
      <c r="AQ27" s="548"/>
      <c r="AR27" s="549"/>
      <c r="AS27" s="2"/>
      <c r="AT27" s="7"/>
      <c r="AU27" s="7"/>
      <c r="AV27" s="7"/>
      <c r="AW27" s="7"/>
      <c r="AX27" s="7"/>
      <c r="AY27" s="2"/>
      <c r="AZ27" s="2"/>
      <c r="BA27" s="2"/>
      <c r="BB27" s="227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9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</row>
    <row r="28" spans="1:328" ht="15" customHeight="1" thickBot="1">
      <c r="A28" s="1"/>
      <c r="B28" s="1"/>
      <c r="C28" s="75"/>
      <c r="D28" s="75"/>
      <c r="E28" s="1"/>
      <c r="F28" s="75"/>
      <c r="G28" s="489" t="s">
        <v>75</v>
      </c>
      <c r="H28" s="85" t="b">
        <v>0</v>
      </c>
      <c r="I28" s="85"/>
      <c r="J28" s="86" t="s">
        <v>93</v>
      </c>
      <c r="K28" s="86"/>
      <c r="L28" s="86"/>
      <c r="M28" s="86"/>
      <c r="N28" s="86"/>
      <c r="O28" s="84"/>
      <c r="P28" s="84"/>
      <c r="Q28" s="84"/>
      <c r="R28" s="438">
        <f>A17+IF(H28=TRUE,+AQ14)</f>
        <v>-1</v>
      </c>
      <c r="S28" s="439"/>
      <c r="T28" s="75"/>
      <c r="U28" s="1"/>
      <c r="V28" s="520"/>
      <c r="W28" s="521"/>
      <c r="X28" s="521"/>
      <c r="Y28" s="521"/>
      <c r="Z28" s="521"/>
      <c r="AA28" s="521"/>
      <c r="AB28" s="532"/>
      <c r="AC28" s="521"/>
      <c r="AD28" s="521"/>
      <c r="AE28" s="521"/>
      <c r="AF28" s="533"/>
      <c r="AG28" s="248">
        <f>SUM(Feuil1!J16:M18)</f>
        <v>0</v>
      </c>
      <c r="AH28" s="249"/>
      <c r="AI28" s="249"/>
      <c r="AJ28" s="249"/>
      <c r="AK28" s="249"/>
      <c r="AL28" s="249"/>
      <c r="AM28" s="250"/>
      <c r="AN28" s="550" t="s">
        <v>92</v>
      </c>
      <c r="AO28" s="551"/>
      <c r="AP28" s="551"/>
      <c r="AQ28" s="551"/>
      <c r="AR28" s="552"/>
      <c r="AS28" s="2"/>
      <c r="AT28" s="60"/>
      <c r="AU28" s="60"/>
      <c r="AV28" s="60"/>
      <c r="AW28" s="60"/>
      <c r="AX28" s="7"/>
      <c r="AY28" s="7"/>
      <c r="AZ28" s="2"/>
      <c r="BA28" s="2"/>
      <c r="BB28" s="227"/>
      <c r="BC28" s="228"/>
      <c r="BD28" s="228"/>
      <c r="BE28" s="228"/>
      <c r="BF28" s="228"/>
      <c r="BG28" s="228"/>
      <c r="BH28" s="228"/>
      <c r="BI28" s="228"/>
      <c r="BJ28" s="228"/>
      <c r="BK28" s="228"/>
      <c r="BL28" s="228"/>
      <c r="BM28" s="228"/>
      <c r="BN28" s="228"/>
      <c r="BO28" s="228"/>
      <c r="BP28" s="229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</row>
    <row r="29" spans="1:328" ht="15" customHeight="1" thickBot="1">
      <c r="A29" s="458" t="s">
        <v>6</v>
      </c>
      <c r="B29" s="459"/>
      <c r="C29" s="459"/>
      <c r="D29" s="460"/>
      <c r="E29" s="1"/>
      <c r="F29" s="75"/>
      <c r="G29" s="490"/>
      <c r="H29" s="87" t="b">
        <v>0</v>
      </c>
      <c r="I29" s="87"/>
      <c r="J29" s="84" t="s">
        <v>91</v>
      </c>
      <c r="K29" s="84"/>
      <c r="L29" s="84"/>
      <c r="M29" s="84"/>
      <c r="N29" s="84"/>
      <c r="O29" s="84"/>
      <c r="P29" s="84"/>
      <c r="Q29" s="84"/>
      <c r="R29" s="438">
        <f>A24+IF(H29=TRUE,+AQ14)</f>
        <v>-1</v>
      </c>
      <c r="S29" s="439"/>
      <c r="T29" s="75"/>
      <c r="U29" s="1"/>
      <c r="V29" s="522"/>
      <c r="W29" s="523"/>
      <c r="X29" s="523"/>
      <c r="Y29" s="523"/>
      <c r="Z29" s="523"/>
      <c r="AA29" s="523"/>
      <c r="AB29" s="242"/>
      <c r="AC29" s="243"/>
      <c r="AD29" s="243"/>
      <c r="AE29" s="243"/>
      <c r="AF29" s="244"/>
      <c r="AG29" s="251" t="s">
        <v>90</v>
      </c>
      <c r="AH29" s="251"/>
      <c r="AI29" s="251"/>
      <c r="AJ29" s="251"/>
      <c r="AK29" s="251"/>
      <c r="AL29" s="251"/>
      <c r="AM29" s="252"/>
      <c r="AN29" s="88"/>
      <c r="AO29" s="89"/>
      <c r="AP29" s="89"/>
      <c r="AQ29" s="89"/>
      <c r="AR29" s="90"/>
      <c r="AS29" s="2"/>
      <c r="AT29" s="2"/>
      <c r="AU29" s="2"/>
      <c r="AV29" s="2"/>
      <c r="AW29" s="2"/>
      <c r="AX29" s="2"/>
      <c r="AY29" s="2"/>
      <c r="AZ29" s="2"/>
      <c r="BA29" s="2"/>
      <c r="BB29" s="230"/>
      <c r="BC29" s="231" t="b">
        <v>0</v>
      </c>
      <c r="BD29" s="231"/>
      <c r="BE29" s="231"/>
      <c r="BF29" s="231"/>
      <c r="BG29" s="231"/>
      <c r="BH29" s="231"/>
      <c r="BI29" s="231"/>
      <c r="BJ29" s="231"/>
      <c r="BK29" s="231"/>
      <c r="BL29" s="231"/>
      <c r="BM29" s="231"/>
      <c r="BN29" s="231"/>
      <c r="BO29" s="231"/>
      <c r="BP29" s="23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</row>
    <row r="30" spans="1:328" ht="15" customHeight="1" thickBot="1">
      <c r="A30" s="270" t="s">
        <v>44</v>
      </c>
      <c r="B30" s="271"/>
      <c r="C30" s="271"/>
      <c r="D30" s="272"/>
      <c r="E30" s="1"/>
      <c r="F30" s="75"/>
      <c r="G30" s="490"/>
      <c r="H30" s="87" t="b">
        <v>0</v>
      </c>
      <c r="I30" s="87"/>
      <c r="J30" s="84" t="s">
        <v>89</v>
      </c>
      <c r="K30" s="84"/>
      <c r="L30" s="84"/>
      <c r="M30" s="84"/>
      <c r="N30" s="84"/>
      <c r="O30" s="84"/>
      <c r="P30" s="84"/>
      <c r="Q30" s="84"/>
      <c r="R30" s="438">
        <f>A31+IF(H30=TRUE,+AQ14)</f>
        <v>-1</v>
      </c>
      <c r="S30" s="439"/>
      <c r="T30" s="75"/>
      <c r="U30" s="1"/>
      <c r="V30" s="524"/>
      <c r="W30" s="525"/>
      <c r="X30" s="525"/>
      <c r="Y30" s="525"/>
      <c r="Z30" s="525"/>
      <c r="AA30" s="525"/>
      <c r="AB30" s="242"/>
      <c r="AC30" s="243"/>
      <c r="AD30" s="243"/>
      <c r="AE30" s="243"/>
      <c r="AF30" s="244"/>
      <c r="AG30" s="253"/>
      <c r="AH30" s="254"/>
      <c r="AI30" s="254"/>
      <c r="AJ30" s="254"/>
      <c r="AK30" s="254"/>
      <c r="AL30" s="254"/>
      <c r="AM30" s="255"/>
      <c r="AN30" s="657" t="s">
        <v>88</v>
      </c>
      <c r="AO30" s="658"/>
      <c r="AP30" s="658"/>
      <c r="AQ30" s="658"/>
      <c r="AR30" s="659"/>
      <c r="AS30" s="2"/>
      <c r="AT30" s="2"/>
      <c r="AU30" s="2"/>
      <c r="AV30" s="2"/>
      <c r="AW30" s="2"/>
      <c r="AX30" s="2"/>
      <c r="AY30" s="57"/>
      <c r="AZ30" s="57"/>
      <c r="BA30" s="57"/>
      <c r="BB30" s="236" t="str">
        <f>IF(E4="Drakéide","Choix de la couleur de dragon:","")</f>
        <v/>
      </c>
      <c r="BC30" s="237"/>
      <c r="BD30" s="237"/>
      <c r="BE30" s="237"/>
      <c r="BF30" s="237"/>
      <c r="BG30" s="237"/>
      <c r="BH30" s="237"/>
      <c r="BI30" s="237"/>
      <c r="BJ30" s="237"/>
      <c r="BK30" s="237"/>
      <c r="BL30" s="238"/>
      <c r="BM30" s="238"/>
      <c r="BN30" s="238"/>
      <c r="BO30" s="238"/>
      <c r="BP30" s="239"/>
      <c r="BQ30" s="213" t="str">
        <f>IF(BL30="Blanc","Froid",IF(BL30="Bleu","Foudre",IF(BL30="Noir","Acide",IF(BL30="Rouge","Feu",IF(BL30="Vert","Poison",IF(BL30="Airain","Feu",IF(BL30="Argent","Froid",IF(BL30="Bronze","Foudre",IF(BL30="Cuivre","Acide",IF(BL30="Or","Feu",""))))))))))</f>
        <v/>
      </c>
      <c r="BR30" s="214"/>
      <c r="BS30" s="214" t="str">
        <f>IF(BL30="Blanc","Cône de 4,50m (JdS de Con)",IF(BL30="Bleu","Ligne de 1,50 x 9m (JdS de Dex)",IF(BL30="Noir","Ligne de 1,50 x 9m (JdS de Dex)",IF(BL30="Rouge","Cône de 4,50m (JdS de Dex)",IF(BL30="Vert","Cône de 4,50m (JdS de Con)",IF(BL30="Airain","Ligne de 1,50 x 9m (JdS de Dex)",IF(BL30="Argent","Cône de 4,50m (JdS de Con)",IF(BL30="Bronze","Ligne de 1,50 x 9m (JdS de Dex)",IF(BL30="Cuivre","Ligne de 1,50 x 9m (JdS de Dex)",IF(BL30="Or","Cône de 4,50m (JdS de Dex)",""))))))))))</f>
        <v/>
      </c>
      <c r="BT30" s="214"/>
      <c r="BU30" s="214"/>
      <c r="BV30" s="214"/>
      <c r="BW30" s="214"/>
      <c r="BX30" s="214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</row>
    <row r="31" spans="1:328" ht="15" customHeight="1" thickBot="1">
      <c r="A31" s="420">
        <f>INT(C33/2)-5</f>
        <v>-1</v>
      </c>
      <c r="B31" s="421"/>
      <c r="C31" s="421"/>
      <c r="D31" s="424"/>
      <c r="E31" s="1"/>
      <c r="F31" s="75"/>
      <c r="G31" s="490"/>
      <c r="H31" s="87" t="b">
        <v>0</v>
      </c>
      <c r="I31" s="87"/>
      <c r="J31" s="84" t="s">
        <v>87</v>
      </c>
      <c r="K31" s="84"/>
      <c r="L31" s="84"/>
      <c r="M31" s="84"/>
      <c r="N31" s="84"/>
      <c r="O31" s="84"/>
      <c r="P31" s="84"/>
      <c r="Q31" s="84"/>
      <c r="R31" s="438">
        <f>A38+IF(H31=TRUE,+AQ14)</f>
        <v>-1</v>
      </c>
      <c r="S31" s="439"/>
      <c r="T31" s="75"/>
      <c r="U31" s="1"/>
      <c r="V31" s="526"/>
      <c r="W31" s="527"/>
      <c r="X31" s="527"/>
      <c r="Y31" s="527"/>
      <c r="Z31" s="527"/>
      <c r="AA31" s="527"/>
      <c r="AB31" s="245"/>
      <c r="AC31" s="246"/>
      <c r="AD31" s="246"/>
      <c r="AE31" s="246"/>
      <c r="AF31" s="247"/>
      <c r="AG31" s="256"/>
      <c r="AH31" s="257"/>
      <c r="AI31" s="257"/>
      <c r="AJ31" s="257"/>
      <c r="AK31" s="257"/>
      <c r="AL31" s="257"/>
      <c r="AM31" s="258"/>
      <c r="AN31" s="92"/>
      <c r="AO31" s="93"/>
      <c r="AP31" s="93"/>
      <c r="AQ31" s="93"/>
      <c r="AR31" s="94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</row>
    <row r="32" spans="1:328" ht="15" customHeight="1" thickTop="1" thickBot="1">
      <c r="A32" s="422"/>
      <c r="B32" s="423"/>
      <c r="C32" s="423"/>
      <c r="D32" s="425"/>
      <c r="E32" s="1"/>
      <c r="F32" s="75"/>
      <c r="G32" s="490"/>
      <c r="H32" s="87" t="b">
        <v>0</v>
      </c>
      <c r="I32" s="87"/>
      <c r="J32" s="84" t="s">
        <v>86</v>
      </c>
      <c r="K32" s="84"/>
      <c r="L32" s="84"/>
      <c r="M32" s="84"/>
      <c r="N32" s="84"/>
      <c r="O32" s="84"/>
      <c r="P32" s="84"/>
      <c r="Q32" s="84"/>
      <c r="R32" s="438">
        <f>A45+IF(H32=TRUE,+AQ14)</f>
        <v>-1</v>
      </c>
      <c r="S32" s="439"/>
      <c r="T32" s="75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2"/>
      <c r="AT32" s="2"/>
      <c r="AU32" s="2"/>
      <c r="AV32" s="2"/>
      <c r="AW32" s="2"/>
      <c r="AX32" s="2"/>
      <c r="AY32" s="2"/>
      <c r="AZ32" s="2"/>
      <c r="BA32" s="2"/>
      <c r="BB32" s="221" t="s">
        <v>956</v>
      </c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3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</row>
    <row r="33" spans="1:328" ht="15" customHeight="1" thickTop="1" thickBot="1">
      <c r="A33" s="73"/>
      <c r="B33" s="4"/>
      <c r="C33" s="278">
        <v>8</v>
      </c>
      <c r="D33" s="279"/>
      <c r="E33" s="1"/>
      <c r="F33" s="75"/>
      <c r="G33" s="490"/>
      <c r="H33" s="87" t="b">
        <v>0</v>
      </c>
      <c r="I33" s="87"/>
      <c r="J33" s="84" t="s">
        <v>85</v>
      </c>
      <c r="K33" s="84"/>
      <c r="L33" s="84"/>
      <c r="M33" s="84"/>
      <c r="N33" s="84"/>
      <c r="O33" s="84"/>
      <c r="P33" s="84"/>
      <c r="Q33" s="84"/>
      <c r="R33" s="438">
        <f>A52+IF(H33=TRUE,+AQ14)</f>
        <v>-1</v>
      </c>
      <c r="S33" s="439"/>
      <c r="T33" s="75"/>
      <c r="U33" s="1"/>
      <c r="V33" s="508" t="s">
        <v>84</v>
      </c>
      <c r="W33" s="509"/>
      <c r="X33" s="509"/>
      <c r="Y33" s="509"/>
      <c r="Z33" s="509"/>
      <c r="AA33" s="509"/>
      <c r="AB33" s="509"/>
      <c r="AC33" s="510"/>
      <c r="AD33" s="660" t="s">
        <v>83</v>
      </c>
      <c r="AE33" s="506"/>
      <c r="AF33" s="506"/>
      <c r="AG33" s="506" t="s">
        <v>82</v>
      </c>
      <c r="AH33" s="506"/>
      <c r="AI33" s="506"/>
      <c r="AJ33" s="506" t="s">
        <v>81</v>
      </c>
      <c r="AK33" s="506"/>
      <c r="AL33" s="506"/>
      <c r="AM33" s="506" t="s">
        <v>80</v>
      </c>
      <c r="AN33" s="506"/>
      <c r="AO33" s="506"/>
      <c r="AP33" s="506" t="s">
        <v>79</v>
      </c>
      <c r="AQ33" s="506"/>
      <c r="AR33" s="507"/>
      <c r="AS33" s="2"/>
      <c r="AT33" s="2"/>
      <c r="AU33" s="2"/>
      <c r="AV33" s="2"/>
      <c r="AW33" s="2"/>
      <c r="AX33" s="2"/>
      <c r="AY33" s="2"/>
      <c r="AZ33" s="2"/>
      <c r="BA33" s="2"/>
      <c r="BB33" s="224" t="str">
        <f>"- Jets de sauvegarde:"&amp;Feuil3!J15</f>
        <v xml:space="preserve">- Jets de sauvegarde:           </v>
      </c>
      <c r="BC33" s="225"/>
      <c r="BD33" s="225"/>
      <c r="BE33" s="225"/>
      <c r="BF33" s="225"/>
      <c r="BG33" s="225"/>
      <c r="BH33" s="225"/>
      <c r="BI33" s="225"/>
      <c r="BJ33" s="225"/>
      <c r="BK33" s="225"/>
      <c r="BL33" s="225"/>
      <c r="BM33" s="225"/>
      <c r="BN33" s="225"/>
      <c r="BO33" s="225"/>
      <c r="BP33" s="226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</row>
    <row r="34" spans="1:328" ht="15" customHeight="1" thickBot="1">
      <c r="A34" s="282" t="s">
        <v>47</v>
      </c>
      <c r="B34" s="283"/>
      <c r="C34" s="280"/>
      <c r="D34" s="281"/>
      <c r="E34" s="1"/>
      <c r="F34" s="75"/>
      <c r="G34" s="491"/>
      <c r="H34" s="95"/>
      <c r="I34" s="95"/>
      <c r="J34" s="96"/>
      <c r="K34" s="96"/>
      <c r="L34" s="96"/>
      <c r="M34" s="96"/>
      <c r="N34" s="96"/>
      <c r="O34" s="96"/>
      <c r="P34" s="96"/>
      <c r="Q34" s="96"/>
      <c r="R34" s="93"/>
      <c r="S34" s="94"/>
      <c r="T34" s="75"/>
      <c r="U34" s="1"/>
      <c r="V34" s="664">
        <f>0.01*(AD34)+0.1*(AG34)+0.5*(AJ34)+AM34+10*(AP34)</f>
        <v>0</v>
      </c>
      <c r="W34" s="665"/>
      <c r="X34" s="665"/>
      <c r="Y34" s="665"/>
      <c r="Z34" s="665"/>
      <c r="AA34" s="665"/>
      <c r="AB34" s="670" t="s">
        <v>78</v>
      </c>
      <c r="AC34" s="671"/>
      <c r="AD34" s="680"/>
      <c r="AE34" s="681"/>
      <c r="AF34" s="681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668"/>
      <c r="AS34" s="2"/>
      <c r="AT34" s="2"/>
      <c r="AU34" s="2"/>
      <c r="AV34" s="2"/>
      <c r="AW34" s="2"/>
      <c r="AX34" s="2"/>
      <c r="AY34" s="2"/>
      <c r="AZ34" s="2"/>
      <c r="BA34" s="2"/>
      <c r="BB34" s="227"/>
      <c r="BC34" s="228"/>
      <c r="BD34" s="228"/>
      <c r="BE34" s="228"/>
      <c r="BF34" s="228"/>
      <c r="BG34" s="228"/>
      <c r="BH34" s="228"/>
      <c r="BI34" s="228"/>
      <c r="BJ34" s="228"/>
      <c r="BK34" s="228"/>
      <c r="BL34" s="228"/>
      <c r="BM34" s="228"/>
      <c r="BN34" s="228"/>
      <c r="BO34" s="228"/>
      <c r="BP34" s="229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</row>
    <row r="35" spans="1:328" ht="15" customHeight="1" thickBot="1">
      <c r="A35" s="1"/>
      <c r="B35" s="1"/>
      <c r="C35" s="75"/>
      <c r="D35" s="75"/>
      <c r="E35" s="1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1"/>
      <c r="V35" s="666"/>
      <c r="W35" s="667"/>
      <c r="X35" s="667"/>
      <c r="Y35" s="667"/>
      <c r="Z35" s="667"/>
      <c r="AA35" s="667"/>
      <c r="AB35" s="672"/>
      <c r="AC35" s="673"/>
      <c r="AD35" s="682"/>
      <c r="AE35" s="683"/>
      <c r="AF35" s="683"/>
      <c r="AG35" s="260"/>
      <c r="AH35" s="260"/>
      <c r="AI35" s="260"/>
      <c r="AJ35" s="260"/>
      <c r="AK35" s="260"/>
      <c r="AL35" s="260"/>
      <c r="AM35" s="260"/>
      <c r="AN35" s="260"/>
      <c r="AO35" s="260"/>
      <c r="AP35" s="260"/>
      <c r="AQ35" s="260"/>
      <c r="AR35" s="669"/>
      <c r="AS35" s="2"/>
      <c r="AT35" s="2"/>
      <c r="AU35" s="2"/>
      <c r="AV35" s="2"/>
      <c r="AW35" s="2"/>
      <c r="AX35" s="2"/>
      <c r="AY35" s="2"/>
      <c r="AZ35" s="2"/>
      <c r="BA35" s="2"/>
      <c r="BB35" s="227"/>
      <c r="BC35" s="228"/>
      <c r="BD35" s="228"/>
      <c r="BE35" s="228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9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</row>
    <row r="36" spans="1:328" ht="15" customHeight="1" thickTop="1" thickBot="1">
      <c r="A36" s="458" t="s">
        <v>5</v>
      </c>
      <c r="B36" s="459"/>
      <c r="C36" s="459"/>
      <c r="D36" s="460"/>
      <c r="E36" s="1"/>
      <c r="F36" s="75"/>
      <c r="G36" s="456" t="s">
        <v>77</v>
      </c>
      <c r="H36" s="457"/>
      <c r="I36" s="457"/>
      <c r="J36" s="457"/>
      <c r="K36" s="457"/>
      <c r="L36" s="457"/>
      <c r="M36" s="457"/>
      <c r="N36" s="457"/>
      <c r="O36" s="457"/>
      <c r="P36" s="457"/>
      <c r="Q36" s="457"/>
      <c r="R36" s="487" t="s">
        <v>44</v>
      </c>
      <c r="S36" s="488"/>
      <c r="T36" s="7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743" t="s">
        <v>76</v>
      </c>
      <c r="AF36" s="743"/>
      <c r="AG36" s="743"/>
      <c r="AH36" s="743"/>
      <c r="AI36" s="743"/>
      <c r="AJ36" s="743"/>
      <c r="AK36" s="743"/>
      <c r="AL36" s="743"/>
      <c r="AM36" s="743"/>
      <c r="AN36" s="743"/>
      <c r="AO36" s="1"/>
      <c r="AP36" s="1"/>
      <c r="AQ36" s="1"/>
      <c r="AR36" s="1"/>
      <c r="AS36" s="2"/>
      <c r="AT36" s="2"/>
      <c r="AU36" s="2"/>
      <c r="AV36" s="2"/>
      <c r="AW36" s="2"/>
      <c r="AX36" s="2"/>
      <c r="AY36" s="2"/>
      <c r="AZ36" s="2"/>
      <c r="BA36" s="2"/>
      <c r="BB36" s="227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9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</row>
    <row r="37" spans="1:328" ht="15" customHeight="1" thickTop="1" thickBot="1">
      <c r="A37" s="270" t="s">
        <v>44</v>
      </c>
      <c r="B37" s="271"/>
      <c r="C37" s="271"/>
      <c r="D37" s="272"/>
      <c r="E37" s="1"/>
      <c r="F37" s="75"/>
      <c r="G37" s="489" t="s">
        <v>75</v>
      </c>
      <c r="H37" s="97" t="b">
        <v>0</v>
      </c>
      <c r="I37" s="98" t="b">
        <v>0</v>
      </c>
      <c r="J37" s="763" t="s">
        <v>74</v>
      </c>
      <c r="K37" s="461" t="s">
        <v>73</v>
      </c>
      <c r="L37" s="461"/>
      <c r="M37" s="461"/>
      <c r="N37" s="461"/>
      <c r="O37" s="461"/>
      <c r="P37" s="461"/>
      <c r="Q37" s="461"/>
      <c r="R37" s="438">
        <f>A17+IF(H37=TRUE,+AQ14)+IF(I37=TRUE,+AQ14)</f>
        <v>-1</v>
      </c>
      <c r="S37" s="439"/>
      <c r="T37" s="75"/>
      <c r="U37" s="1"/>
      <c r="V37" s="476" t="s">
        <v>72</v>
      </c>
      <c r="W37" s="477"/>
      <c r="X37" s="477"/>
      <c r="Y37" s="741"/>
      <c r="Z37" s="757">
        <f>AF23+AQ24+AC58+AC59+AC60+AC61+AC62+AC63+(AD41*AB41)+(AB42*AD42)+(AB43*AD43)+(AB44*AD44)+(AB45*AD45)+(AB46*AD46)+(AB47*AD47)+(AB48*AD48)+(AB49*AD49)+(AB50*AD50)+(AB51*AD51)+(AB52*AD52)+(AB53*AD53)+(AB54*AD54)+(AB55*AD55)+(AN41*AP41)+(AN42*AP42)+(AN43*AP43)+(AN44*AP44)+(AN45*AP45)+(AN46*AP46)+(AN47*AP47)+(AN48*AP48)+(AN49*AP49)+(AN50*AP50)+(AN51*AP51)+(AN52*AP52)+(AN53*AP53)+(AN54*AP54)+(AN55*AP55)+(AD34+AG34+AJ34+AM34+AP34)/100</f>
        <v>0</v>
      </c>
      <c r="AA37" s="758"/>
      <c r="AB37" s="759"/>
      <c r="AC37" s="756" t="s">
        <v>71</v>
      </c>
      <c r="AD37" s="377"/>
      <c r="AE37" s="377"/>
      <c r="AF37" s="377"/>
      <c r="AG37" s="377"/>
      <c r="AH37" s="377" t="s">
        <v>70</v>
      </c>
      <c r="AI37" s="377"/>
      <c r="AJ37" s="377"/>
      <c r="AK37" s="377"/>
      <c r="AL37" s="378"/>
      <c r="AM37" s="6"/>
      <c r="AN37" s="748" t="s">
        <v>69</v>
      </c>
      <c r="AO37" s="749"/>
      <c r="AP37" s="749"/>
      <c r="AQ37" s="749"/>
      <c r="AR37" s="750"/>
      <c r="AS37" s="2"/>
      <c r="AT37" s="2"/>
      <c r="AU37" s="2"/>
      <c r="AV37" s="2"/>
      <c r="AW37" s="2"/>
      <c r="AX37" s="2"/>
      <c r="AY37" s="2"/>
      <c r="AZ37" s="2"/>
      <c r="BA37" s="2"/>
      <c r="BB37" s="230"/>
      <c r="BC37" s="231"/>
      <c r="BD37" s="231"/>
      <c r="BE37" s="231"/>
      <c r="BF37" s="231"/>
      <c r="BG37" s="231"/>
      <c r="BH37" s="231"/>
      <c r="BI37" s="231"/>
      <c r="BJ37" s="231"/>
      <c r="BK37" s="231"/>
      <c r="BL37" s="231"/>
      <c r="BM37" s="231"/>
      <c r="BN37" s="231"/>
      <c r="BO37" s="231"/>
      <c r="BP37" s="23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</row>
    <row r="38" spans="1:328" ht="15" customHeight="1" thickBot="1">
      <c r="A38" s="420">
        <f>INT(C40/2)-5</f>
        <v>-1</v>
      </c>
      <c r="B38" s="421"/>
      <c r="C38" s="421"/>
      <c r="D38" s="424"/>
      <c r="E38" s="1"/>
      <c r="F38" s="75"/>
      <c r="G38" s="490"/>
      <c r="H38" s="99" t="b">
        <v>0</v>
      </c>
      <c r="I38" s="88" t="b">
        <v>0</v>
      </c>
      <c r="J38" s="764"/>
      <c r="K38" s="461" t="s">
        <v>68</v>
      </c>
      <c r="L38" s="461"/>
      <c r="M38" s="461"/>
      <c r="N38" s="461"/>
      <c r="O38" s="461"/>
      <c r="P38" s="461"/>
      <c r="Q38" s="461"/>
      <c r="R38" s="438">
        <f>A24+IF(H38=TRUE,+AQ14)+IF(I38=TRUE,+AQ14)</f>
        <v>-1</v>
      </c>
      <c r="S38" s="439"/>
      <c r="T38" s="75"/>
      <c r="U38" s="1"/>
      <c r="V38" s="478"/>
      <c r="W38" s="479"/>
      <c r="X38" s="479"/>
      <c r="Y38" s="742"/>
      <c r="Z38" s="760"/>
      <c r="AA38" s="761"/>
      <c r="AB38" s="762"/>
      <c r="AC38" s="735">
        <f>C19*2.5</f>
        <v>20</v>
      </c>
      <c r="AD38" s="736"/>
      <c r="AE38" s="736"/>
      <c r="AF38" s="737" t="s">
        <v>403</v>
      </c>
      <c r="AG38" s="738"/>
      <c r="AH38" s="754">
        <f>C19*5</f>
        <v>40</v>
      </c>
      <c r="AI38" s="736"/>
      <c r="AJ38" s="736"/>
      <c r="AK38" s="737" t="s">
        <v>403</v>
      </c>
      <c r="AL38" s="755"/>
      <c r="AM38" s="5"/>
      <c r="AN38" s="751" t="str">
        <f>C19*7.5 &amp; " kg"</f>
        <v>60 kg</v>
      </c>
      <c r="AO38" s="752"/>
      <c r="AP38" s="752"/>
      <c r="AQ38" s="752"/>
      <c r="AR38" s="753"/>
      <c r="AS38" s="2"/>
      <c r="AT38" s="2"/>
      <c r="AU38" s="2"/>
      <c r="AV38" s="2"/>
      <c r="AW38" s="2"/>
      <c r="AX38" s="2"/>
      <c r="AY38" s="2"/>
      <c r="AZ38" s="2"/>
      <c r="BA38" s="2"/>
      <c r="BB38" s="224" t="str">
        <f>" - Compétences Maitrisées:"&amp;Feuil3!K15</f>
        <v xml:space="preserve"> - Compétences Maitrisées:           </v>
      </c>
      <c r="BC38" s="225"/>
      <c r="BD38" s="225"/>
      <c r="BE38" s="225"/>
      <c r="BF38" s="225"/>
      <c r="BG38" s="225"/>
      <c r="BH38" s="225"/>
      <c r="BI38" s="225"/>
      <c r="BJ38" s="225"/>
      <c r="BK38" s="225"/>
      <c r="BL38" s="225"/>
      <c r="BM38" s="225"/>
      <c r="BN38" s="225"/>
      <c r="BO38" s="225"/>
      <c r="BP38" s="226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</row>
    <row r="39" spans="1:328" ht="15" customHeight="1" thickTop="1" thickBot="1">
      <c r="A39" s="422"/>
      <c r="B39" s="423"/>
      <c r="C39" s="423"/>
      <c r="D39" s="425"/>
      <c r="E39" s="1"/>
      <c r="F39" s="75"/>
      <c r="G39" s="490"/>
      <c r="H39" s="99" t="b">
        <v>0</v>
      </c>
      <c r="I39" s="88" t="b">
        <v>0</v>
      </c>
      <c r="J39" s="764"/>
      <c r="K39" s="461" t="s">
        <v>67</v>
      </c>
      <c r="L39" s="461"/>
      <c r="M39" s="461"/>
      <c r="N39" s="461"/>
      <c r="O39" s="461"/>
      <c r="P39" s="461"/>
      <c r="Q39" s="461"/>
      <c r="R39" s="438">
        <f>A24+IF(H39=TRUE,+AQ14)+IF(I39=TRUE,+AQ14)</f>
        <v>-1</v>
      </c>
      <c r="S39" s="439"/>
      <c r="T39" s="75"/>
      <c r="U39" s="1"/>
      <c r="V39" s="740"/>
      <c r="W39" s="740"/>
      <c r="X39" s="740"/>
      <c r="Y39" s="740"/>
      <c r="Z39" s="740"/>
      <c r="AA39" s="740"/>
      <c r="AB39" s="740"/>
      <c r="AC39" s="739" t="s">
        <v>66</v>
      </c>
      <c r="AD39" s="739"/>
      <c r="AE39" s="739"/>
      <c r="AF39" s="739"/>
      <c r="AG39" s="739"/>
      <c r="AH39" s="739" t="s">
        <v>65</v>
      </c>
      <c r="AI39" s="739"/>
      <c r="AJ39" s="739"/>
      <c r="AK39" s="739"/>
      <c r="AL39" s="739"/>
      <c r="AM39" s="100"/>
      <c r="AN39" s="739" t="s">
        <v>64</v>
      </c>
      <c r="AO39" s="739"/>
      <c r="AP39" s="739"/>
      <c r="AQ39" s="739"/>
      <c r="AR39" s="739"/>
      <c r="AS39" s="2"/>
      <c r="AT39" s="2"/>
      <c r="AU39" s="2"/>
      <c r="AV39" s="2"/>
      <c r="AW39" s="2"/>
      <c r="AX39" s="2"/>
      <c r="AY39" s="2"/>
      <c r="AZ39" s="2"/>
      <c r="BA39" s="2"/>
      <c r="BB39" s="227"/>
      <c r="BC39" s="228"/>
      <c r="BD39" s="228"/>
      <c r="BE39" s="228"/>
      <c r="BF39" s="228"/>
      <c r="BG39" s="228"/>
      <c r="BH39" s="228"/>
      <c r="BI39" s="228"/>
      <c r="BJ39" s="228"/>
      <c r="BK39" s="228"/>
      <c r="BL39" s="228"/>
      <c r="BM39" s="228"/>
      <c r="BN39" s="228"/>
      <c r="BO39" s="228"/>
      <c r="BP39" s="229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</row>
    <row r="40" spans="1:328" ht="15" customHeight="1" thickBot="1">
      <c r="A40" s="73"/>
      <c r="B40" s="4"/>
      <c r="C40" s="278">
        <v>8</v>
      </c>
      <c r="D40" s="279"/>
      <c r="E40" s="1"/>
      <c r="F40" s="75"/>
      <c r="G40" s="490"/>
      <c r="H40" s="99" t="b">
        <v>0</v>
      </c>
      <c r="I40" s="88" t="b">
        <v>0</v>
      </c>
      <c r="J40" s="764"/>
      <c r="K40" s="89" t="s">
        <v>63</v>
      </c>
      <c r="L40" s="89"/>
      <c r="M40" s="89"/>
      <c r="N40" s="89"/>
      <c r="O40" s="89"/>
      <c r="P40" s="89"/>
      <c r="Q40" s="89"/>
      <c r="R40" s="438">
        <f>A24+IF(H40=TRUE,+AQ14)+IF(I40=TRUE,+AQ14)</f>
        <v>-1</v>
      </c>
      <c r="S40" s="439"/>
      <c r="T40" s="75"/>
      <c r="U40" s="1"/>
      <c r="V40" s="770" t="s">
        <v>62</v>
      </c>
      <c r="W40" s="771"/>
      <c r="X40" s="771"/>
      <c r="Y40" s="771"/>
      <c r="Z40" s="771"/>
      <c r="AA40" s="771"/>
      <c r="AB40" s="382" t="s">
        <v>15</v>
      </c>
      <c r="AC40" s="266"/>
      <c r="AD40" s="264" t="s">
        <v>14</v>
      </c>
      <c r="AE40" s="265"/>
      <c r="AF40" s="266"/>
      <c r="AG40" s="101"/>
      <c r="AH40" s="770" t="s">
        <v>62</v>
      </c>
      <c r="AI40" s="771"/>
      <c r="AJ40" s="771"/>
      <c r="AK40" s="771"/>
      <c r="AL40" s="771"/>
      <c r="AM40" s="771"/>
      <c r="AN40" s="382" t="s">
        <v>15</v>
      </c>
      <c r="AO40" s="266"/>
      <c r="AP40" s="264" t="s">
        <v>14</v>
      </c>
      <c r="AQ40" s="265"/>
      <c r="AR40" s="266"/>
      <c r="AS40" s="2"/>
      <c r="AT40" s="2"/>
      <c r="AU40" s="2"/>
      <c r="AV40" s="2"/>
      <c r="AW40" s="2"/>
      <c r="AX40" s="2"/>
      <c r="AY40" s="2"/>
      <c r="AZ40" s="2"/>
      <c r="BA40" s="2"/>
      <c r="BB40" s="227"/>
      <c r="BC40" s="228"/>
      <c r="BD40" s="228"/>
      <c r="BE40" s="228"/>
      <c r="BF40" s="228"/>
      <c r="BG40" s="228"/>
      <c r="BH40" s="228"/>
      <c r="BI40" s="228"/>
      <c r="BJ40" s="228"/>
      <c r="BK40" s="228"/>
      <c r="BL40" s="228"/>
      <c r="BM40" s="228"/>
      <c r="BN40" s="228"/>
      <c r="BO40" s="228"/>
      <c r="BP40" s="229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</row>
    <row r="41" spans="1:328" ht="15" customHeight="1" thickBot="1">
      <c r="A41" s="282" t="s">
        <v>47</v>
      </c>
      <c r="B41" s="283"/>
      <c r="C41" s="280"/>
      <c r="D41" s="281"/>
      <c r="E41" s="1"/>
      <c r="F41" s="75"/>
      <c r="G41" s="490"/>
      <c r="H41" s="99" t="b">
        <v>0</v>
      </c>
      <c r="I41" s="88" t="b">
        <v>0</v>
      </c>
      <c r="J41" s="764"/>
      <c r="K41" s="461" t="s">
        <v>61</v>
      </c>
      <c r="L41" s="461"/>
      <c r="M41" s="461"/>
      <c r="N41" s="461"/>
      <c r="O41" s="461"/>
      <c r="P41" s="461"/>
      <c r="Q41" s="461"/>
      <c r="R41" s="438">
        <f>A38+IF(H41=TRUE,+AQ14)+IF(I41=TRUE,+AQ14)</f>
        <v>-1</v>
      </c>
      <c r="S41" s="439"/>
      <c r="T41" s="75"/>
      <c r="U41" s="1"/>
      <c r="V41" s="379"/>
      <c r="W41" s="380"/>
      <c r="X41" s="380"/>
      <c r="Y41" s="380"/>
      <c r="Z41" s="380"/>
      <c r="AA41" s="381"/>
      <c r="AB41" s="747"/>
      <c r="AC41" s="746"/>
      <c r="AD41" s="744"/>
      <c r="AE41" s="745"/>
      <c r="AF41" s="746"/>
      <c r="AG41" s="75"/>
      <c r="AH41" s="379"/>
      <c r="AI41" s="380"/>
      <c r="AJ41" s="380"/>
      <c r="AK41" s="380"/>
      <c r="AL41" s="380"/>
      <c r="AM41" s="381"/>
      <c r="AN41" s="747"/>
      <c r="AO41" s="746"/>
      <c r="AP41" s="744"/>
      <c r="AQ41" s="745"/>
      <c r="AR41" s="746"/>
      <c r="AS41" s="2"/>
      <c r="AT41" s="2"/>
      <c r="AU41" s="2"/>
      <c r="AV41" s="2"/>
      <c r="AW41" s="2"/>
      <c r="AX41" s="2"/>
      <c r="AY41" s="2"/>
      <c r="AZ41" s="2"/>
      <c r="BA41" s="2"/>
      <c r="BB41" s="227"/>
      <c r="BC41" s="228"/>
      <c r="BD41" s="228"/>
      <c r="BE41" s="228"/>
      <c r="BF41" s="228"/>
      <c r="BG41" s="228"/>
      <c r="BH41" s="228"/>
      <c r="BI41" s="228"/>
      <c r="BJ41" s="228"/>
      <c r="BK41" s="228"/>
      <c r="BL41" s="228"/>
      <c r="BM41" s="228"/>
      <c r="BN41" s="228"/>
      <c r="BO41" s="228"/>
      <c r="BP41" s="229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</row>
    <row r="42" spans="1:328" ht="15" customHeight="1" thickBot="1">
      <c r="A42" s="1"/>
      <c r="B42" s="1"/>
      <c r="C42" s="75"/>
      <c r="D42" s="75"/>
      <c r="E42" s="1"/>
      <c r="F42" s="75"/>
      <c r="G42" s="490"/>
      <c r="H42" s="99" t="b">
        <v>0</v>
      </c>
      <c r="I42" s="88" t="b">
        <v>0</v>
      </c>
      <c r="J42" s="764"/>
      <c r="K42" s="461" t="s">
        <v>60</v>
      </c>
      <c r="L42" s="461"/>
      <c r="M42" s="461"/>
      <c r="N42" s="461"/>
      <c r="O42" s="461"/>
      <c r="P42" s="461"/>
      <c r="Q42" s="461"/>
      <c r="R42" s="438">
        <f>A38+IF(H42=TRUE,+AQ14)+IF(I42=TRUE,+AQ14)</f>
        <v>-1</v>
      </c>
      <c r="S42" s="439"/>
      <c r="T42" s="75"/>
      <c r="U42" s="1"/>
      <c r="V42" s="440"/>
      <c r="W42" s="410"/>
      <c r="X42" s="410"/>
      <c r="Y42" s="410"/>
      <c r="Z42" s="410"/>
      <c r="AA42" s="441"/>
      <c r="AB42" s="734"/>
      <c r="AC42" s="263"/>
      <c r="AD42" s="261"/>
      <c r="AE42" s="262"/>
      <c r="AF42" s="263"/>
      <c r="AG42" s="75"/>
      <c r="AH42" s="440"/>
      <c r="AI42" s="410"/>
      <c r="AJ42" s="410"/>
      <c r="AK42" s="410"/>
      <c r="AL42" s="410"/>
      <c r="AM42" s="441"/>
      <c r="AN42" s="734"/>
      <c r="AO42" s="263"/>
      <c r="AP42" s="261"/>
      <c r="AQ42" s="262"/>
      <c r="AR42" s="263"/>
      <c r="AS42" s="2"/>
      <c r="AT42" s="2"/>
      <c r="AU42" s="2"/>
      <c r="AV42" s="2"/>
      <c r="AW42" s="2"/>
      <c r="AX42" s="2"/>
      <c r="AY42" s="2"/>
      <c r="AZ42" s="2"/>
      <c r="BA42" s="2"/>
      <c r="BB42" s="227"/>
      <c r="BC42" s="228"/>
      <c r="BD42" s="228"/>
      <c r="BE42" s="228"/>
      <c r="BF42" s="228"/>
      <c r="BG42" s="228"/>
      <c r="BH42" s="228"/>
      <c r="BI42" s="228"/>
      <c r="BJ42" s="228"/>
      <c r="BK42" s="228"/>
      <c r="BL42" s="228"/>
      <c r="BM42" s="228"/>
      <c r="BN42" s="228"/>
      <c r="BO42" s="228"/>
      <c r="BP42" s="229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</row>
    <row r="43" spans="1:328" ht="15" customHeight="1" thickBot="1">
      <c r="A43" s="458" t="s">
        <v>4</v>
      </c>
      <c r="B43" s="459"/>
      <c r="C43" s="459"/>
      <c r="D43" s="460"/>
      <c r="E43" s="1"/>
      <c r="F43" s="75"/>
      <c r="G43" s="490"/>
      <c r="H43" s="99" t="b">
        <v>0</v>
      </c>
      <c r="I43" s="88" t="b">
        <v>0</v>
      </c>
      <c r="J43" s="764"/>
      <c r="K43" s="461" t="s">
        <v>59</v>
      </c>
      <c r="L43" s="461"/>
      <c r="M43" s="461"/>
      <c r="N43" s="461"/>
      <c r="O43" s="461"/>
      <c r="P43" s="461"/>
      <c r="Q43" s="461"/>
      <c r="R43" s="438">
        <f>A38+IF(H43=TRUE,+AQ14)+IF(I43=TRUE,+AQ14)</f>
        <v>-1</v>
      </c>
      <c r="S43" s="439"/>
      <c r="T43" s="75"/>
      <c r="U43" s="1"/>
      <c r="V43" s="440"/>
      <c r="W43" s="410"/>
      <c r="X43" s="410"/>
      <c r="Y43" s="410"/>
      <c r="Z43" s="410"/>
      <c r="AA43" s="441"/>
      <c r="AB43" s="734"/>
      <c r="AC43" s="263"/>
      <c r="AD43" s="261"/>
      <c r="AE43" s="262"/>
      <c r="AF43" s="263"/>
      <c r="AG43" s="75"/>
      <c r="AH43" s="440"/>
      <c r="AI43" s="410"/>
      <c r="AJ43" s="410"/>
      <c r="AK43" s="410"/>
      <c r="AL43" s="410"/>
      <c r="AM43" s="441"/>
      <c r="AN43" s="734"/>
      <c r="AO43" s="263"/>
      <c r="AP43" s="261"/>
      <c r="AQ43" s="262"/>
      <c r="AR43" s="263"/>
      <c r="AS43" s="2"/>
      <c r="AT43" s="2"/>
      <c r="AU43" s="2"/>
      <c r="AV43" s="2"/>
      <c r="AW43" s="2"/>
      <c r="AX43" s="2"/>
      <c r="AY43" s="2"/>
      <c r="AZ43" s="2"/>
      <c r="BA43" s="2"/>
      <c r="BB43" s="227"/>
      <c r="BC43" s="228"/>
      <c r="BD43" s="228"/>
      <c r="BE43" s="228"/>
      <c r="BF43" s="228"/>
      <c r="BG43" s="228"/>
      <c r="BH43" s="228"/>
      <c r="BI43" s="228"/>
      <c r="BJ43" s="228"/>
      <c r="BK43" s="228"/>
      <c r="BL43" s="228"/>
      <c r="BM43" s="228"/>
      <c r="BN43" s="228"/>
      <c r="BO43" s="228"/>
      <c r="BP43" s="229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</row>
    <row r="44" spans="1:328" ht="15" customHeight="1" thickBot="1">
      <c r="A44" s="270" t="s">
        <v>44</v>
      </c>
      <c r="B44" s="271"/>
      <c r="C44" s="271"/>
      <c r="D44" s="272"/>
      <c r="E44" s="1"/>
      <c r="F44" s="75"/>
      <c r="G44" s="490"/>
      <c r="H44" s="99" t="b">
        <v>0</v>
      </c>
      <c r="I44" s="88" t="b">
        <v>0</v>
      </c>
      <c r="J44" s="764"/>
      <c r="K44" s="461" t="s">
        <v>58</v>
      </c>
      <c r="L44" s="461"/>
      <c r="M44" s="461"/>
      <c r="N44" s="461"/>
      <c r="O44" s="461"/>
      <c r="P44" s="461"/>
      <c r="Q44" s="461"/>
      <c r="R44" s="438">
        <f>A38+IF(H44=TRUE,+AQ14)+IF(I44=TRUE,+AQ14)</f>
        <v>-1</v>
      </c>
      <c r="S44" s="439"/>
      <c r="T44" s="75"/>
      <c r="U44" s="1"/>
      <c r="V44" s="440"/>
      <c r="W44" s="410"/>
      <c r="X44" s="410"/>
      <c r="Y44" s="410"/>
      <c r="Z44" s="410"/>
      <c r="AA44" s="441"/>
      <c r="AB44" s="734"/>
      <c r="AC44" s="263"/>
      <c r="AD44" s="261"/>
      <c r="AE44" s="262"/>
      <c r="AF44" s="263"/>
      <c r="AG44" s="75"/>
      <c r="AH44" s="440"/>
      <c r="AI44" s="410"/>
      <c r="AJ44" s="410"/>
      <c r="AK44" s="410"/>
      <c r="AL44" s="410"/>
      <c r="AM44" s="441"/>
      <c r="AN44" s="734"/>
      <c r="AO44" s="263"/>
      <c r="AP44" s="261"/>
      <c r="AQ44" s="262"/>
      <c r="AR44" s="263"/>
      <c r="AS44" s="2"/>
      <c r="AT44" s="2"/>
      <c r="AU44" s="2"/>
      <c r="AV44" s="2"/>
      <c r="AW44" s="2"/>
      <c r="AX44" s="2"/>
      <c r="AY44" s="2"/>
      <c r="AZ44" s="2"/>
      <c r="BA44" s="2"/>
      <c r="BB44" s="227"/>
      <c r="BC44" s="228"/>
      <c r="BD44" s="228"/>
      <c r="BE44" s="228"/>
      <c r="BF44" s="228"/>
      <c r="BG44" s="228"/>
      <c r="BH44" s="228"/>
      <c r="BI44" s="228"/>
      <c r="BJ44" s="228"/>
      <c r="BK44" s="228"/>
      <c r="BL44" s="228"/>
      <c r="BM44" s="228"/>
      <c r="BN44" s="228"/>
      <c r="BO44" s="228"/>
      <c r="BP44" s="229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</row>
    <row r="45" spans="1:328" ht="15" customHeight="1">
      <c r="A45" s="420">
        <f>INT(C47/2)-5</f>
        <v>-1</v>
      </c>
      <c r="B45" s="421"/>
      <c r="C45" s="421"/>
      <c r="D45" s="424"/>
      <c r="E45" s="1"/>
      <c r="F45" s="75"/>
      <c r="G45" s="490"/>
      <c r="H45" s="99" t="b">
        <v>0</v>
      </c>
      <c r="I45" s="88" t="b">
        <v>0</v>
      </c>
      <c r="J45" s="764"/>
      <c r="K45" s="461" t="s">
        <v>57</v>
      </c>
      <c r="L45" s="461"/>
      <c r="M45" s="461"/>
      <c r="N45" s="461"/>
      <c r="O45" s="461"/>
      <c r="P45" s="461"/>
      <c r="Q45" s="461"/>
      <c r="R45" s="438">
        <f>A38+IF(H45=TRUE,+AQ14)+IF(I45=TRUE,+AQ14)</f>
        <v>-1</v>
      </c>
      <c r="S45" s="439"/>
      <c r="T45" s="75"/>
      <c r="U45" s="1"/>
      <c r="V45" s="440"/>
      <c r="W45" s="410"/>
      <c r="X45" s="410"/>
      <c r="Y45" s="410"/>
      <c r="Z45" s="410"/>
      <c r="AA45" s="441"/>
      <c r="AB45" s="734"/>
      <c r="AC45" s="263"/>
      <c r="AD45" s="261"/>
      <c r="AE45" s="262"/>
      <c r="AF45" s="263"/>
      <c r="AG45" s="75"/>
      <c r="AH45" s="440"/>
      <c r="AI45" s="410"/>
      <c r="AJ45" s="410"/>
      <c r="AK45" s="410"/>
      <c r="AL45" s="410"/>
      <c r="AM45" s="441"/>
      <c r="AN45" s="734"/>
      <c r="AO45" s="263"/>
      <c r="AP45" s="261"/>
      <c r="AQ45" s="262"/>
      <c r="AR45" s="263"/>
      <c r="AS45" s="2"/>
      <c r="AT45" s="2"/>
      <c r="AU45" s="2"/>
      <c r="AV45" s="2"/>
      <c r="AW45" s="2"/>
      <c r="AX45" s="2"/>
      <c r="AY45" s="2"/>
      <c r="AZ45" s="2"/>
      <c r="BA45" s="2"/>
      <c r="BB45" s="227"/>
      <c r="BC45" s="228"/>
      <c r="BD45" s="228"/>
      <c r="BE45" s="228"/>
      <c r="BF45" s="228"/>
      <c r="BG45" s="228"/>
      <c r="BH45" s="228"/>
      <c r="BI45" s="228"/>
      <c r="BJ45" s="228"/>
      <c r="BK45" s="228"/>
      <c r="BL45" s="228"/>
      <c r="BM45" s="228"/>
      <c r="BN45" s="228"/>
      <c r="BO45" s="228"/>
      <c r="BP45" s="229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</row>
    <row r="46" spans="1:328" ht="15" customHeight="1" thickBot="1">
      <c r="A46" s="422"/>
      <c r="B46" s="423"/>
      <c r="C46" s="423"/>
      <c r="D46" s="425"/>
      <c r="E46" s="1"/>
      <c r="F46" s="75"/>
      <c r="G46" s="490"/>
      <c r="H46" s="99" t="b">
        <v>0</v>
      </c>
      <c r="I46" s="88" t="b">
        <v>0</v>
      </c>
      <c r="J46" s="764"/>
      <c r="K46" s="461" t="s">
        <v>56</v>
      </c>
      <c r="L46" s="461"/>
      <c r="M46" s="461"/>
      <c r="N46" s="461"/>
      <c r="O46" s="461"/>
      <c r="P46" s="461"/>
      <c r="Q46" s="461"/>
      <c r="R46" s="438">
        <f>A45+IF(H46=TRUE,+AQ14)+IF(I46=TRUE,+AQ14)</f>
        <v>-1</v>
      </c>
      <c r="S46" s="439"/>
      <c r="T46" s="75"/>
      <c r="U46" s="1"/>
      <c r="V46" s="440"/>
      <c r="W46" s="410"/>
      <c r="X46" s="410"/>
      <c r="Y46" s="410"/>
      <c r="Z46" s="410"/>
      <c r="AA46" s="441"/>
      <c r="AB46" s="734"/>
      <c r="AC46" s="263"/>
      <c r="AD46" s="261"/>
      <c r="AE46" s="262"/>
      <c r="AF46" s="263"/>
      <c r="AG46" s="75"/>
      <c r="AH46" s="440"/>
      <c r="AI46" s="410"/>
      <c r="AJ46" s="410"/>
      <c r="AK46" s="410"/>
      <c r="AL46" s="410"/>
      <c r="AM46" s="441"/>
      <c r="AN46" s="734"/>
      <c r="AO46" s="263"/>
      <c r="AP46" s="261"/>
      <c r="AQ46" s="262"/>
      <c r="AR46" s="263"/>
      <c r="AS46" s="2"/>
      <c r="AT46" s="2"/>
      <c r="AU46" s="2"/>
      <c r="AV46" s="2"/>
      <c r="AW46" s="2"/>
      <c r="AX46" s="57"/>
      <c r="AY46" s="2"/>
      <c r="AZ46" s="2"/>
      <c r="BA46" s="2"/>
      <c r="BB46" s="227"/>
      <c r="BC46" s="228"/>
      <c r="BD46" s="228"/>
      <c r="BE46" s="228"/>
      <c r="BF46" s="228"/>
      <c r="BG46" s="228"/>
      <c r="BH46" s="228"/>
      <c r="BI46" s="228"/>
      <c r="BJ46" s="228"/>
      <c r="BK46" s="228"/>
      <c r="BL46" s="228"/>
      <c r="BM46" s="228"/>
      <c r="BN46" s="228"/>
      <c r="BO46" s="228"/>
      <c r="BP46" s="229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</row>
    <row r="47" spans="1:328" ht="15" customHeight="1" thickBot="1">
      <c r="A47" s="73"/>
      <c r="B47" s="4"/>
      <c r="C47" s="278">
        <v>8</v>
      </c>
      <c r="D47" s="279"/>
      <c r="E47" s="1"/>
      <c r="F47" s="75"/>
      <c r="G47" s="490"/>
      <c r="H47" s="99" t="b">
        <v>0</v>
      </c>
      <c r="I47" s="88" t="b">
        <v>0</v>
      </c>
      <c r="J47" s="764"/>
      <c r="K47" s="461" t="s">
        <v>55</v>
      </c>
      <c r="L47" s="461"/>
      <c r="M47" s="461"/>
      <c r="N47" s="461"/>
      <c r="O47" s="461"/>
      <c r="P47" s="461"/>
      <c r="Q47" s="461"/>
      <c r="R47" s="438">
        <f>A45+IF(H47=TRUE,+AQ14)+IF(I47=TRUE,+AQ14)</f>
        <v>-1</v>
      </c>
      <c r="S47" s="439"/>
      <c r="T47" s="75"/>
      <c r="U47" s="1"/>
      <c r="V47" s="440"/>
      <c r="W47" s="410"/>
      <c r="X47" s="410"/>
      <c r="Y47" s="410"/>
      <c r="Z47" s="410"/>
      <c r="AA47" s="441"/>
      <c r="AB47" s="734"/>
      <c r="AC47" s="263"/>
      <c r="AD47" s="261"/>
      <c r="AE47" s="262"/>
      <c r="AF47" s="263"/>
      <c r="AG47" s="75"/>
      <c r="AH47" s="440"/>
      <c r="AI47" s="410"/>
      <c r="AJ47" s="410"/>
      <c r="AK47" s="410"/>
      <c r="AL47" s="410"/>
      <c r="AM47" s="441"/>
      <c r="AN47" s="734"/>
      <c r="AO47" s="263"/>
      <c r="AP47" s="261"/>
      <c r="AQ47" s="262"/>
      <c r="AR47" s="263"/>
      <c r="AS47" s="2"/>
      <c r="AT47" s="2"/>
      <c r="AU47" s="2"/>
      <c r="AV47" s="2"/>
      <c r="AW47" s="2"/>
      <c r="AX47" s="2"/>
      <c r="AY47" s="2"/>
      <c r="AZ47" s="2"/>
      <c r="BA47" s="2"/>
      <c r="BB47" s="233"/>
      <c r="BC47" s="234"/>
      <c r="BD47" s="234"/>
      <c r="BE47" s="234"/>
      <c r="BF47" s="234"/>
      <c r="BG47" s="234"/>
      <c r="BH47" s="234"/>
      <c r="BI47" s="234"/>
      <c r="BJ47" s="234"/>
      <c r="BK47" s="234"/>
      <c r="BL47" s="234"/>
      <c r="BM47" s="234"/>
      <c r="BN47" s="234"/>
      <c r="BO47" s="234"/>
      <c r="BP47" s="235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</row>
    <row r="48" spans="1:328" ht="15" customHeight="1" thickTop="1" thickBot="1">
      <c r="A48" s="282" t="s">
        <v>47</v>
      </c>
      <c r="B48" s="283"/>
      <c r="C48" s="280"/>
      <c r="D48" s="281"/>
      <c r="E48" s="1"/>
      <c r="F48" s="75"/>
      <c r="G48" s="490"/>
      <c r="H48" s="99" t="b">
        <v>0</v>
      </c>
      <c r="I48" s="88" t="b">
        <v>0</v>
      </c>
      <c r="J48" s="764"/>
      <c r="K48" s="461" t="s">
        <v>54</v>
      </c>
      <c r="L48" s="461"/>
      <c r="M48" s="461"/>
      <c r="N48" s="461"/>
      <c r="O48" s="461"/>
      <c r="P48" s="461"/>
      <c r="Q48" s="461"/>
      <c r="R48" s="438">
        <f>A45+IF(H48=TRUE,+AQ14)+IF(I48=TRUE,+AQ14)</f>
        <v>-1</v>
      </c>
      <c r="S48" s="439"/>
      <c r="T48" s="75"/>
      <c r="U48" s="1"/>
      <c r="V48" s="440"/>
      <c r="W48" s="410"/>
      <c r="X48" s="410"/>
      <c r="Y48" s="410"/>
      <c r="Z48" s="410"/>
      <c r="AA48" s="441"/>
      <c r="AB48" s="734"/>
      <c r="AC48" s="263"/>
      <c r="AD48" s="261"/>
      <c r="AE48" s="262"/>
      <c r="AF48" s="263"/>
      <c r="AG48" s="75"/>
      <c r="AH48" s="440"/>
      <c r="AI48" s="410"/>
      <c r="AJ48" s="410"/>
      <c r="AK48" s="410"/>
      <c r="AL48" s="410"/>
      <c r="AM48" s="441"/>
      <c r="AN48" s="734"/>
      <c r="AO48" s="263"/>
      <c r="AP48" s="261"/>
      <c r="AQ48" s="262"/>
      <c r="AR48" s="263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</row>
    <row r="49" spans="1:328" ht="15" customHeight="1" thickBot="1">
      <c r="A49" s="1"/>
      <c r="B49" s="1"/>
      <c r="C49" s="75"/>
      <c r="D49" s="75"/>
      <c r="E49" s="1"/>
      <c r="F49" s="75"/>
      <c r="G49" s="490"/>
      <c r="H49" s="99" t="b">
        <v>0</v>
      </c>
      <c r="I49" s="88" t="b">
        <v>0</v>
      </c>
      <c r="J49" s="764"/>
      <c r="K49" s="461" t="s">
        <v>53</v>
      </c>
      <c r="L49" s="461"/>
      <c r="M49" s="461"/>
      <c r="N49" s="461"/>
      <c r="O49" s="461"/>
      <c r="P49" s="461"/>
      <c r="Q49" s="461"/>
      <c r="R49" s="438">
        <f>A45+IF(H49=TRUE,+AQ14)+IF(I49=TRUE,+AQ14)</f>
        <v>-1</v>
      </c>
      <c r="S49" s="439"/>
      <c r="T49" s="75"/>
      <c r="U49" s="1"/>
      <c r="V49" s="440"/>
      <c r="W49" s="410"/>
      <c r="X49" s="410"/>
      <c r="Y49" s="410"/>
      <c r="Z49" s="410"/>
      <c r="AA49" s="441"/>
      <c r="AB49" s="734"/>
      <c r="AC49" s="263"/>
      <c r="AD49" s="261"/>
      <c r="AE49" s="262"/>
      <c r="AF49" s="263"/>
      <c r="AG49" s="75"/>
      <c r="AH49" s="440"/>
      <c r="AI49" s="410"/>
      <c r="AJ49" s="410"/>
      <c r="AK49" s="410"/>
      <c r="AL49" s="410"/>
      <c r="AM49" s="441"/>
      <c r="AN49" s="734"/>
      <c r="AO49" s="263"/>
      <c r="AP49" s="261"/>
      <c r="AQ49" s="262"/>
      <c r="AR49" s="263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</row>
    <row r="50" spans="1:328" ht="15" customHeight="1" thickBot="1">
      <c r="A50" s="458" t="s">
        <v>3</v>
      </c>
      <c r="B50" s="459"/>
      <c r="C50" s="459"/>
      <c r="D50" s="460"/>
      <c r="E50" s="1"/>
      <c r="F50" s="75"/>
      <c r="G50" s="490"/>
      <c r="H50" s="99" t="b">
        <v>0</v>
      </c>
      <c r="I50" s="88" t="b">
        <v>0</v>
      </c>
      <c r="J50" s="764"/>
      <c r="K50" s="461" t="s">
        <v>52</v>
      </c>
      <c r="L50" s="461"/>
      <c r="M50" s="461"/>
      <c r="N50" s="461"/>
      <c r="O50" s="461"/>
      <c r="P50" s="461"/>
      <c r="Q50" s="461"/>
      <c r="R50" s="438">
        <f>A45+IF(H50=TRUE,+AQ14)+IF(I50=TRUE,+AQ14)</f>
        <v>-1</v>
      </c>
      <c r="S50" s="439"/>
      <c r="T50" s="75"/>
      <c r="U50" s="1"/>
      <c r="V50" s="440"/>
      <c r="W50" s="410"/>
      <c r="X50" s="410"/>
      <c r="Y50" s="410"/>
      <c r="Z50" s="410"/>
      <c r="AA50" s="441"/>
      <c r="AB50" s="734"/>
      <c r="AC50" s="263"/>
      <c r="AD50" s="261"/>
      <c r="AE50" s="262"/>
      <c r="AF50" s="263"/>
      <c r="AG50" s="75"/>
      <c r="AH50" s="440"/>
      <c r="AI50" s="410"/>
      <c r="AJ50" s="410"/>
      <c r="AK50" s="410"/>
      <c r="AL50" s="410"/>
      <c r="AM50" s="441"/>
      <c r="AN50" s="734"/>
      <c r="AO50" s="263"/>
      <c r="AP50" s="261"/>
      <c r="AQ50" s="262"/>
      <c r="AR50" s="263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</row>
    <row r="51" spans="1:328" ht="15" customHeight="1" thickBot="1">
      <c r="A51" s="270" t="s">
        <v>44</v>
      </c>
      <c r="B51" s="271"/>
      <c r="C51" s="271"/>
      <c r="D51" s="272"/>
      <c r="E51" s="1"/>
      <c r="F51" s="75"/>
      <c r="G51" s="490"/>
      <c r="H51" s="99" t="b">
        <v>0</v>
      </c>
      <c r="I51" s="88" t="b">
        <v>0</v>
      </c>
      <c r="J51" s="764"/>
      <c r="K51" s="461" t="s">
        <v>51</v>
      </c>
      <c r="L51" s="461"/>
      <c r="M51" s="461"/>
      <c r="N51" s="461"/>
      <c r="O51" s="461"/>
      <c r="P51" s="461"/>
      <c r="Q51" s="461"/>
      <c r="R51" s="438">
        <f>A52+IF(H51=TRUE,+AQ14)+IF(I51=TRUE,+AQ14)</f>
        <v>-1</v>
      </c>
      <c r="S51" s="439"/>
      <c r="T51" s="75"/>
      <c r="U51" s="1"/>
      <c r="V51" s="440"/>
      <c r="W51" s="410"/>
      <c r="X51" s="410"/>
      <c r="Y51" s="410"/>
      <c r="Z51" s="410"/>
      <c r="AA51" s="441"/>
      <c r="AB51" s="734"/>
      <c r="AC51" s="263"/>
      <c r="AD51" s="261"/>
      <c r="AE51" s="262"/>
      <c r="AF51" s="263"/>
      <c r="AG51" s="75"/>
      <c r="AH51" s="440"/>
      <c r="AI51" s="410"/>
      <c r="AJ51" s="410"/>
      <c r="AK51" s="410"/>
      <c r="AL51" s="410"/>
      <c r="AM51" s="441"/>
      <c r="AN51" s="734"/>
      <c r="AO51" s="263"/>
      <c r="AP51" s="261"/>
      <c r="AQ51" s="262"/>
      <c r="AR51" s="263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</row>
    <row r="52" spans="1:328" ht="15" customHeight="1">
      <c r="A52" s="420">
        <f>INT(C54/2)-5</f>
        <v>-1</v>
      </c>
      <c r="B52" s="421"/>
      <c r="C52" s="421"/>
      <c r="D52" s="424"/>
      <c r="E52" s="1"/>
      <c r="F52" s="75"/>
      <c r="G52" s="490"/>
      <c r="H52" s="99" t="b">
        <v>0</v>
      </c>
      <c r="I52" s="88" t="b">
        <v>0</v>
      </c>
      <c r="J52" s="764"/>
      <c r="K52" s="461" t="s">
        <v>50</v>
      </c>
      <c r="L52" s="461"/>
      <c r="M52" s="461"/>
      <c r="N52" s="461"/>
      <c r="O52" s="461"/>
      <c r="P52" s="461"/>
      <c r="Q52" s="461"/>
      <c r="R52" s="438">
        <f>A52+IF(H52=TRUE,+AQ14)+IF(I52=TRUE,+AQ14)</f>
        <v>-1</v>
      </c>
      <c r="S52" s="439"/>
      <c r="T52" s="75"/>
      <c r="U52" s="1"/>
      <c r="V52" s="440"/>
      <c r="W52" s="410"/>
      <c r="X52" s="410"/>
      <c r="Y52" s="410"/>
      <c r="Z52" s="410"/>
      <c r="AA52" s="441"/>
      <c r="AB52" s="734"/>
      <c r="AC52" s="263"/>
      <c r="AD52" s="261"/>
      <c r="AE52" s="262"/>
      <c r="AF52" s="263"/>
      <c r="AG52" s="102"/>
      <c r="AH52" s="440"/>
      <c r="AI52" s="410"/>
      <c r="AJ52" s="410"/>
      <c r="AK52" s="410"/>
      <c r="AL52" s="410"/>
      <c r="AM52" s="441"/>
      <c r="AN52" s="734"/>
      <c r="AO52" s="263"/>
      <c r="AP52" s="261"/>
      <c r="AQ52" s="262"/>
      <c r="AR52" s="263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</row>
    <row r="53" spans="1:328" ht="15" customHeight="1" thickBot="1">
      <c r="A53" s="422"/>
      <c r="B53" s="423"/>
      <c r="C53" s="423"/>
      <c r="D53" s="425"/>
      <c r="E53" s="1"/>
      <c r="F53" s="75"/>
      <c r="G53" s="490"/>
      <c r="H53" s="99" t="b">
        <v>0</v>
      </c>
      <c r="I53" s="88" t="b">
        <v>0</v>
      </c>
      <c r="J53" s="764"/>
      <c r="K53" s="461" t="s">
        <v>49</v>
      </c>
      <c r="L53" s="461"/>
      <c r="M53" s="461"/>
      <c r="N53" s="461"/>
      <c r="O53" s="461"/>
      <c r="P53" s="461"/>
      <c r="Q53" s="461"/>
      <c r="R53" s="438">
        <f>A52+IF(H53=TRUE,+AQ14)+IF(I53=TRUE,+AQ14)</f>
        <v>-1</v>
      </c>
      <c r="S53" s="439"/>
      <c r="T53" s="75"/>
      <c r="U53" s="1"/>
      <c r="V53" s="440"/>
      <c r="W53" s="410"/>
      <c r="X53" s="410"/>
      <c r="Y53" s="410"/>
      <c r="Z53" s="410"/>
      <c r="AA53" s="441"/>
      <c r="AB53" s="734"/>
      <c r="AC53" s="263"/>
      <c r="AD53" s="261"/>
      <c r="AE53" s="262"/>
      <c r="AF53" s="263"/>
      <c r="AG53" s="75"/>
      <c r="AH53" s="440"/>
      <c r="AI53" s="410"/>
      <c r="AJ53" s="410"/>
      <c r="AK53" s="410"/>
      <c r="AL53" s="410"/>
      <c r="AM53" s="441"/>
      <c r="AN53" s="734"/>
      <c r="AO53" s="263"/>
      <c r="AP53" s="261"/>
      <c r="AQ53" s="262"/>
      <c r="AR53" s="263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</row>
    <row r="54" spans="1:328" ht="15" customHeight="1" thickBot="1">
      <c r="A54" s="73"/>
      <c r="B54" s="4"/>
      <c r="C54" s="278">
        <v>8</v>
      </c>
      <c r="D54" s="279"/>
      <c r="E54" s="1"/>
      <c r="F54" s="75"/>
      <c r="G54" s="490"/>
      <c r="H54" s="99" t="b">
        <v>0</v>
      </c>
      <c r="I54" s="88" t="b">
        <v>0</v>
      </c>
      <c r="J54" s="764"/>
      <c r="K54" s="461" t="s">
        <v>48</v>
      </c>
      <c r="L54" s="461"/>
      <c r="M54" s="461"/>
      <c r="N54" s="461"/>
      <c r="O54" s="461"/>
      <c r="P54" s="461"/>
      <c r="Q54" s="461"/>
      <c r="R54" s="438">
        <f>A52+IF(H54=TRUE,+AQ14)+IF(I54=TRUE,+AQ14)</f>
        <v>-1</v>
      </c>
      <c r="S54" s="439"/>
      <c r="T54" s="75"/>
      <c r="U54" s="1"/>
      <c r="V54" s="440"/>
      <c r="W54" s="410"/>
      <c r="X54" s="410"/>
      <c r="Y54" s="410"/>
      <c r="Z54" s="410"/>
      <c r="AA54" s="441"/>
      <c r="AB54" s="734"/>
      <c r="AC54" s="263"/>
      <c r="AD54" s="261"/>
      <c r="AE54" s="262"/>
      <c r="AF54" s="263"/>
      <c r="AG54" s="75"/>
      <c r="AH54" s="440"/>
      <c r="AI54" s="410"/>
      <c r="AJ54" s="410"/>
      <c r="AK54" s="410"/>
      <c r="AL54" s="410"/>
      <c r="AM54" s="441"/>
      <c r="AN54" s="734"/>
      <c r="AO54" s="263"/>
      <c r="AP54" s="261"/>
      <c r="AQ54" s="262"/>
      <c r="AR54" s="263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</row>
    <row r="55" spans="1:328" ht="15" customHeight="1" thickBot="1">
      <c r="A55" s="282" t="s">
        <v>47</v>
      </c>
      <c r="B55" s="283"/>
      <c r="C55" s="280"/>
      <c r="D55" s="281"/>
      <c r="E55" s="1"/>
      <c r="F55" s="75"/>
      <c r="G55" s="491"/>
      <c r="H55" s="103"/>
      <c r="I55" s="92"/>
      <c r="J55" s="765"/>
      <c r="K55" s="93"/>
      <c r="L55" s="93"/>
      <c r="M55" s="93"/>
      <c r="N55" s="93"/>
      <c r="O55" s="93"/>
      <c r="P55" s="93"/>
      <c r="Q55" s="93"/>
      <c r="R55" s="93"/>
      <c r="S55" s="94"/>
      <c r="T55" s="75"/>
      <c r="U55" s="1"/>
      <c r="V55" s="444"/>
      <c r="W55" s="445"/>
      <c r="X55" s="445"/>
      <c r="Y55" s="445"/>
      <c r="Z55" s="445"/>
      <c r="AA55" s="446"/>
      <c r="AB55" s="447"/>
      <c r="AC55" s="448"/>
      <c r="AD55" s="818"/>
      <c r="AE55" s="819"/>
      <c r="AF55" s="448"/>
      <c r="AG55" s="75"/>
      <c r="AH55" s="444"/>
      <c r="AI55" s="445"/>
      <c r="AJ55" s="445"/>
      <c r="AK55" s="445"/>
      <c r="AL55" s="445"/>
      <c r="AM55" s="446"/>
      <c r="AN55" s="447"/>
      <c r="AO55" s="448"/>
      <c r="AP55" s="818"/>
      <c r="AQ55" s="819"/>
      <c r="AR55" s="448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</row>
    <row r="56" spans="1:328" ht="15" customHeight="1" thickBot="1">
      <c r="A56" s="104"/>
      <c r="B56" s="105"/>
      <c r="C56" s="106"/>
      <c r="D56" s="106"/>
      <c r="E56" s="1"/>
      <c r="F56" s="77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77"/>
      <c r="U56" s="1"/>
      <c r="V56" s="107"/>
      <c r="W56" s="107"/>
      <c r="X56" s="107"/>
      <c r="Y56" s="107"/>
      <c r="Z56" s="107"/>
      <c r="AA56" s="107"/>
      <c r="AB56" s="80"/>
      <c r="AC56" s="80"/>
      <c r="AD56" s="80"/>
      <c r="AE56" s="80"/>
      <c r="AF56" s="80"/>
      <c r="AG56" s="108"/>
      <c r="AH56" s="107"/>
      <c r="AI56" s="107"/>
      <c r="AJ56" s="107"/>
      <c r="AK56" s="107"/>
      <c r="AL56" s="107"/>
      <c r="AM56" s="107"/>
      <c r="AN56" s="80"/>
      <c r="AO56" s="80"/>
      <c r="AP56" s="80"/>
      <c r="AQ56" s="80"/>
      <c r="AR56" s="80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</row>
    <row r="57" spans="1:328" ht="15" customHeight="1" thickBot="1">
      <c r="A57" s="294" t="s">
        <v>46</v>
      </c>
      <c r="B57" s="295"/>
      <c r="C57" s="295"/>
      <c r="D57" s="295"/>
      <c r="E57" s="295"/>
      <c r="F57" s="295"/>
      <c r="G57" s="295"/>
      <c r="H57" s="295"/>
      <c r="I57" s="296"/>
      <c r="J57" s="336" t="s">
        <v>45</v>
      </c>
      <c r="K57" s="337"/>
      <c r="L57" s="338"/>
      <c r="M57" s="370" t="s">
        <v>44</v>
      </c>
      <c r="N57" s="371"/>
      <c r="O57" s="371"/>
      <c r="P57" s="265" t="s">
        <v>1</v>
      </c>
      <c r="Q57" s="265"/>
      <c r="R57" s="265"/>
      <c r="S57" s="265"/>
      <c r="T57" s="265"/>
      <c r="U57" s="265" t="s">
        <v>43</v>
      </c>
      <c r="V57" s="265"/>
      <c r="W57" s="265"/>
      <c r="X57" s="442" t="s">
        <v>42</v>
      </c>
      <c r="Y57" s="404"/>
      <c r="Z57" s="404"/>
      <c r="AA57" s="404"/>
      <c r="AB57" s="443"/>
      <c r="AC57" s="265" t="s">
        <v>14</v>
      </c>
      <c r="AD57" s="265"/>
      <c r="AE57" s="265"/>
      <c r="AF57" s="265"/>
      <c r="AG57" s="802" t="s">
        <v>41</v>
      </c>
      <c r="AH57" s="802"/>
      <c r="AI57" s="802"/>
      <c r="AJ57" s="802"/>
      <c r="AK57" s="802"/>
      <c r="AL57" s="802"/>
      <c r="AM57" s="802"/>
      <c r="AN57" s="802"/>
      <c r="AO57" s="802"/>
      <c r="AP57" s="802"/>
      <c r="AQ57" s="802"/>
      <c r="AR57" s="803"/>
      <c r="AS57" s="2"/>
      <c r="AT57" s="2"/>
      <c r="AU57" s="2"/>
      <c r="AV57" s="2"/>
      <c r="AW57" s="2"/>
      <c r="AX57" s="2"/>
      <c r="AY57" s="864"/>
      <c r="AZ57" s="864"/>
      <c r="BA57" s="864"/>
      <c r="BB57" s="864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</row>
    <row r="58" spans="1:328" ht="15" customHeight="1">
      <c r="A58" s="291" t="str">
        <f>IF(E4="Elfe Noir - Drow","Lumières dansantes",IF(E4="Génasi de L'Eau","Manipulation de l'eau",IF(E4="Génasi du Feu","Flamme",IF(E4="Gnome des Forets","Illusion mineure",IF(E4="Drakéide","Arme de Souffle","")))))</f>
        <v/>
      </c>
      <c r="B58" s="292"/>
      <c r="C58" s="292"/>
      <c r="D58" s="292"/>
      <c r="E58" s="292"/>
      <c r="F58" s="292"/>
      <c r="G58" s="292"/>
      <c r="H58" s="292"/>
      <c r="I58" s="293"/>
      <c r="J58" s="284"/>
      <c r="K58" s="285"/>
      <c r="L58" s="286"/>
      <c r="M58" s="297"/>
      <c r="N58" s="297"/>
      <c r="O58" s="297"/>
      <c r="P58" s="804"/>
      <c r="Q58" s="804"/>
      <c r="R58" s="804"/>
      <c r="S58" s="804"/>
      <c r="T58" s="804"/>
      <c r="U58" s="804" t="str">
        <f>BQ30</f>
        <v/>
      </c>
      <c r="V58" s="804"/>
      <c r="W58" s="804"/>
      <c r="X58" s="805"/>
      <c r="Y58" s="806"/>
      <c r="Z58" s="74" t="s">
        <v>40</v>
      </c>
      <c r="AA58" s="813"/>
      <c r="AB58" s="814"/>
      <c r="AC58" s="804"/>
      <c r="AD58" s="804"/>
      <c r="AE58" s="804"/>
      <c r="AF58" s="804"/>
      <c r="AG58" s="800" t="str">
        <f>BS30</f>
        <v/>
      </c>
      <c r="AH58" s="800"/>
      <c r="AI58" s="800"/>
      <c r="AJ58" s="800"/>
      <c r="AK58" s="800"/>
      <c r="AL58" s="800"/>
      <c r="AM58" s="800"/>
      <c r="AN58" s="800"/>
      <c r="AO58" s="800"/>
      <c r="AP58" s="800"/>
      <c r="AQ58" s="800"/>
      <c r="AR58" s="801"/>
      <c r="AS58" s="2"/>
      <c r="AT58" s="2"/>
      <c r="AU58" s="2"/>
      <c r="AV58" s="2"/>
      <c r="AW58" s="2"/>
      <c r="AX58" s="2"/>
      <c r="AY58" s="864"/>
      <c r="AZ58" s="864"/>
      <c r="BA58" s="864"/>
      <c r="BB58" s="864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</row>
    <row r="59" spans="1:328" ht="15" customHeight="1">
      <c r="A59" s="288"/>
      <c r="B59" s="289"/>
      <c r="C59" s="289"/>
      <c r="D59" s="289"/>
      <c r="E59" s="289"/>
      <c r="F59" s="289"/>
      <c r="G59" s="289"/>
      <c r="H59" s="289"/>
      <c r="I59" s="290"/>
      <c r="J59" s="298"/>
      <c r="K59" s="299"/>
      <c r="L59" s="300"/>
      <c r="M59" s="287"/>
      <c r="N59" s="287"/>
      <c r="O59" s="287"/>
      <c r="P59" s="354" t="str">
        <f>Equipements!J43</f>
        <v/>
      </c>
      <c r="Q59" s="354"/>
      <c r="R59" s="354"/>
      <c r="S59" s="354"/>
      <c r="T59" s="354"/>
      <c r="U59" s="376" t="str">
        <f>Equipements!O43</f>
        <v/>
      </c>
      <c r="V59" s="376"/>
      <c r="W59" s="376"/>
      <c r="X59" s="210" t="str">
        <f>Equipements!Y43</f>
        <v/>
      </c>
      <c r="Y59" s="211"/>
      <c r="Z59" s="211"/>
      <c r="AA59" s="211"/>
      <c r="AB59" s="212"/>
      <c r="AC59" s="354" t="str">
        <f>Equipements!T43</f>
        <v>0</v>
      </c>
      <c r="AD59" s="354"/>
      <c r="AE59" s="354"/>
      <c r="AF59" s="354"/>
      <c r="AG59" s="240" t="str">
        <f>Equipements!AD43</f>
        <v/>
      </c>
      <c r="AH59" s="240"/>
      <c r="AI59" s="240"/>
      <c r="AJ59" s="240"/>
      <c r="AK59" s="240"/>
      <c r="AL59" s="240"/>
      <c r="AM59" s="240"/>
      <c r="AN59" s="240"/>
      <c r="AO59" s="240"/>
      <c r="AP59" s="240"/>
      <c r="AQ59" s="240"/>
      <c r="AR59" s="241"/>
      <c r="AS59" s="2"/>
      <c r="AT59" s="2"/>
      <c r="AU59" s="2"/>
      <c r="AV59" s="2"/>
      <c r="AW59" s="2"/>
      <c r="AX59" s="2"/>
      <c r="AY59" s="864"/>
      <c r="AZ59" s="864"/>
      <c r="BA59" s="864"/>
      <c r="BB59" s="864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</row>
    <row r="60" spans="1:328" ht="15" customHeight="1">
      <c r="A60" s="288"/>
      <c r="B60" s="289"/>
      <c r="C60" s="289"/>
      <c r="D60" s="289"/>
      <c r="E60" s="289"/>
      <c r="F60" s="289"/>
      <c r="G60" s="289"/>
      <c r="H60" s="289"/>
      <c r="I60" s="290"/>
      <c r="J60" s="298"/>
      <c r="K60" s="299"/>
      <c r="L60" s="300"/>
      <c r="M60" s="287"/>
      <c r="N60" s="287"/>
      <c r="O60" s="287"/>
      <c r="P60" s="354" t="str">
        <f>Equipements!K43</f>
        <v/>
      </c>
      <c r="Q60" s="354"/>
      <c r="R60" s="354"/>
      <c r="S60" s="354"/>
      <c r="T60" s="354"/>
      <c r="U60" s="376" t="str">
        <f>Equipements!P43</f>
        <v/>
      </c>
      <c r="V60" s="376"/>
      <c r="W60" s="376"/>
      <c r="X60" s="210" t="str">
        <f>Equipements!Z43</f>
        <v/>
      </c>
      <c r="Y60" s="211"/>
      <c r="Z60" s="211"/>
      <c r="AA60" s="211"/>
      <c r="AB60" s="212"/>
      <c r="AC60" s="354" t="str">
        <f>Equipements!U43</f>
        <v>0</v>
      </c>
      <c r="AD60" s="354"/>
      <c r="AE60" s="354"/>
      <c r="AF60" s="354"/>
      <c r="AG60" s="240" t="str">
        <f>Equipements!AE43</f>
        <v/>
      </c>
      <c r="AH60" s="240"/>
      <c r="AI60" s="240"/>
      <c r="AJ60" s="240"/>
      <c r="AK60" s="240"/>
      <c r="AL60" s="240"/>
      <c r="AM60" s="240"/>
      <c r="AN60" s="240"/>
      <c r="AO60" s="240"/>
      <c r="AP60" s="240"/>
      <c r="AQ60" s="240"/>
      <c r="AR60" s="241"/>
      <c r="AS60" s="2"/>
      <c r="AT60" s="2"/>
      <c r="AU60" s="2"/>
      <c r="AV60" s="2"/>
      <c r="AW60" s="2"/>
      <c r="AX60" s="2"/>
      <c r="AY60" s="864"/>
      <c r="AZ60" s="864"/>
      <c r="BA60" s="864"/>
      <c r="BB60" s="864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</row>
    <row r="61" spans="1:328" ht="15" customHeight="1">
      <c r="A61" s="288"/>
      <c r="B61" s="289"/>
      <c r="C61" s="289"/>
      <c r="D61" s="289"/>
      <c r="E61" s="289"/>
      <c r="F61" s="289"/>
      <c r="G61" s="289"/>
      <c r="H61" s="289"/>
      <c r="I61" s="290"/>
      <c r="J61" s="298"/>
      <c r="K61" s="299"/>
      <c r="L61" s="300"/>
      <c r="M61" s="287"/>
      <c r="N61" s="287"/>
      <c r="O61" s="287"/>
      <c r="P61" s="354" t="str">
        <f>Equipements!L43</f>
        <v/>
      </c>
      <c r="Q61" s="354"/>
      <c r="R61" s="354"/>
      <c r="S61" s="354"/>
      <c r="T61" s="354"/>
      <c r="U61" s="376" t="str">
        <f>Equipements!Q43</f>
        <v/>
      </c>
      <c r="V61" s="376"/>
      <c r="W61" s="376"/>
      <c r="X61" s="210" t="str">
        <f>Equipements!AA43</f>
        <v/>
      </c>
      <c r="Y61" s="211"/>
      <c r="Z61" s="211"/>
      <c r="AA61" s="211"/>
      <c r="AB61" s="212"/>
      <c r="AC61" s="354" t="str">
        <f>Equipements!V43</f>
        <v>0</v>
      </c>
      <c r="AD61" s="354"/>
      <c r="AE61" s="354"/>
      <c r="AF61" s="354"/>
      <c r="AG61" s="240" t="str">
        <f>Equipements!AF43</f>
        <v/>
      </c>
      <c r="AH61" s="240"/>
      <c r="AI61" s="240"/>
      <c r="AJ61" s="240"/>
      <c r="AK61" s="240"/>
      <c r="AL61" s="240"/>
      <c r="AM61" s="240"/>
      <c r="AN61" s="240"/>
      <c r="AO61" s="240"/>
      <c r="AP61" s="240"/>
      <c r="AQ61" s="240"/>
      <c r="AR61" s="241"/>
      <c r="AS61" s="2"/>
      <c r="AT61" s="2"/>
      <c r="AU61" s="2"/>
      <c r="AV61" s="2"/>
      <c r="AW61" s="2"/>
      <c r="AX61" s="2"/>
      <c r="AY61" s="864"/>
      <c r="AZ61" s="864"/>
      <c r="BA61" s="864"/>
      <c r="BB61" s="864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</row>
    <row r="62" spans="1:328" ht="15" customHeight="1">
      <c r="A62" s="288"/>
      <c r="B62" s="289"/>
      <c r="C62" s="289"/>
      <c r="D62" s="289"/>
      <c r="E62" s="289"/>
      <c r="F62" s="289"/>
      <c r="G62" s="289"/>
      <c r="H62" s="289"/>
      <c r="I62" s="290"/>
      <c r="J62" s="298"/>
      <c r="K62" s="299"/>
      <c r="L62" s="300"/>
      <c r="M62" s="287"/>
      <c r="N62" s="287"/>
      <c r="O62" s="287"/>
      <c r="P62" s="354" t="str">
        <f>Equipements!M43</f>
        <v/>
      </c>
      <c r="Q62" s="354"/>
      <c r="R62" s="354"/>
      <c r="S62" s="354"/>
      <c r="T62" s="354"/>
      <c r="U62" s="376" t="str">
        <f>Equipements!R43</f>
        <v/>
      </c>
      <c r="V62" s="376"/>
      <c r="W62" s="376"/>
      <c r="X62" s="210" t="str">
        <f>Equipements!AB43</f>
        <v/>
      </c>
      <c r="Y62" s="211"/>
      <c r="Z62" s="211"/>
      <c r="AA62" s="211"/>
      <c r="AB62" s="212"/>
      <c r="AC62" s="354" t="str">
        <f>Equipements!W43</f>
        <v>0</v>
      </c>
      <c r="AD62" s="354"/>
      <c r="AE62" s="354"/>
      <c r="AF62" s="354"/>
      <c r="AG62" s="240" t="str">
        <f>Equipements!AG43</f>
        <v/>
      </c>
      <c r="AH62" s="240"/>
      <c r="AI62" s="240"/>
      <c r="AJ62" s="240"/>
      <c r="AK62" s="240"/>
      <c r="AL62" s="240"/>
      <c r="AM62" s="240"/>
      <c r="AN62" s="240"/>
      <c r="AO62" s="240"/>
      <c r="AP62" s="240"/>
      <c r="AQ62" s="240"/>
      <c r="AR62" s="241"/>
      <c r="AS62" s="2"/>
      <c r="AT62" s="2"/>
      <c r="AU62" s="2"/>
      <c r="AV62" s="2"/>
      <c r="AW62" s="2"/>
      <c r="AX62" s="2"/>
      <c r="AY62" s="864"/>
      <c r="AZ62" s="864"/>
      <c r="BA62" s="864"/>
      <c r="BB62" s="864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</row>
    <row r="63" spans="1:328" ht="15" customHeight="1" thickBot="1">
      <c r="A63" s="304"/>
      <c r="B63" s="305"/>
      <c r="C63" s="305"/>
      <c r="D63" s="305"/>
      <c r="E63" s="305"/>
      <c r="F63" s="305"/>
      <c r="G63" s="305"/>
      <c r="H63" s="305"/>
      <c r="I63" s="306"/>
      <c r="J63" s="372"/>
      <c r="K63" s="373"/>
      <c r="L63" s="374"/>
      <c r="M63" s="375"/>
      <c r="N63" s="375"/>
      <c r="O63" s="375"/>
      <c r="P63" s="354" t="str">
        <f>Equipements!N43</f>
        <v/>
      </c>
      <c r="Q63" s="354"/>
      <c r="R63" s="354"/>
      <c r="S63" s="354"/>
      <c r="T63" s="354"/>
      <c r="U63" s="376" t="str">
        <f>Equipements!S43</f>
        <v/>
      </c>
      <c r="V63" s="376"/>
      <c r="W63" s="376"/>
      <c r="X63" s="210" t="str">
        <f>Equipements!AC43</f>
        <v/>
      </c>
      <c r="Y63" s="211"/>
      <c r="Z63" s="211"/>
      <c r="AA63" s="211"/>
      <c r="AB63" s="212"/>
      <c r="AC63" s="354" t="str">
        <f>Equipements!X43</f>
        <v>0</v>
      </c>
      <c r="AD63" s="354"/>
      <c r="AE63" s="354"/>
      <c r="AF63" s="354"/>
      <c r="AG63" s="240" t="str">
        <f>Equipements!AH43</f>
        <v/>
      </c>
      <c r="AH63" s="240"/>
      <c r="AI63" s="240"/>
      <c r="AJ63" s="240"/>
      <c r="AK63" s="240"/>
      <c r="AL63" s="240"/>
      <c r="AM63" s="240"/>
      <c r="AN63" s="240"/>
      <c r="AO63" s="240"/>
      <c r="AP63" s="240"/>
      <c r="AQ63" s="240"/>
      <c r="AR63" s="241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</row>
    <row r="64" spans="1:328" ht="15" customHeight="1" thickBo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</row>
    <row r="65" spans="1:328" ht="15" customHeight="1" thickTop="1" thickBot="1">
      <c r="A65" s="766" t="s">
        <v>39</v>
      </c>
      <c r="B65" s="351" t="s">
        <v>38</v>
      </c>
      <c r="C65" s="352"/>
      <c r="D65" s="352"/>
      <c r="E65" s="353"/>
      <c r="F65" s="310" t="s">
        <v>970</v>
      </c>
      <c r="G65" s="311"/>
      <c r="H65" s="311"/>
      <c r="I65" s="311"/>
      <c r="J65" s="311"/>
      <c r="K65" s="312"/>
      <c r="L65" s="1"/>
      <c r="M65" s="342" t="s">
        <v>37</v>
      </c>
      <c r="N65" s="351" t="s">
        <v>36</v>
      </c>
      <c r="O65" s="352"/>
      <c r="P65" s="353"/>
      <c r="Q65" s="807"/>
      <c r="R65" s="808"/>
      <c r="S65" s="808"/>
      <c r="T65" s="808"/>
      <c r="U65" s="808"/>
      <c r="V65" s="808"/>
      <c r="W65" s="808"/>
      <c r="X65" s="808"/>
      <c r="Y65" s="808"/>
      <c r="Z65" s="808"/>
      <c r="AA65" s="808"/>
      <c r="AB65" s="808"/>
      <c r="AC65" s="808"/>
      <c r="AD65" s="808"/>
      <c r="AE65" s="808"/>
      <c r="AF65" s="808"/>
      <c r="AG65" s="808"/>
      <c r="AH65" s="808"/>
      <c r="AI65" s="808"/>
      <c r="AJ65" s="808"/>
      <c r="AK65" s="808"/>
      <c r="AL65" s="808"/>
      <c r="AM65" s="808"/>
      <c r="AN65" s="808"/>
      <c r="AO65" s="808"/>
      <c r="AP65" s="808"/>
      <c r="AQ65" s="808"/>
      <c r="AR65" s="809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53"/>
      <c r="BD65" s="2"/>
      <c r="BE65" s="53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</row>
    <row r="66" spans="1:328" ht="15" customHeight="1" thickBot="1">
      <c r="A66" s="767"/>
      <c r="B66" s="301" t="s">
        <v>35</v>
      </c>
      <c r="C66" s="302"/>
      <c r="D66" s="302"/>
      <c r="E66" s="303"/>
      <c r="F66" s="307" t="s">
        <v>974</v>
      </c>
      <c r="G66" s="308"/>
      <c r="H66" s="308"/>
      <c r="I66" s="308"/>
      <c r="J66" s="308"/>
      <c r="K66" s="309"/>
      <c r="L66" s="1"/>
      <c r="M66" s="343"/>
      <c r="N66" s="301"/>
      <c r="O66" s="302"/>
      <c r="P66" s="303"/>
      <c r="Q66" s="313"/>
      <c r="R66" s="314"/>
      <c r="S66" s="314"/>
      <c r="T66" s="314"/>
      <c r="U66" s="314"/>
      <c r="V66" s="314"/>
      <c r="W66" s="314"/>
      <c r="X66" s="314"/>
      <c r="Y66" s="314"/>
      <c r="Z66" s="314"/>
      <c r="AA66" s="314"/>
      <c r="AB66" s="314"/>
      <c r="AC66" s="314"/>
      <c r="AD66" s="314"/>
      <c r="AE66" s="314"/>
      <c r="AF66" s="314"/>
      <c r="AG66" s="314"/>
      <c r="AH66" s="314"/>
      <c r="AI66" s="314"/>
      <c r="AJ66" s="314"/>
      <c r="AK66" s="314"/>
      <c r="AL66" s="314"/>
      <c r="AM66" s="314"/>
      <c r="AN66" s="314"/>
      <c r="AO66" s="314"/>
      <c r="AP66" s="314"/>
      <c r="AQ66" s="314"/>
      <c r="AR66" s="315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53"/>
      <c r="BD66" s="2"/>
      <c r="BE66" s="53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</row>
    <row r="67" spans="1:328" ht="15" customHeight="1" thickBot="1">
      <c r="A67" s="767"/>
      <c r="B67" s="301" t="s">
        <v>34</v>
      </c>
      <c r="C67" s="302"/>
      <c r="D67" s="302"/>
      <c r="E67" s="303"/>
      <c r="F67" s="307" t="s">
        <v>975</v>
      </c>
      <c r="G67" s="308"/>
      <c r="H67" s="308"/>
      <c r="I67" s="308"/>
      <c r="J67" s="308"/>
      <c r="K67" s="309"/>
      <c r="L67" s="1"/>
      <c r="M67" s="343"/>
      <c r="N67" s="301" t="s">
        <v>33</v>
      </c>
      <c r="O67" s="302"/>
      <c r="P67" s="303"/>
      <c r="Q67" s="313"/>
      <c r="R67" s="314"/>
      <c r="S67" s="314"/>
      <c r="T67" s="314"/>
      <c r="U67" s="314"/>
      <c r="V67" s="314"/>
      <c r="W67" s="314"/>
      <c r="X67" s="314"/>
      <c r="Y67" s="314"/>
      <c r="Z67" s="314"/>
      <c r="AA67" s="314"/>
      <c r="AB67" s="314"/>
      <c r="AC67" s="314"/>
      <c r="AD67" s="314"/>
      <c r="AE67" s="314"/>
      <c r="AF67" s="314"/>
      <c r="AG67" s="314"/>
      <c r="AH67" s="314"/>
      <c r="AI67" s="314"/>
      <c r="AJ67" s="314"/>
      <c r="AK67" s="314"/>
      <c r="AL67" s="314"/>
      <c r="AM67" s="314"/>
      <c r="AN67" s="314"/>
      <c r="AO67" s="314"/>
      <c r="AP67" s="314"/>
      <c r="AQ67" s="314"/>
      <c r="AR67" s="315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53"/>
      <c r="BD67" s="2"/>
      <c r="BE67" s="53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</row>
    <row r="68" spans="1:328" ht="15" customHeight="1" thickBot="1">
      <c r="A68" s="767"/>
      <c r="B68" s="301" t="s">
        <v>14</v>
      </c>
      <c r="C68" s="302"/>
      <c r="D68" s="302"/>
      <c r="E68" s="303"/>
      <c r="F68" s="307" t="s">
        <v>976</v>
      </c>
      <c r="G68" s="308"/>
      <c r="H68" s="308"/>
      <c r="I68" s="308"/>
      <c r="J68" s="308"/>
      <c r="K68" s="309"/>
      <c r="L68" s="1"/>
      <c r="M68" s="343"/>
      <c r="N68" s="301"/>
      <c r="O68" s="302"/>
      <c r="P68" s="303"/>
      <c r="Q68" s="313"/>
      <c r="R68" s="314"/>
      <c r="S68" s="314"/>
      <c r="T68" s="314"/>
      <c r="U68" s="314"/>
      <c r="V68" s="314"/>
      <c r="W68" s="314"/>
      <c r="X68" s="314"/>
      <c r="Y68" s="314"/>
      <c r="Z68" s="314"/>
      <c r="AA68" s="314"/>
      <c r="AB68" s="314"/>
      <c r="AC68" s="314"/>
      <c r="AD68" s="314"/>
      <c r="AE68" s="314"/>
      <c r="AF68" s="314"/>
      <c r="AG68" s="314"/>
      <c r="AH68" s="314"/>
      <c r="AI68" s="314"/>
      <c r="AJ68" s="314"/>
      <c r="AK68" s="314"/>
      <c r="AL68" s="314"/>
      <c r="AM68" s="314"/>
      <c r="AN68" s="314"/>
      <c r="AO68" s="314"/>
      <c r="AP68" s="314"/>
      <c r="AQ68" s="314"/>
      <c r="AR68" s="315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53"/>
      <c r="BD68" s="2"/>
      <c r="BE68" s="53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</row>
    <row r="69" spans="1:328" ht="15" customHeight="1" thickBot="1">
      <c r="A69" s="767"/>
      <c r="B69" s="301" t="s">
        <v>32</v>
      </c>
      <c r="C69" s="302"/>
      <c r="D69" s="302"/>
      <c r="E69" s="302"/>
      <c r="F69" s="307" t="s">
        <v>971</v>
      </c>
      <c r="G69" s="308"/>
      <c r="H69" s="308"/>
      <c r="I69" s="308"/>
      <c r="J69" s="308"/>
      <c r="K69" s="309"/>
      <c r="L69" s="1"/>
      <c r="M69" s="343"/>
      <c r="N69" s="301" t="s">
        <v>31</v>
      </c>
      <c r="O69" s="302"/>
      <c r="P69" s="303"/>
      <c r="Q69" s="313"/>
      <c r="R69" s="314"/>
      <c r="S69" s="314"/>
      <c r="T69" s="314"/>
      <c r="U69" s="314"/>
      <c r="V69" s="314"/>
      <c r="W69" s="314"/>
      <c r="X69" s="314"/>
      <c r="Y69" s="314"/>
      <c r="Z69" s="314"/>
      <c r="AA69" s="314"/>
      <c r="AB69" s="314"/>
      <c r="AC69" s="314"/>
      <c r="AD69" s="314"/>
      <c r="AE69" s="314"/>
      <c r="AF69" s="314"/>
      <c r="AG69" s="314"/>
      <c r="AH69" s="314"/>
      <c r="AI69" s="314"/>
      <c r="AJ69" s="314"/>
      <c r="AK69" s="314"/>
      <c r="AL69" s="314"/>
      <c r="AM69" s="314"/>
      <c r="AN69" s="314"/>
      <c r="AO69" s="314"/>
      <c r="AP69" s="314"/>
      <c r="AQ69" s="314"/>
      <c r="AR69" s="315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53"/>
      <c r="BD69" s="2"/>
      <c r="BE69" s="53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</row>
    <row r="70" spans="1:328" ht="15" customHeight="1" thickBot="1">
      <c r="A70" s="767"/>
      <c r="B70" s="301" t="s">
        <v>30</v>
      </c>
      <c r="C70" s="302"/>
      <c r="D70" s="302"/>
      <c r="E70" s="303"/>
      <c r="F70" s="307" t="s">
        <v>972</v>
      </c>
      <c r="G70" s="308"/>
      <c r="H70" s="308"/>
      <c r="I70" s="308"/>
      <c r="J70" s="308"/>
      <c r="K70" s="309"/>
      <c r="L70" s="1"/>
      <c r="M70" s="343"/>
      <c r="N70" s="301"/>
      <c r="O70" s="302"/>
      <c r="P70" s="303"/>
      <c r="Q70" s="313"/>
      <c r="R70" s="314"/>
      <c r="S70" s="314"/>
      <c r="T70" s="314"/>
      <c r="U70" s="314"/>
      <c r="V70" s="314"/>
      <c r="W70" s="314"/>
      <c r="X70" s="314"/>
      <c r="Y70" s="314"/>
      <c r="Z70" s="314"/>
      <c r="AA70" s="314"/>
      <c r="AB70" s="314"/>
      <c r="AC70" s="314"/>
      <c r="AD70" s="314"/>
      <c r="AE70" s="314"/>
      <c r="AF70" s="314"/>
      <c r="AG70" s="314"/>
      <c r="AH70" s="314"/>
      <c r="AI70" s="314"/>
      <c r="AJ70" s="314"/>
      <c r="AK70" s="314"/>
      <c r="AL70" s="314"/>
      <c r="AM70" s="314"/>
      <c r="AN70" s="314"/>
      <c r="AO70" s="314"/>
      <c r="AP70" s="314"/>
      <c r="AQ70" s="314"/>
      <c r="AR70" s="315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53"/>
      <c r="BD70" s="2"/>
      <c r="BE70" s="53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</row>
    <row r="71" spans="1:328" ht="15" customHeight="1" thickBot="1">
      <c r="A71" s="767"/>
      <c r="B71" s="345" t="s">
        <v>29</v>
      </c>
      <c r="C71" s="346"/>
      <c r="D71" s="346"/>
      <c r="E71" s="347"/>
      <c r="F71" s="426" t="s">
        <v>973</v>
      </c>
      <c r="G71" s="427"/>
      <c r="H71" s="427"/>
      <c r="I71" s="427"/>
      <c r="J71" s="427"/>
      <c r="K71" s="428"/>
      <c r="L71" s="1"/>
      <c r="M71" s="343"/>
      <c r="N71" s="301" t="s">
        <v>28</v>
      </c>
      <c r="O71" s="302"/>
      <c r="P71" s="303"/>
      <c r="Q71" s="313"/>
      <c r="R71" s="314"/>
      <c r="S71" s="314"/>
      <c r="T71" s="314"/>
      <c r="U71" s="314"/>
      <c r="V71" s="314"/>
      <c r="W71" s="314"/>
      <c r="X71" s="314"/>
      <c r="Y71" s="314"/>
      <c r="Z71" s="314"/>
      <c r="AA71" s="314"/>
      <c r="AB71" s="314"/>
      <c r="AC71" s="314"/>
      <c r="AD71" s="314"/>
      <c r="AE71" s="314"/>
      <c r="AF71" s="314"/>
      <c r="AG71" s="314"/>
      <c r="AH71" s="314"/>
      <c r="AI71" s="314"/>
      <c r="AJ71" s="314"/>
      <c r="AK71" s="314"/>
      <c r="AL71" s="314"/>
      <c r="AM71" s="314"/>
      <c r="AN71" s="314"/>
      <c r="AO71" s="314"/>
      <c r="AP71" s="314"/>
      <c r="AQ71" s="314"/>
      <c r="AR71" s="315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53"/>
      <c r="BD71" s="2"/>
      <c r="BE71" s="53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</row>
    <row r="72" spans="1:328" ht="15" customHeight="1" thickBot="1">
      <c r="A72" s="767"/>
      <c r="B72" s="403" t="s">
        <v>27</v>
      </c>
      <c r="C72" s="404"/>
      <c r="D72" s="404"/>
      <c r="E72" s="404"/>
      <c r="F72" s="404"/>
      <c r="G72" s="404"/>
      <c r="H72" s="404"/>
      <c r="I72" s="404"/>
      <c r="J72" s="404"/>
      <c r="K72" s="405"/>
      <c r="L72" s="1"/>
      <c r="M72" s="343"/>
      <c r="N72" s="345"/>
      <c r="O72" s="346"/>
      <c r="P72" s="347"/>
      <c r="Q72" s="406"/>
      <c r="R72" s="407"/>
      <c r="S72" s="407"/>
      <c r="T72" s="407"/>
      <c r="U72" s="407"/>
      <c r="V72" s="407"/>
      <c r="W72" s="407"/>
      <c r="X72" s="407"/>
      <c r="Y72" s="407"/>
      <c r="Z72" s="407"/>
      <c r="AA72" s="407"/>
      <c r="AB72" s="407"/>
      <c r="AC72" s="407"/>
      <c r="AD72" s="407"/>
      <c r="AE72" s="407"/>
      <c r="AF72" s="407"/>
      <c r="AG72" s="407"/>
      <c r="AH72" s="407"/>
      <c r="AI72" s="407"/>
      <c r="AJ72" s="407"/>
      <c r="AK72" s="407"/>
      <c r="AL72" s="407"/>
      <c r="AM72" s="407"/>
      <c r="AN72" s="407"/>
      <c r="AO72" s="407"/>
      <c r="AP72" s="407"/>
      <c r="AQ72" s="407"/>
      <c r="AR72" s="408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</row>
    <row r="73" spans="1:328" ht="15" customHeight="1" thickBot="1">
      <c r="A73" s="767"/>
      <c r="B73" s="791"/>
      <c r="C73" s="792"/>
      <c r="D73" s="792"/>
      <c r="E73" s="792"/>
      <c r="F73" s="792"/>
      <c r="G73" s="792"/>
      <c r="H73" s="792"/>
      <c r="I73" s="792"/>
      <c r="J73" s="792"/>
      <c r="K73" s="793"/>
      <c r="L73" s="1"/>
      <c r="M73" s="343"/>
      <c r="N73" s="429" t="s">
        <v>26</v>
      </c>
      <c r="O73" s="430"/>
      <c r="P73" s="430"/>
      <c r="Q73" s="430"/>
      <c r="R73" s="431"/>
      <c r="S73" s="355"/>
      <c r="T73" s="356"/>
      <c r="U73" s="356"/>
      <c r="V73" s="356"/>
      <c r="W73" s="356"/>
      <c r="X73" s="356"/>
      <c r="Y73" s="356"/>
      <c r="Z73" s="356"/>
      <c r="AA73" s="356"/>
      <c r="AB73" s="356"/>
      <c r="AC73" s="356"/>
      <c r="AD73" s="356"/>
      <c r="AE73" s="356"/>
      <c r="AF73" s="356"/>
      <c r="AG73" s="356"/>
      <c r="AH73" s="356"/>
      <c r="AI73" s="356"/>
      <c r="AJ73" s="356"/>
      <c r="AK73" s="356"/>
      <c r="AL73" s="356"/>
      <c r="AM73" s="356"/>
      <c r="AN73" s="356"/>
      <c r="AO73" s="356"/>
      <c r="AP73" s="356"/>
      <c r="AQ73" s="356"/>
      <c r="AR73" s="357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</row>
    <row r="74" spans="1:328" ht="15" customHeight="1" thickBot="1">
      <c r="A74" s="768"/>
      <c r="B74" s="794"/>
      <c r="C74" s="795"/>
      <c r="D74" s="795"/>
      <c r="E74" s="795"/>
      <c r="F74" s="795"/>
      <c r="G74" s="795"/>
      <c r="H74" s="795"/>
      <c r="I74" s="795"/>
      <c r="J74" s="795"/>
      <c r="K74" s="796"/>
      <c r="L74" s="1"/>
      <c r="M74" s="343"/>
      <c r="N74" s="432"/>
      <c r="O74" s="433"/>
      <c r="P74" s="433"/>
      <c r="Q74" s="433"/>
      <c r="R74" s="434"/>
      <c r="S74" s="358"/>
      <c r="T74" s="359"/>
      <c r="U74" s="359"/>
      <c r="V74" s="359"/>
      <c r="W74" s="359"/>
      <c r="X74" s="359"/>
      <c r="Y74" s="359"/>
      <c r="Z74" s="359"/>
      <c r="AA74" s="359"/>
      <c r="AB74" s="359"/>
      <c r="AC74" s="359"/>
      <c r="AD74" s="359"/>
      <c r="AE74" s="359"/>
      <c r="AF74" s="359"/>
      <c r="AG74" s="359"/>
      <c r="AH74" s="359"/>
      <c r="AI74" s="359"/>
      <c r="AJ74" s="359"/>
      <c r="AK74" s="359"/>
      <c r="AL74" s="359"/>
      <c r="AM74" s="359"/>
      <c r="AN74" s="359"/>
      <c r="AO74" s="359"/>
      <c r="AP74" s="359"/>
      <c r="AQ74" s="359"/>
      <c r="AR74" s="360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</row>
    <row r="75" spans="1:328" ht="15" customHeight="1" thickBot="1">
      <c r="A75" s="769"/>
      <c r="B75" s="797"/>
      <c r="C75" s="798"/>
      <c r="D75" s="798"/>
      <c r="E75" s="798"/>
      <c r="F75" s="798"/>
      <c r="G75" s="798"/>
      <c r="H75" s="798"/>
      <c r="I75" s="798"/>
      <c r="J75" s="798"/>
      <c r="K75" s="799"/>
      <c r="L75" s="1"/>
      <c r="M75" s="344"/>
      <c r="N75" s="435"/>
      <c r="O75" s="436"/>
      <c r="P75" s="436"/>
      <c r="Q75" s="436"/>
      <c r="R75" s="437"/>
      <c r="S75" s="361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362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  <c r="AQ75" s="362"/>
      <c r="AR75" s="363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</row>
    <row r="76" spans="1:328" ht="15" customHeight="1" thickTop="1" thickBo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</row>
    <row r="77" spans="1:328" ht="15" customHeight="1" thickTop="1" thickBot="1">
      <c r="A77" s="411" t="s">
        <v>25</v>
      </c>
      <c r="B77" s="339" t="s">
        <v>24</v>
      </c>
      <c r="C77" s="340"/>
      <c r="D77" s="340"/>
      <c r="E77" s="340"/>
      <c r="F77" s="340"/>
      <c r="G77" s="340"/>
      <c r="H77" s="340"/>
      <c r="I77" s="340"/>
      <c r="J77" s="341"/>
      <c r="K77" s="336" t="s">
        <v>23</v>
      </c>
      <c r="L77" s="337"/>
      <c r="M77" s="337"/>
      <c r="N77" s="337"/>
      <c r="O77" s="336" t="s">
        <v>22</v>
      </c>
      <c r="P77" s="337"/>
      <c r="Q77" s="337"/>
      <c r="R77" s="338"/>
      <c r="S77" s="336" t="s">
        <v>21</v>
      </c>
      <c r="T77" s="337"/>
      <c r="U77" s="337"/>
      <c r="V77" s="337"/>
      <c r="W77" s="336" t="s">
        <v>20</v>
      </c>
      <c r="X77" s="337"/>
      <c r="Y77" s="337"/>
      <c r="Z77" s="338"/>
      <c r="AA77" s="865" t="s">
        <v>19</v>
      </c>
      <c r="AB77" s="865"/>
      <c r="AC77" s="865"/>
      <c r="AD77" s="865"/>
      <c r="AE77" s="865"/>
      <c r="AF77" s="865"/>
      <c r="AG77" s="865"/>
      <c r="AH77" s="865"/>
      <c r="AI77" s="865"/>
      <c r="AJ77" s="865"/>
      <c r="AK77" s="865"/>
      <c r="AL77" s="865"/>
      <c r="AM77" s="865"/>
      <c r="AN77" s="865"/>
      <c r="AO77" s="865"/>
      <c r="AP77" s="865"/>
      <c r="AQ77" s="865"/>
      <c r="AR77" s="866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</row>
    <row r="78" spans="1:328" ht="15" customHeight="1">
      <c r="A78" s="412"/>
      <c r="B78" s="415" t="str">
        <f>Feuil1!Q29&amp;""&amp;Feuil1!Q30&amp;""&amp;Feuil1!Q31&amp;""&amp;Feuil1!Q32</f>
        <v/>
      </c>
      <c r="C78" s="416"/>
      <c r="D78" s="416"/>
      <c r="E78" s="416"/>
      <c r="F78" s="416"/>
      <c r="G78" s="416"/>
      <c r="H78" s="416"/>
      <c r="I78" s="416"/>
      <c r="J78" s="417"/>
      <c r="K78" s="415"/>
      <c r="L78" s="416"/>
      <c r="M78" s="416"/>
      <c r="N78" s="417"/>
      <c r="O78" s="415"/>
      <c r="P78" s="416"/>
      <c r="Q78" s="416"/>
      <c r="R78" s="418"/>
      <c r="S78" s="419" t="str">
        <f>Feuil1!R29&amp;""&amp;Feuil1!R30&amp;""&amp;Feuil1!R31&amp;""&amp;Feuil1!R32</f>
        <v/>
      </c>
      <c r="T78" s="416"/>
      <c r="U78" s="416"/>
      <c r="V78" s="417"/>
      <c r="W78" s="415"/>
      <c r="X78" s="416"/>
      <c r="Y78" s="416"/>
      <c r="Z78" s="418"/>
      <c r="AA78" s="810" t="str">
        <f>Feuil1!S29&amp;""&amp;Feuil1!S30&amp;""&amp;Feuil1!S31&amp;""&amp;Feuil1!S32</f>
        <v/>
      </c>
      <c r="AB78" s="811"/>
      <c r="AC78" s="811"/>
      <c r="AD78" s="811"/>
      <c r="AE78" s="811"/>
      <c r="AF78" s="811"/>
      <c r="AG78" s="811"/>
      <c r="AH78" s="811"/>
      <c r="AI78" s="811"/>
      <c r="AJ78" s="811"/>
      <c r="AK78" s="811"/>
      <c r="AL78" s="811"/>
      <c r="AM78" s="811"/>
      <c r="AN78" s="811"/>
      <c r="AO78" s="811"/>
      <c r="AP78" s="811"/>
      <c r="AQ78" s="811"/>
      <c r="AR78" s="81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</row>
    <row r="79" spans="1:328" ht="15" customHeight="1">
      <c r="A79" s="412"/>
      <c r="B79" s="273"/>
      <c r="C79" s="274"/>
      <c r="D79" s="274"/>
      <c r="E79" s="274"/>
      <c r="F79" s="274"/>
      <c r="G79" s="274"/>
      <c r="H79" s="274"/>
      <c r="I79" s="274"/>
      <c r="J79" s="275"/>
      <c r="K79" s="273"/>
      <c r="L79" s="274"/>
      <c r="M79" s="274"/>
      <c r="N79" s="275"/>
      <c r="O79" s="273"/>
      <c r="P79" s="274"/>
      <c r="Q79" s="274"/>
      <c r="R79" s="276"/>
      <c r="S79" s="277"/>
      <c r="T79" s="274"/>
      <c r="U79" s="274"/>
      <c r="V79" s="275"/>
      <c r="W79" s="273"/>
      <c r="X79" s="274"/>
      <c r="Y79" s="274"/>
      <c r="Z79" s="276"/>
      <c r="AA79" s="348"/>
      <c r="AB79" s="349"/>
      <c r="AC79" s="349"/>
      <c r="AD79" s="349"/>
      <c r="AE79" s="349"/>
      <c r="AF79" s="349"/>
      <c r="AG79" s="349"/>
      <c r="AH79" s="349"/>
      <c r="AI79" s="349"/>
      <c r="AJ79" s="349"/>
      <c r="AK79" s="349"/>
      <c r="AL79" s="349"/>
      <c r="AM79" s="349"/>
      <c r="AN79" s="349"/>
      <c r="AO79" s="349"/>
      <c r="AP79" s="349"/>
      <c r="AQ79" s="349"/>
      <c r="AR79" s="350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</row>
    <row r="80" spans="1:328" ht="15" customHeight="1">
      <c r="A80" s="412"/>
      <c r="B80" s="273" t="str">
        <f>Feuil1!W29&amp;""&amp;Feuil1!W30&amp;""&amp;Feuil1!W31&amp;""&amp;Feuil1!W32</f>
        <v/>
      </c>
      <c r="C80" s="274"/>
      <c r="D80" s="274"/>
      <c r="E80" s="274"/>
      <c r="F80" s="274"/>
      <c r="G80" s="274"/>
      <c r="H80" s="274"/>
      <c r="I80" s="274"/>
      <c r="J80" s="275"/>
      <c r="K80" s="273"/>
      <c r="L80" s="274"/>
      <c r="M80" s="274"/>
      <c r="N80" s="275"/>
      <c r="O80" s="273"/>
      <c r="P80" s="274"/>
      <c r="Q80" s="274"/>
      <c r="R80" s="276"/>
      <c r="S80" s="277"/>
      <c r="T80" s="274"/>
      <c r="U80" s="274"/>
      <c r="V80" s="275"/>
      <c r="W80" s="273"/>
      <c r="X80" s="274"/>
      <c r="Y80" s="274"/>
      <c r="Z80" s="276"/>
      <c r="AA80" s="348" t="str">
        <f>Feuil1!X29&amp;""&amp;Feuil1!X30&amp;""&amp;Feuil1!X31&amp;""&amp;Feuil1!X32</f>
        <v/>
      </c>
      <c r="AB80" s="349"/>
      <c r="AC80" s="349"/>
      <c r="AD80" s="349"/>
      <c r="AE80" s="349"/>
      <c r="AF80" s="349"/>
      <c r="AG80" s="349"/>
      <c r="AH80" s="349"/>
      <c r="AI80" s="349"/>
      <c r="AJ80" s="349"/>
      <c r="AK80" s="349"/>
      <c r="AL80" s="349"/>
      <c r="AM80" s="349"/>
      <c r="AN80" s="349"/>
      <c r="AO80" s="349"/>
      <c r="AP80" s="349"/>
      <c r="AQ80" s="349"/>
      <c r="AR80" s="350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</row>
    <row r="81" spans="1:328" ht="15" customHeight="1">
      <c r="A81" s="412"/>
      <c r="B81" s="273"/>
      <c r="C81" s="274"/>
      <c r="D81" s="274"/>
      <c r="E81" s="274"/>
      <c r="F81" s="274"/>
      <c r="G81" s="274"/>
      <c r="H81" s="274"/>
      <c r="I81" s="274"/>
      <c r="J81" s="275"/>
      <c r="K81" s="273"/>
      <c r="L81" s="274"/>
      <c r="M81" s="274"/>
      <c r="N81" s="275"/>
      <c r="O81" s="273"/>
      <c r="P81" s="274"/>
      <c r="Q81" s="274"/>
      <c r="R81" s="276"/>
      <c r="S81" s="277"/>
      <c r="T81" s="274"/>
      <c r="U81" s="274"/>
      <c r="V81" s="275"/>
      <c r="W81" s="273"/>
      <c r="X81" s="274"/>
      <c r="Y81" s="274"/>
      <c r="Z81" s="276"/>
      <c r="AA81" s="348"/>
      <c r="AB81" s="349"/>
      <c r="AC81" s="349"/>
      <c r="AD81" s="349"/>
      <c r="AE81" s="349"/>
      <c r="AF81" s="349"/>
      <c r="AG81" s="349"/>
      <c r="AH81" s="349"/>
      <c r="AI81" s="349"/>
      <c r="AJ81" s="349"/>
      <c r="AK81" s="349"/>
      <c r="AL81" s="349"/>
      <c r="AM81" s="349"/>
      <c r="AN81" s="349"/>
      <c r="AO81" s="349"/>
      <c r="AP81" s="349"/>
      <c r="AQ81" s="349"/>
      <c r="AR81" s="350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</row>
    <row r="82" spans="1:328" ht="15" customHeight="1">
      <c r="A82" s="412"/>
      <c r="B82" s="273" t="str">
        <f>Feuil1!Y29&amp;""&amp;Feuil1!Y30&amp;""&amp;Feuil1!Y31&amp;""&amp;Feuil1!Y32</f>
        <v/>
      </c>
      <c r="C82" s="274"/>
      <c r="D82" s="274"/>
      <c r="E82" s="274"/>
      <c r="F82" s="274"/>
      <c r="G82" s="274"/>
      <c r="H82" s="274"/>
      <c r="I82" s="274"/>
      <c r="J82" s="275"/>
      <c r="K82" s="273"/>
      <c r="L82" s="274"/>
      <c r="M82" s="274"/>
      <c r="N82" s="275"/>
      <c r="O82" s="273"/>
      <c r="P82" s="274"/>
      <c r="Q82" s="274"/>
      <c r="R82" s="276"/>
      <c r="S82" s="277"/>
      <c r="T82" s="274"/>
      <c r="U82" s="274"/>
      <c r="V82" s="275"/>
      <c r="W82" s="273"/>
      <c r="X82" s="274"/>
      <c r="Y82" s="274"/>
      <c r="Z82" s="276"/>
      <c r="AA82" s="348" t="str">
        <f>Feuil1!Z29&amp;""&amp;Feuil1!Z30&amp;""&amp;Feuil1!Z31&amp;""&amp;Feuil1!Z32</f>
        <v/>
      </c>
      <c r="AB82" s="349"/>
      <c r="AC82" s="349"/>
      <c r="AD82" s="349"/>
      <c r="AE82" s="349"/>
      <c r="AF82" s="349"/>
      <c r="AG82" s="349"/>
      <c r="AH82" s="349"/>
      <c r="AI82" s="349"/>
      <c r="AJ82" s="349"/>
      <c r="AK82" s="349"/>
      <c r="AL82" s="349"/>
      <c r="AM82" s="349"/>
      <c r="AN82" s="349"/>
      <c r="AO82" s="349"/>
      <c r="AP82" s="349"/>
      <c r="AQ82" s="349"/>
      <c r="AR82" s="350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</row>
    <row r="83" spans="1:328" ht="15" customHeight="1">
      <c r="A83" s="412"/>
      <c r="B83" s="273"/>
      <c r="C83" s="274"/>
      <c r="D83" s="274"/>
      <c r="E83" s="274"/>
      <c r="F83" s="274"/>
      <c r="G83" s="274"/>
      <c r="H83" s="274"/>
      <c r="I83" s="274"/>
      <c r="J83" s="275"/>
      <c r="K83" s="273"/>
      <c r="L83" s="274"/>
      <c r="M83" s="274"/>
      <c r="N83" s="275"/>
      <c r="O83" s="273"/>
      <c r="P83" s="274"/>
      <c r="Q83" s="274"/>
      <c r="R83" s="276"/>
      <c r="S83" s="277"/>
      <c r="T83" s="274"/>
      <c r="U83" s="274"/>
      <c r="V83" s="275"/>
      <c r="W83" s="273"/>
      <c r="X83" s="274"/>
      <c r="Y83" s="274"/>
      <c r="Z83" s="276"/>
      <c r="AA83" s="348"/>
      <c r="AB83" s="349"/>
      <c r="AC83" s="349"/>
      <c r="AD83" s="349"/>
      <c r="AE83" s="349"/>
      <c r="AF83" s="349"/>
      <c r="AG83" s="349"/>
      <c r="AH83" s="349"/>
      <c r="AI83" s="349"/>
      <c r="AJ83" s="349"/>
      <c r="AK83" s="349"/>
      <c r="AL83" s="349"/>
      <c r="AM83" s="349"/>
      <c r="AN83" s="349"/>
      <c r="AO83" s="349"/>
      <c r="AP83" s="349"/>
      <c r="AQ83" s="349"/>
      <c r="AR83" s="350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</row>
    <row r="84" spans="1:328" ht="15" customHeight="1">
      <c r="A84" s="412"/>
      <c r="B84" s="273" t="str">
        <f>Feuil1!AA29&amp;""&amp;Feuil1!AA30&amp;""&amp;Feuil1!AA31&amp;""&amp;Feuil1!AA32</f>
        <v/>
      </c>
      <c r="C84" s="274"/>
      <c r="D84" s="274"/>
      <c r="E84" s="274"/>
      <c r="F84" s="274"/>
      <c r="G84" s="274"/>
      <c r="H84" s="274"/>
      <c r="I84" s="274"/>
      <c r="J84" s="275"/>
      <c r="K84" s="273"/>
      <c r="L84" s="274"/>
      <c r="M84" s="274"/>
      <c r="N84" s="275"/>
      <c r="O84" s="273"/>
      <c r="P84" s="274"/>
      <c r="Q84" s="274"/>
      <c r="R84" s="276"/>
      <c r="S84" s="277"/>
      <c r="T84" s="274"/>
      <c r="U84" s="274"/>
      <c r="V84" s="275"/>
      <c r="W84" s="273"/>
      <c r="X84" s="274"/>
      <c r="Y84" s="274"/>
      <c r="Z84" s="276"/>
      <c r="AA84" s="348" t="str">
        <f>Feuil1!AB29&amp;""&amp;Feuil1!AB30&amp;""&amp;Feuil1!AB31&amp;""&amp;Feuil1!AB32</f>
        <v/>
      </c>
      <c r="AB84" s="349"/>
      <c r="AC84" s="349"/>
      <c r="AD84" s="349"/>
      <c r="AE84" s="349"/>
      <c r="AF84" s="349"/>
      <c r="AG84" s="349"/>
      <c r="AH84" s="349"/>
      <c r="AI84" s="349"/>
      <c r="AJ84" s="349"/>
      <c r="AK84" s="349"/>
      <c r="AL84" s="349"/>
      <c r="AM84" s="349"/>
      <c r="AN84" s="349"/>
      <c r="AO84" s="349"/>
      <c r="AP84" s="349"/>
      <c r="AQ84" s="349"/>
      <c r="AR84" s="350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</row>
    <row r="85" spans="1:328" ht="15" customHeight="1">
      <c r="A85" s="412"/>
      <c r="B85" s="273"/>
      <c r="C85" s="274"/>
      <c r="D85" s="274"/>
      <c r="E85" s="274"/>
      <c r="F85" s="274"/>
      <c r="G85" s="274"/>
      <c r="H85" s="274"/>
      <c r="I85" s="274"/>
      <c r="J85" s="275"/>
      <c r="K85" s="273"/>
      <c r="L85" s="274"/>
      <c r="M85" s="274"/>
      <c r="N85" s="275"/>
      <c r="O85" s="273"/>
      <c r="P85" s="274"/>
      <c r="Q85" s="274"/>
      <c r="R85" s="276"/>
      <c r="S85" s="277"/>
      <c r="T85" s="274"/>
      <c r="U85" s="274"/>
      <c r="V85" s="275"/>
      <c r="W85" s="273"/>
      <c r="X85" s="274"/>
      <c r="Y85" s="274"/>
      <c r="Z85" s="276"/>
      <c r="AA85" s="348"/>
      <c r="AB85" s="349"/>
      <c r="AC85" s="349"/>
      <c r="AD85" s="349"/>
      <c r="AE85" s="349"/>
      <c r="AF85" s="349"/>
      <c r="AG85" s="349"/>
      <c r="AH85" s="349"/>
      <c r="AI85" s="349"/>
      <c r="AJ85" s="349"/>
      <c r="AK85" s="349"/>
      <c r="AL85" s="349"/>
      <c r="AM85" s="349"/>
      <c r="AN85" s="349"/>
      <c r="AO85" s="349"/>
      <c r="AP85" s="349"/>
      <c r="AQ85" s="349"/>
      <c r="AR85" s="350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</row>
    <row r="86" spans="1:328" ht="15" customHeight="1">
      <c r="A86" s="412"/>
      <c r="B86" s="383"/>
      <c r="C86" s="384"/>
      <c r="D86" s="384"/>
      <c r="E86" s="384"/>
      <c r="F86" s="384"/>
      <c r="G86" s="384"/>
      <c r="H86" s="384"/>
      <c r="I86" s="384"/>
      <c r="J86" s="384"/>
      <c r="K86" s="267"/>
      <c r="L86" s="268"/>
      <c r="M86" s="268"/>
      <c r="N86" s="332"/>
      <c r="O86" s="267"/>
      <c r="P86" s="268"/>
      <c r="Q86" s="268"/>
      <c r="R86" s="269"/>
      <c r="S86" s="331"/>
      <c r="T86" s="268"/>
      <c r="U86" s="268"/>
      <c r="V86" s="332"/>
      <c r="W86" s="267"/>
      <c r="X86" s="268"/>
      <c r="Y86" s="268"/>
      <c r="Z86" s="269"/>
      <c r="AA86" s="333"/>
      <c r="AB86" s="334"/>
      <c r="AC86" s="334"/>
      <c r="AD86" s="334"/>
      <c r="AE86" s="334"/>
      <c r="AF86" s="334"/>
      <c r="AG86" s="334"/>
      <c r="AH86" s="334"/>
      <c r="AI86" s="334"/>
      <c r="AJ86" s="334"/>
      <c r="AK86" s="334"/>
      <c r="AL86" s="334"/>
      <c r="AM86" s="334"/>
      <c r="AN86" s="334"/>
      <c r="AO86" s="334"/>
      <c r="AP86" s="334"/>
      <c r="AQ86" s="334"/>
      <c r="AR86" s="335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</row>
    <row r="87" spans="1:328" ht="15" customHeight="1">
      <c r="A87" s="412"/>
      <c r="B87" s="383"/>
      <c r="C87" s="384"/>
      <c r="D87" s="384"/>
      <c r="E87" s="384"/>
      <c r="F87" s="384"/>
      <c r="G87" s="384"/>
      <c r="H87" s="384"/>
      <c r="I87" s="384"/>
      <c r="J87" s="384"/>
      <c r="K87" s="267"/>
      <c r="L87" s="268"/>
      <c r="M87" s="268"/>
      <c r="N87" s="332"/>
      <c r="O87" s="267"/>
      <c r="P87" s="268"/>
      <c r="Q87" s="268"/>
      <c r="R87" s="269"/>
      <c r="S87" s="331"/>
      <c r="T87" s="268"/>
      <c r="U87" s="268"/>
      <c r="V87" s="332"/>
      <c r="W87" s="267"/>
      <c r="X87" s="268"/>
      <c r="Y87" s="268"/>
      <c r="Z87" s="269"/>
      <c r="AA87" s="333"/>
      <c r="AB87" s="334"/>
      <c r="AC87" s="334"/>
      <c r="AD87" s="334"/>
      <c r="AE87" s="334"/>
      <c r="AF87" s="334"/>
      <c r="AG87" s="334"/>
      <c r="AH87" s="334"/>
      <c r="AI87" s="334"/>
      <c r="AJ87" s="334"/>
      <c r="AK87" s="334"/>
      <c r="AL87" s="334"/>
      <c r="AM87" s="334"/>
      <c r="AN87" s="334"/>
      <c r="AO87" s="334"/>
      <c r="AP87" s="334"/>
      <c r="AQ87" s="334"/>
      <c r="AR87" s="335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</row>
    <row r="88" spans="1:328" ht="15" customHeight="1">
      <c r="A88" s="412"/>
      <c r="B88" s="383"/>
      <c r="C88" s="384"/>
      <c r="D88" s="384"/>
      <c r="E88" s="384"/>
      <c r="F88" s="384"/>
      <c r="G88" s="384"/>
      <c r="H88" s="384"/>
      <c r="I88" s="384"/>
      <c r="J88" s="384"/>
      <c r="K88" s="267"/>
      <c r="L88" s="268"/>
      <c r="M88" s="268"/>
      <c r="N88" s="332"/>
      <c r="O88" s="267"/>
      <c r="P88" s="268"/>
      <c r="Q88" s="268"/>
      <c r="R88" s="269"/>
      <c r="S88" s="331"/>
      <c r="T88" s="268"/>
      <c r="U88" s="268"/>
      <c r="V88" s="332"/>
      <c r="W88" s="267"/>
      <c r="X88" s="268"/>
      <c r="Y88" s="268"/>
      <c r="Z88" s="269"/>
      <c r="AA88" s="333"/>
      <c r="AB88" s="334"/>
      <c r="AC88" s="334"/>
      <c r="AD88" s="334"/>
      <c r="AE88" s="334"/>
      <c r="AF88" s="334"/>
      <c r="AG88" s="334"/>
      <c r="AH88" s="334"/>
      <c r="AI88" s="334"/>
      <c r="AJ88" s="334"/>
      <c r="AK88" s="334"/>
      <c r="AL88" s="334"/>
      <c r="AM88" s="334"/>
      <c r="AN88" s="334"/>
      <c r="AO88" s="334"/>
      <c r="AP88" s="334"/>
      <c r="AQ88" s="334"/>
      <c r="AR88" s="335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</row>
    <row r="89" spans="1:328" ht="15" customHeight="1">
      <c r="A89" s="412"/>
      <c r="B89" s="383"/>
      <c r="C89" s="384"/>
      <c r="D89" s="384"/>
      <c r="E89" s="384"/>
      <c r="F89" s="384"/>
      <c r="G89" s="384"/>
      <c r="H89" s="384"/>
      <c r="I89" s="384"/>
      <c r="J89" s="384"/>
      <c r="K89" s="267"/>
      <c r="L89" s="268"/>
      <c r="M89" s="268"/>
      <c r="N89" s="332"/>
      <c r="O89" s="267"/>
      <c r="P89" s="268"/>
      <c r="Q89" s="268"/>
      <c r="R89" s="269"/>
      <c r="S89" s="331"/>
      <c r="T89" s="268"/>
      <c r="U89" s="268"/>
      <c r="V89" s="332"/>
      <c r="W89" s="267"/>
      <c r="X89" s="268"/>
      <c r="Y89" s="268"/>
      <c r="Z89" s="269"/>
      <c r="AA89" s="333"/>
      <c r="AB89" s="334"/>
      <c r="AC89" s="334"/>
      <c r="AD89" s="334"/>
      <c r="AE89" s="334"/>
      <c r="AF89" s="334"/>
      <c r="AG89" s="334"/>
      <c r="AH89" s="334"/>
      <c r="AI89" s="334"/>
      <c r="AJ89" s="334"/>
      <c r="AK89" s="334"/>
      <c r="AL89" s="334"/>
      <c r="AM89" s="334"/>
      <c r="AN89" s="334"/>
      <c r="AO89" s="334"/>
      <c r="AP89" s="334"/>
      <c r="AQ89" s="334"/>
      <c r="AR89" s="335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</row>
    <row r="90" spans="1:328" ht="15" customHeight="1">
      <c r="A90" s="412"/>
      <c r="B90" s="383"/>
      <c r="C90" s="384"/>
      <c r="D90" s="384"/>
      <c r="E90" s="384"/>
      <c r="F90" s="384"/>
      <c r="G90" s="384"/>
      <c r="H90" s="384"/>
      <c r="I90" s="384"/>
      <c r="J90" s="384"/>
      <c r="K90" s="267"/>
      <c r="L90" s="268"/>
      <c r="M90" s="268"/>
      <c r="N90" s="332"/>
      <c r="O90" s="267"/>
      <c r="P90" s="268"/>
      <c r="Q90" s="268"/>
      <c r="R90" s="269"/>
      <c r="S90" s="331"/>
      <c r="T90" s="268"/>
      <c r="U90" s="268"/>
      <c r="V90" s="332"/>
      <c r="W90" s="267"/>
      <c r="X90" s="268"/>
      <c r="Y90" s="268"/>
      <c r="Z90" s="269"/>
      <c r="AA90" s="333"/>
      <c r="AB90" s="334"/>
      <c r="AC90" s="334"/>
      <c r="AD90" s="334"/>
      <c r="AE90" s="334"/>
      <c r="AF90" s="334"/>
      <c r="AG90" s="334"/>
      <c r="AH90" s="334"/>
      <c r="AI90" s="334"/>
      <c r="AJ90" s="334"/>
      <c r="AK90" s="334"/>
      <c r="AL90" s="334"/>
      <c r="AM90" s="334"/>
      <c r="AN90" s="334"/>
      <c r="AO90" s="334"/>
      <c r="AP90" s="334"/>
      <c r="AQ90" s="334"/>
      <c r="AR90" s="335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</row>
    <row r="91" spans="1:328" ht="15" customHeight="1">
      <c r="A91" s="412"/>
      <c r="B91" s="383"/>
      <c r="C91" s="384"/>
      <c r="D91" s="384"/>
      <c r="E91" s="384"/>
      <c r="F91" s="384"/>
      <c r="G91" s="384"/>
      <c r="H91" s="384"/>
      <c r="I91" s="384"/>
      <c r="J91" s="384"/>
      <c r="K91" s="267"/>
      <c r="L91" s="268"/>
      <c r="M91" s="268"/>
      <c r="N91" s="332"/>
      <c r="O91" s="267"/>
      <c r="P91" s="268"/>
      <c r="Q91" s="268"/>
      <c r="R91" s="269"/>
      <c r="S91" s="331"/>
      <c r="T91" s="268"/>
      <c r="U91" s="268"/>
      <c r="V91" s="332"/>
      <c r="W91" s="267"/>
      <c r="X91" s="268"/>
      <c r="Y91" s="268"/>
      <c r="Z91" s="269"/>
      <c r="AA91" s="333"/>
      <c r="AB91" s="334"/>
      <c r="AC91" s="334"/>
      <c r="AD91" s="334"/>
      <c r="AE91" s="334"/>
      <c r="AF91" s="334"/>
      <c r="AG91" s="334"/>
      <c r="AH91" s="334"/>
      <c r="AI91" s="334"/>
      <c r="AJ91" s="334"/>
      <c r="AK91" s="334"/>
      <c r="AL91" s="334"/>
      <c r="AM91" s="334"/>
      <c r="AN91" s="334"/>
      <c r="AO91" s="334"/>
      <c r="AP91" s="334"/>
      <c r="AQ91" s="334"/>
      <c r="AR91" s="335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</row>
    <row r="92" spans="1:328" ht="15" customHeight="1">
      <c r="A92" s="412"/>
      <c r="B92" s="383"/>
      <c r="C92" s="384"/>
      <c r="D92" s="384"/>
      <c r="E92" s="384"/>
      <c r="F92" s="384"/>
      <c r="G92" s="384"/>
      <c r="H92" s="384"/>
      <c r="I92" s="384"/>
      <c r="J92" s="384"/>
      <c r="K92" s="267"/>
      <c r="L92" s="268"/>
      <c r="M92" s="268"/>
      <c r="N92" s="332"/>
      <c r="O92" s="267"/>
      <c r="P92" s="268"/>
      <c r="Q92" s="268"/>
      <c r="R92" s="269"/>
      <c r="S92" s="331"/>
      <c r="T92" s="268"/>
      <c r="U92" s="268"/>
      <c r="V92" s="332"/>
      <c r="W92" s="267"/>
      <c r="X92" s="268"/>
      <c r="Y92" s="268"/>
      <c r="Z92" s="269"/>
      <c r="AA92" s="333"/>
      <c r="AB92" s="334"/>
      <c r="AC92" s="334"/>
      <c r="AD92" s="334"/>
      <c r="AE92" s="334"/>
      <c r="AF92" s="334"/>
      <c r="AG92" s="334"/>
      <c r="AH92" s="334"/>
      <c r="AI92" s="334"/>
      <c r="AJ92" s="334"/>
      <c r="AK92" s="334"/>
      <c r="AL92" s="334"/>
      <c r="AM92" s="334"/>
      <c r="AN92" s="334"/>
      <c r="AO92" s="334"/>
      <c r="AP92" s="334"/>
      <c r="AQ92" s="334"/>
      <c r="AR92" s="335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</row>
    <row r="93" spans="1:328" ht="15" customHeight="1">
      <c r="A93" s="413"/>
      <c r="B93" s="383"/>
      <c r="C93" s="384"/>
      <c r="D93" s="384"/>
      <c r="E93" s="384"/>
      <c r="F93" s="384"/>
      <c r="G93" s="384"/>
      <c r="H93" s="384"/>
      <c r="I93" s="384"/>
      <c r="J93" s="384"/>
      <c r="K93" s="267"/>
      <c r="L93" s="268"/>
      <c r="M93" s="268"/>
      <c r="N93" s="332"/>
      <c r="O93" s="267"/>
      <c r="P93" s="268"/>
      <c r="Q93" s="268"/>
      <c r="R93" s="269"/>
      <c r="S93" s="331"/>
      <c r="T93" s="268"/>
      <c r="U93" s="268"/>
      <c r="V93" s="332"/>
      <c r="W93" s="267"/>
      <c r="X93" s="268"/>
      <c r="Y93" s="268"/>
      <c r="Z93" s="269"/>
      <c r="AA93" s="333"/>
      <c r="AB93" s="334"/>
      <c r="AC93" s="334"/>
      <c r="AD93" s="334"/>
      <c r="AE93" s="334"/>
      <c r="AF93" s="334"/>
      <c r="AG93" s="334"/>
      <c r="AH93" s="334"/>
      <c r="AI93" s="334"/>
      <c r="AJ93" s="334"/>
      <c r="AK93" s="334"/>
      <c r="AL93" s="334"/>
      <c r="AM93" s="334"/>
      <c r="AN93" s="334"/>
      <c r="AO93" s="334"/>
      <c r="AP93" s="334"/>
      <c r="AQ93" s="334"/>
      <c r="AR93" s="335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  <c r="KF93" s="1"/>
      <c r="KG93" s="1"/>
      <c r="KH93" s="1"/>
      <c r="KI93" s="1"/>
      <c r="KJ93" s="1"/>
      <c r="KK93" s="1"/>
      <c r="KL93" s="1"/>
      <c r="KM93" s="1"/>
      <c r="KN93" s="1"/>
      <c r="KO93" s="1"/>
      <c r="KP93" s="1"/>
      <c r="KQ93" s="1"/>
      <c r="KR93" s="1"/>
      <c r="KS93" s="1"/>
      <c r="KT93" s="1"/>
      <c r="KU93" s="1"/>
      <c r="KV93" s="1"/>
      <c r="KW93" s="1"/>
      <c r="KX93" s="1"/>
      <c r="KY93" s="1"/>
      <c r="KZ93" s="1"/>
      <c r="LA93" s="1"/>
      <c r="LB93" s="1"/>
      <c r="LC93" s="1"/>
      <c r="LD93" s="1"/>
      <c r="LE93" s="1"/>
      <c r="LF93" s="1"/>
      <c r="LG93" s="1"/>
      <c r="LH93" s="1"/>
      <c r="LI93" s="1"/>
      <c r="LJ93" s="1"/>
      <c r="LK93" s="1"/>
      <c r="LL93" s="1"/>
      <c r="LM93" s="1"/>
      <c r="LN93" s="1"/>
      <c r="LO93" s="1"/>
      <c r="LP93" s="1"/>
    </row>
    <row r="94" spans="1:328" ht="15" customHeight="1">
      <c r="A94" s="413"/>
      <c r="B94" s="383"/>
      <c r="C94" s="384"/>
      <c r="D94" s="384"/>
      <c r="E94" s="384"/>
      <c r="F94" s="384"/>
      <c r="G94" s="384"/>
      <c r="H94" s="384"/>
      <c r="I94" s="384"/>
      <c r="J94" s="384"/>
      <c r="K94" s="267"/>
      <c r="L94" s="268"/>
      <c r="M94" s="268"/>
      <c r="N94" s="332"/>
      <c r="O94" s="267"/>
      <c r="P94" s="268"/>
      <c r="Q94" s="268"/>
      <c r="R94" s="269"/>
      <c r="S94" s="331"/>
      <c r="T94" s="268"/>
      <c r="U94" s="268"/>
      <c r="V94" s="332"/>
      <c r="W94" s="267"/>
      <c r="X94" s="268"/>
      <c r="Y94" s="268"/>
      <c r="Z94" s="269"/>
      <c r="AA94" s="333"/>
      <c r="AB94" s="334"/>
      <c r="AC94" s="334"/>
      <c r="AD94" s="334"/>
      <c r="AE94" s="334"/>
      <c r="AF94" s="334"/>
      <c r="AG94" s="334"/>
      <c r="AH94" s="334"/>
      <c r="AI94" s="334"/>
      <c r="AJ94" s="334"/>
      <c r="AK94" s="334"/>
      <c r="AL94" s="334"/>
      <c r="AM94" s="334"/>
      <c r="AN94" s="334"/>
      <c r="AO94" s="334"/>
      <c r="AP94" s="334"/>
      <c r="AQ94" s="334"/>
      <c r="AR94" s="335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  <c r="KF94" s="1"/>
      <c r="KG94" s="1"/>
      <c r="KH94" s="1"/>
      <c r="KI94" s="1"/>
      <c r="KJ94" s="1"/>
      <c r="KK94" s="1"/>
      <c r="KL94" s="1"/>
      <c r="KM94" s="1"/>
      <c r="KN94" s="1"/>
      <c r="KO94" s="1"/>
      <c r="KP94" s="1"/>
      <c r="KQ94" s="1"/>
      <c r="KR94" s="1"/>
      <c r="KS94" s="1"/>
      <c r="KT94" s="1"/>
      <c r="KU94" s="1"/>
      <c r="KV94" s="1"/>
      <c r="KW94" s="1"/>
      <c r="KX94" s="1"/>
      <c r="KY94" s="1"/>
      <c r="KZ94" s="1"/>
      <c r="LA94" s="1"/>
      <c r="LB94" s="1"/>
      <c r="LC94" s="1"/>
      <c r="LD94" s="1"/>
      <c r="LE94" s="1"/>
      <c r="LF94" s="1"/>
      <c r="LG94" s="1"/>
      <c r="LH94" s="1"/>
      <c r="LI94" s="1"/>
      <c r="LJ94" s="1"/>
      <c r="LK94" s="1"/>
      <c r="LL94" s="1"/>
      <c r="LM94" s="1"/>
      <c r="LN94" s="1"/>
      <c r="LO94" s="1"/>
      <c r="LP94" s="1"/>
    </row>
    <row r="95" spans="1:328" ht="15" customHeight="1">
      <c r="A95" s="413"/>
      <c r="B95" s="383"/>
      <c r="C95" s="384"/>
      <c r="D95" s="384"/>
      <c r="E95" s="384"/>
      <c r="F95" s="384"/>
      <c r="G95" s="384"/>
      <c r="H95" s="384"/>
      <c r="I95" s="384"/>
      <c r="J95" s="384"/>
      <c r="K95" s="267"/>
      <c r="L95" s="268"/>
      <c r="M95" s="268"/>
      <c r="N95" s="332"/>
      <c r="O95" s="267"/>
      <c r="P95" s="268"/>
      <c r="Q95" s="268"/>
      <c r="R95" s="269"/>
      <c r="S95" s="331"/>
      <c r="T95" s="268"/>
      <c r="U95" s="268"/>
      <c r="V95" s="332"/>
      <c r="W95" s="267"/>
      <c r="X95" s="268"/>
      <c r="Y95" s="268"/>
      <c r="Z95" s="269"/>
      <c r="AA95" s="333"/>
      <c r="AB95" s="334"/>
      <c r="AC95" s="334"/>
      <c r="AD95" s="334"/>
      <c r="AE95" s="334"/>
      <c r="AF95" s="334"/>
      <c r="AG95" s="334"/>
      <c r="AH95" s="334"/>
      <c r="AI95" s="334"/>
      <c r="AJ95" s="334"/>
      <c r="AK95" s="334"/>
      <c r="AL95" s="334"/>
      <c r="AM95" s="334"/>
      <c r="AN95" s="334"/>
      <c r="AO95" s="334"/>
      <c r="AP95" s="334"/>
      <c r="AQ95" s="334"/>
      <c r="AR95" s="335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  <c r="KF95" s="1"/>
      <c r="KG95" s="1"/>
      <c r="KH95" s="1"/>
      <c r="KI95" s="1"/>
      <c r="KJ95" s="1"/>
      <c r="KK95" s="1"/>
      <c r="KL95" s="1"/>
      <c r="KM95" s="1"/>
      <c r="KN95" s="1"/>
      <c r="KO95" s="1"/>
      <c r="KP95" s="1"/>
      <c r="KQ95" s="1"/>
      <c r="KR95" s="1"/>
      <c r="KS95" s="1"/>
      <c r="KT95" s="1"/>
      <c r="KU95" s="1"/>
      <c r="KV95" s="1"/>
      <c r="KW95" s="1"/>
      <c r="KX95" s="1"/>
      <c r="KY95" s="1"/>
      <c r="KZ95" s="1"/>
      <c r="LA95" s="1"/>
      <c r="LB95" s="1"/>
      <c r="LC95" s="1"/>
      <c r="LD95" s="1"/>
      <c r="LE95" s="1"/>
      <c r="LF95" s="1"/>
      <c r="LG95" s="1"/>
      <c r="LH95" s="1"/>
      <c r="LI95" s="1"/>
      <c r="LJ95" s="1"/>
      <c r="LK95" s="1"/>
      <c r="LL95" s="1"/>
      <c r="LM95" s="1"/>
      <c r="LN95" s="1"/>
      <c r="LO95" s="1"/>
      <c r="LP95" s="1"/>
    </row>
    <row r="96" spans="1:328" ht="15" customHeight="1">
      <c r="A96" s="413"/>
      <c r="B96" s="383"/>
      <c r="C96" s="384"/>
      <c r="D96" s="384"/>
      <c r="E96" s="384"/>
      <c r="F96" s="384"/>
      <c r="G96" s="384"/>
      <c r="H96" s="384"/>
      <c r="I96" s="384"/>
      <c r="J96" s="384"/>
      <c r="K96" s="267"/>
      <c r="L96" s="268"/>
      <c r="M96" s="268"/>
      <c r="N96" s="332"/>
      <c r="O96" s="267"/>
      <c r="P96" s="268"/>
      <c r="Q96" s="268"/>
      <c r="R96" s="269"/>
      <c r="S96" s="331"/>
      <c r="T96" s="268"/>
      <c r="U96" s="268"/>
      <c r="V96" s="332"/>
      <c r="W96" s="267"/>
      <c r="X96" s="268"/>
      <c r="Y96" s="268"/>
      <c r="Z96" s="269"/>
      <c r="AA96" s="333"/>
      <c r="AB96" s="334"/>
      <c r="AC96" s="334"/>
      <c r="AD96" s="334"/>
      <c r="AE96" s="334"/>
      <c r="AF96" s="334"/>
      <c r="AG96" s="334"/>
      <c r="AH96" s="334"/>
      <c r="AI96" s="334"/>
      <c r="AJ96" s="334"/>
      <c r="AK96" s="334"/>
      <c r="AL96" s="334"/>
      <c r="AM96" s="334"/>
      <c r="AN96" s="334"/>
      <c r="AO96" s="334"/>
      <c r="AP96" s="334"/>
      <c r="AQ96" s="334"/>
      <c r="AR96" s="335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  <c r="JJ96" s="1"/>
      <c r="JK96" s="1"/>
      <c r="JL96" s="1"/>
      <c r="JM96" s="1"/>
      <c r="JN96" s="1"/>
      <c r="JO96" s="1"/>
      <c r="JP96" s="1"/>
      <c r="JQ96" s="1"/>
      <c r="JR96" s="1"/>
      <c r="JS96" s="1"/>
      <c r="JT96" s="1"/>
      <c r="JU96" s="1"/>
      <c r="JV96" s="1"/>
      <c r="JW96" s="1"/>
      <c r="JX96" s="1"/>
      <c r="JY96" s="1"/>
      <c r="JZ96" s="1"/>
      <c r="KA96" s="1"/>
      <c r="KB96" s="1"/>
      <c r="KC96" s="1"/>
      <c r="KD96" s="1"/>
      <c r="KE96" s="1"/>
      <c r="KF96" s="1"/>
      <c r="KG96" s="1"/>
      <c r="KH96" s="1"/>
      <c r="KI96" s="1"/>
      <c r="KJ96" s="1"/>
      <c r="KK96" s="1"/>
      <c r="KL96" s="1"/>
      <c r="KM96" s="1"/>
      <c r="KN96" s="1"/>
      <c r="KO96" s="1"/>
      <c r="KP96" s="1"/>
      <c r="KQ96" s="1"/>
      <c r="KR96" s="1"/>
      <c r="KS96" s="1"/>
      <c r="KT96" s="1"/>
      <c r="KU96" s="1"/>
      <c r="KV96" s="1"/>
      <c r="KW96" s="1"/>
      <c r="KX96" s="1"/>
      <c r="KY96" s="1"/>
      <c r="KZ96" s="1"/>
      <c r="LA96" s="1"/>
      <c r="LB96" s="1"/>
      <c r="LC96" s="1"/>
      <c r="LD96" s="1"/>
      <c r="LE96" s="1"/>
      <c r="LF96" s="1"/>
      <c r="LG96" s="1"/>
      <c r="LH96" s="1"/>
      <c r="LI96" s="1"/>
      <c r="LJ96" s="1"/>
      <c r="LK96" s="1"/>
      <c r="LL96" s="1"/>
      <c r="LM96" s="1"/>
      <c r="LN96" s="1"/>
      <c r="LO96" s="1"/>
      <c r="LP96" s="1"/>
    </row>
    <row r="97" spans="1:328" ht="15" customHeight="1" thickBot="1">
      <c r="A97" s="414"/>
      <c r="B97" s="451"/>
      <c r="C97" s="452"/>
      <c r="D97" s="452"/>
      <c r="E97" s="452"/>
      <c r="F97" s="452"/>
      <c r="G97" s="452"/>
      <c r="H97" s="452"/>
      <c r="I97" s="452"/>
      <c r="J97" s="452"/>
      <c r="K97" s="395"/>
      <c r="L97" s="396"/>
      <c r="M97" s="396"/>
      <c r="N97" s="399"/>
      <c r="O97" s="395"/>
      <c r="P97" s="396"/>
      <c r="Q97" s="396"/>
      <c r="R97" s="397"/>
      <c r="S97" s="398"/>
      <c r="T97" s="396"/>
      <c r="U97" s="396"/>
      <c r="V97" s="399"/>
      <c r="W97" s="395"/>
      <c r="X97" s="396"/>
      <c r="Y97" s="396"/>
      <c r="Z97" s="397"/>
      <c r="AA97" s="400"/>
      <c r="AB97" s="401"/>
      <c r="AC97" s="401"/>
      <c r="AD97" s="401"/>
      <c r="AE97" s="401"/>
      <c r="AF97" s="401"/>
      <c r="AG97" s="401"/>
      <c r="AH97" s="401"/>
      <c r="AI97" s="401"/>
      <c r="AJ97" s="401"/>
      <c r="AK97" s="401"/>
      <c r="AL97" s="401"/>
      <c r="AM97" s="401"/>
      <c r="AN97" s="401"/>
      <c r="AO97" s="401"/>
      <c r="AP97" s="401"/>
      <c r="AQ97" s="401"/>
      <c r="AR97" s="40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/>
      <c r="KB97" s="1"/>
      <c r="KC97" s="1"/>
      <c r="KD97" s="1"/>
      <c r="KE97" s="1"/>
      <c r="KF97" s="1"/>
      <c r="KG97" s="1"/>
      <c r="KH97" s="1"/>
      <c r="KI97" s="1"/>
      <c r="KJ97" s="1"/>
      <c r="KK97" s="1"/>
      <c r="KL97" s="1"/>
      <c r="KM97" s="1"/>
      <c r="KN97" s="1"/>
      <c r="KO97" s="1"/>
      <c r="KP97" s="1"/>
      <c r="KQ97" s="1"/>
      <c r="KR97" s="1"/>
      <c r="KS97" s="1"/>
      <c r="KT97" s="1"/>
      <c r="KU97" s="1"/>
      <c r="KV97" s="1"/>
      <c r="KW97" s="1"/>
      <c r="KX97" s="1"/>
      <c r="KY97" s="1"/>
      <c r="KZ97" s="1"/>
      <c r="LA97" s="1"/>
      <c r="LB97" s="1"/>
      <c r="LC97" s="1"/>
      <c r="LD97" s="1"/>
      <c r="LE97" s="1"/>
      <c r="LF97" s="1"/>
      <c r="LG97" s="1"/>
      <c r="LH97" s="1"/>
      <c r="LI97" s="1"/>
      <c r="LJ97" s="1"/>
      <c r="LK97" s="1"/>
      <c r="LL97" s="1"/>
      <c r="LM97" s="1"/>
      <c r="LN97" s="1"/>
      <c r="LO97" s="1"/>
      <c r="LP97" s="1"/>
    </row>
    <row r="98" spans="1:328" ht="15" customHeight="1" thickTop="1" thickBo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</row>
    <row r="99" spans="1:328" ht="15" customHeight="1" thickTop="1" thickBot="1">
      <c r="A99" s="774" t="s">
        <v>18</v>
      </c>
      <c r="B99" s="775"/>
      <c r="C99" s="775"/>
      <c r="D99" s="775"/>
      <c r="E99" s="775"/>
      <c r="F99" s="775"/>
      <c r="G99" s="775"/>
      <c r="H99" s="775"/>
      <c r="I99" s="775"/>
      <c r="J99" s="775"/>
      <c r="K99" s="775"/>
      <c r="L99" s="775"/>
      <c r="M99" s="775"/>
      <c r="N99" s="775"/>
      <c r="O99" s="775"/>
      <c r="P99" s="775"/>
      <c r="Q99" s="775"/>
      <c r="R99" s="775"/>
      <c r="S99" s="775"/>
      <c r="T99" s="776"/>
      <c r="U99" s="2"/>
      <c r="V99" s="815" t="s">
        <v>17</v>
      </c>
      <c r="W99" s="816"/>
      <c r="X99" s="816"/>
      <c r="Y99" s="816"/>
      <c r="Z99" s="816"/>
      <c r="AA99" s="817"/>
      <c r="AB99" s="449" t="s">
        <v>15</v>
      </c>
      <c r="AC99" s="450"/>
      <c r="AD99" s="449" t="s">
        <v>14</v>
      </c>
      <c r="AE99" s="772"/>
      <c r="AF99" s="773"/>
      <c r="AG99" s="75"/>
      <c r="AH99" s="109" t="s">
        <v>16</v>
      </c>
      <c r="AI99" s="110"/>
      <c r="AJ99" s="110"/>
      <c r="AK99" s="110"/>
      <c r="AL99" s="110"/>
      <c r="AM99" s="110"/>
      <c r="AN99" s="449" t="s">
        <v>15</v>
      </c>
      <c r="AO99" s="450"/>
      <c r="AP99" s="449" t="s">
        <v>14</v>
      </c>
      <c r="AQ99" s="772"/>
      <c r="AR99" s="773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  <c r="JJ99" s="1"/>
      <c r="JK99" s="1"/>
      <c r="JL99" s="1"/>
      <c r="JM99" s="1"/>
      <c r="JN99" s="1"/>
      <c r="JO99" s="1"/>
      <c r="JP99" s="1"/>
      <c r="JQ99" s="1"/>
      <c r="JR99" s="1"/>
      <c r="JS99" s="1"/>
      <c r="JT99" s="1"/>
      <c r="JU99" s="1"/>
      <c r="JV99" s="1"/>
      <c r="JW99" s="1"/>
      <c r="JX99" s="1"/>
      <c r="JY99" s="1"/>
      <c r="JZ99" s="1"/>
      <c r="KA99" s="1"/>
      <c r="KB99" s="1"/>
      <c r="KC99" s="1"/>
      <c r="KD99" s="1"/>
      <c r="KE99" s="1"/>
      <c r="KF99" s="1"/>
      <c r="KG99" s="1"/>
      <c r="KH99" s="1"/>
      <c r="KI99" s="1"/>
      <c r="KJ99" s="1"/>
      <c r="KK99" s="1"/>
      <c r="KL99" s="1"/>
      <c r="KM99" s="1"/>
      <c r="KN99" s="1"/>
      <c r="KO99" s="1"/>
      <c r="KP99" s="1"/>
      <c r="KQ99" s="1"/>
      <c r="KR99" s="1"/>
      <c r="KS99" s="1"/>
      <c r="KT99" s="1"/>
      <c r="KU99" s="1"/>
      <c r="KV99" s="1"/>
      <c r="KW99" s="1"/>
      <c r="KX99" s="1"/>
      <c r="KY99" s="1"/>
      <c r="KZ99" s="1"/>
      <c r="LA99" s="1"/>
      <c r="LB99" s="1"/>
      <c r="LC99" s="1"/>
      <c r="LD99" s="1"/>
      <c r="LE99" s="1"/>
      <c r="LF99" s="1"/>
      <c r="LG99" s="1"/>
      <c r="LH99" s="1"/>
      <c r="LI99" s="1"/>
      <c r="LJ99" s="1"/>
      <c r="LK99" s="1"/>
      <c r="LL99" s="1"/>
      <c r="LM99" s="1"/>
      <c r="LN99" s="1"/>
      <c r="LO99" s="1"/>
      <c r="LP99" s="1"/>
    </row>
    <row r="100" spans="1:328" ht="15" customHeight="1">
      <c r="A100" s="385"/>
      <c r="B100" s="386"/>
      <c r="C100" s="386"/>
      <c r="D100" s="386"/>
      <c r="E100" s="386"/>
      <c r="F100" s="386"/>
      <c r="G100" s="386"/>
      <c r="H100" s="386"/>
      <c r="I100" s="386"/>
      <c r="J100" s="386"/>
      <c r="K100" s="386"/>
      <c r="L100" s="386"/>
      <c r="M100" s="386"/>
      <c r="N100" s="386"/>
      <c r="O100" s="386"/>
      <c r="P100" s="386"/>
      <c r="Q100" s="386"/>
      <c r="R100" s="386"/>
      <c r="S100" s="386"/>
      <c r="T100" s="387"/>
      <c r="U100" s="2"/>
      <c r="V100" s="409"/>
      <c r="W100" s="410"/>
      <c r="X100" s="410"/>
      <c r="Y100" s="410"/>
      <c r="Z100" s="410"/>
      <c r="AA100" s="410"/>
      <c r="AB100" s="262"/>
      <c r="AC100" s="262"/>
      <c r="AD100" s="262"/>
      <c r="AE100" s="262"/>
      <c r="AF100" s="391"/>
      <c r="AG100" s="75"/>
      <c r="AH100" s="392"/>
      <c r="AI100" s="393"/>
      <c r="AJ100" s="393"/>
      <c r="AK100" s="393"/>
      <c r="AL100" s="393"/>
      <c r="AM100" s="393"/>
      <c r="AN100" s="394"/>
      <c r="AO100" s="394"/>
      <c r="AP100" s="394"/>
      <c r="AQ100" s="394"/>
      <c r="AR100" s="453"/>
      <c r="AS100" s="57"/>
      <c r="AT100" s="57"/>
      <c r="AU100" s="57"/>
      <c r="AV100" s="57"/>
      <c r="AW100" s="57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  <c r="JJ100" s="1"/>
      <c r="JK100" s="1"/>
      <c r="JL100" s="1"/>
      <c r="JM100" s="1"/>
      <c r="JN100" s="1"/>
      <c r="JO100" s="1"/>
      <c r="JP100" s="1"/>
      <c r="JQ100" s="1"/>
      <c r="JR100" s="1"/>
      <c r="JS100" s="1"/>
      <c r="JT100" s="1"/>
      <c r="JU100" s="1"/>
      <c r="JV100" s="1"/>
      <c r="JW100" s="1"/>
      <c r="JX100" s="1"/>
      <c r="JY100" s="1"/>
      <c r="JZ100" s="1"/>
      <c r="KA100" s="1"/>
      <c r="KB100" s="1"/>
      <c r="KC100" s="1"/>
      <c r="KD100" s="1"/>
      <c r="KE100" s="1"/>
      <c r="KF100" s="1"/>
      <c r="KG100" s="1"/>
      <c r="KH100" s="1"/>
      <c r="KI100" s="1"/>
      <c r="KJ100" s="1"/>
      <c r="KK100" s="1"/>
      <c r="KL100" s="1"/>
      <c r="KM100" s="1"/>
      <c r="KN100" s="1"/>
      <c r="KO100" s="1"/>
      <c r="KP100" s="1"/>
      <c r="KQ100" s="1"/>
      <c r="KR100" s="1"/>
      <c r="KS100" s="1"/>
      <c r="KT100" s="1"/>
      <c r="KU100" s="1"/>
      <c r="KV100" s="1"/>
      <c r="KW100" s="1"/>
      <c r="KX100" s="1"/>
      <c r="KY100" s="1"/>
      <c r="KZ100" s="1"/>
      <c r="LA100" s="1"/>
      <c r="LB100" s="1"/>
      <c r="LC100" s="1"/>
      <c r="LD100" s="1"/>
      <c r="LE100" s="1"/>
      <c r="LF100" s="1"/>
      <c r="LG100" s="1"/>
      <c r="LH100" s="1"/>
      <c r="LI100" s="1"/>
      <c r="LJ100" s="1"/>
      <c r="LK100" s="1"/>
      <c r="LL100" s="1"/>
      <c r="LM100" s="1"/>
      <c r="LN100" s="1"/>
      <c r="LO100" s="1"/>
      <c r="LP100" s="1"/>
    </row>
    <row r="101" spans="1:328" ht="15" customHeight="1">
      <c r="A101" s="388"/>
      <c r="B101" s="389"/>
      <c r="C101" s="389"/>
      <c r="D101" s="389"/>
      <c r="E101" s="389"/>
      <c r="F101" s="389"/>
      <c r="G101" s="389"/>
      <c r="H101" s="389"/>
      <c r="I101" s="389"/>
      <c r="J101" s="389"/>
      <c r="K101" s="389"/>
      <c r="L101" s="389"/>
      <c r="M101" s="389"/>
      <c r="N101" s="389"/>
      <c r="O101" s="389"/>
      <c r="P101" s="389"/>
      <c r="Q101" s="389"/>
      <c r="R101" s="389"/>
      <c r="S101" s="389"/>
      <c r="T101" s="390"/>
      <c r="U101" s="2"/>
      <c r="V101" s="409"/>
      <c r="W101" s="410"/>
      <c r="X101" s="410"/>
      <c r="Y101" s="410"/>
      <c r="Z101" s="410"/>
      <c r="AA101" s="410"/>
      <c r="AB101" s="262"/>
      <c r="AC101" s="262"/>
      <c r="AD101" s="262"/>
      <c r="AE101" s="262"/>
      <c r="AF101" s="391"/>
      <c r="AG101" s="75"/>
      <c r="AH101" s="392"/>
      <c r="AI101" s="393"/>
      <c r="AJ101" s="393"/>
      <c r="AK101" s="393"/>
      <c r="AL101" s="393"/>
      <c r="AM101" s="393"/>
      <c r="AN101" s="394"/>
      <c r="AO101" s="394"/>
      <c r="AP101" s="394"/>
      <c r="AQ101" s="394"/>
      <c r="AR101" s="453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  <c r="JC101" s="1"/>
      <c r="JD101" s="1"/>
      <c r="JE101" s="1"/>
      <c r="JF101" s="1"/>
      <c r="JG101" s="1"/>
      <c r="JH101" s="1"/>
      <c r="JI101" s="1"/>
      <c r="JJ101" s="1"/>
      <c r="JK101" s="1"/>
      <c r="JL101" s="1"/>
      <c r="JM101" s="1"/>
      <c r="JN101" s="1"/>
      <c r="JO101" s="1"/>
      <c r="JP101" s="1"/>
      <c r="JQ101" s="1"/>
      <c r="JR101" s="1"/>
      <c r="JS101" s="1"/>
      <c r="JT101" s="1"/>
      <c r="JU101" s="1"/>
      <c r="JV101" s="1"/>
      <c r="JW101" s="1"/>
      <c r="JX101" s="1"/>
      <c r="JY101" s="1"/>
      <c r="JZ101" s="1"/>
      <c r="KA101" s="1"/>
      <c r="KB101" s="1"/>
      <c r="KC101" s="1"/>
      <c r="KD101" s="1"/>
      <c r="KE101" s="1"/>
      <c r="KF101" s="1"/>
      <c r="KG101" s="1"/>
      <c r="KH101" s="1"/>
      <c r="KI101" s="1"/>
      <c r="KJ101" s="1"/>
      <c r="KK101" s="1"/>
      <c r="KL101" s="1"/>
      <c r="KM101" s="1"/>
      <c r="KN101" s="1"/>
      <c r="KO101" s="1"/>
      <c r="KP101" s="1"/>
      <c r="KQ101" s="1"/>
      <c r="KR101" s="1"/>
      <c r="KS101" s="1"/>
      <c r="KT101" s="1"/>
      <c r="KU101" s="1"/>
      <c r="KV101" s="1"/>
      <c r="KW101" s="1"/>
      <c r="KX101" s="1"/>
      <c r="KY101" s="1"/>
      <c r="KZ101" s="1"/>
      <c r="LA101" s="1"/>
      <c r="LB101" s="1"/>
      <c r="LC101" s="1"/>
      <c r="LD101" s="1"/>
      <c r="LE101" s="1"/>
      <c r="LF101" s="1"/>
      <c r="LG101" s="1"/>
      <c r="LH101" s="1"/>
      <c r="LI101" s="1"/>
      <c r="LJ101" s="1"/>
      <c r="LK101" s="1"/>
      <c r="LL101" s="1"/>
      <c r="LM101" s="1"/>
      <c r="LN101" s="1"/>
      <c r="LO101" s="1"/>
      <c r="LP101" s="1"/>
    </row>
    <row r="102" spans="1:328" ht="15" customHeight="1">
      <c r="A102" s="385"/>
      <c r="B102" s="386"/>
      <c r="C102" s="386"/>
      <c r="D102" s="386"/>
      <c r="E102" s="386"/>
      <c r="F102" s="386"/>
      <c r="G102" s="386"/>
      <c r="H102" s="386"/>
      <c r="I102" s="386"/>
      <c r="J102" s="386"/>
      <c r="K102" s="386"/>
      <c r="L102" s="386"/>
      <c r="M102" s="386"/>
      <c r="N102" s="386"/>
      <c r="O102" s="386"/>
      <c r="P102" s="386"/>
      <c r="Q102" s="386"/>
      <c r="R102" s="386"/>
      <c r="S102" s="386"/>
      <c r="T102" s="387"/>
      <c r="U102" s="2"/>
      <c r="V102" s="409"/>
      <c r="W102" s="410"/>
      <c r="X102" s="410"/>
      <c r="Y102" s="410"/>
      <c r="Z102" s="410"/>
      <c r="AA102" s="410"/>
      <c r="AB102" s="262"/>
      <c r="AC102" s="262"/>
      <c r="AD102" s="262"/>
      <c r="AE102" s="262"/>
      <c r="AF102" s="391"/>
      <c r="AG102" s="75"/>
      <c r="AH102" s="392"/>
      <c r="AI102" s="393"/>
      <c r="AJ102" s="393"/>
      <c r="AK102" s="393"/>
      <c r="AL102" s="393"/>
      <c r="AM102" s="393"/>
      <c r="AN102" s="394"/>
      <c r="AO102" s="394"/>
      <c r="AP102" s="394"/>
      <c r="AQ102" s="394"/>
      <c r="AR102" s="453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  <c r="JL102" s="1"/>
      <c r="JM102" s="1"/>
      <c r="JN102" s="1"/>
      <c r="JO102" s="1"/>
      <c r="JP102" s="1"/>
      <c r="JQ102" s="1"/>
      <c r="JR102" s="1"/>
      <c r="JS102" s="1"/>
      <c r="JT102" s="1"/>
      <c r="JU102" s="1"/>
      <c r="JV102" s="1"/>
      <c r="JW102" s="1"/>
      <c r="JX102" s="1"/>
      <c r="JY102" s="1"/>
      <c r="JZ102" s="1"/>
      <c r="KA102" s="1"/>
      <c r="KB102" s="1"/>
      <c r="KC102" s="1"/>
      <c r="KD102" s="1"/>
      <c r="KE102" s="1"/>
      <c r="KF102" s="1"/>
      <c r="KG102" s="1"/>
      <c r="KH102" s="1"/>
      <c r="KI102" s="1"/>
      <c r="KJ102" s="1"/>
      <c r="KK102" s="1"/>
      <c r="KL102" s="1"/>
      <c r="KM102" s="1"/>
      <c r="KN102" s="1"/>
      <c r="KO102" s="1"/>
      <c r="KP102" s="1"/>
      <c r="KQ102" s="1"/>
      <c r="KR102" s="1"/>
      <c r="KS102" s="1"/>
      <c r="KT102" s="1"/>
      <c r="KU102" s="1"/>
      <c r="KV102" s="1"/>
      <c r="KW102" s="1"/>
      <c r="KX102" s="1"/>
      <c r="KY102" s="1"/>
      <c r="KZ102" s="1"/>
      <c r="LA102" s="1"/>
      <c r="LB102" s="1"/>
      <c r="LC102" s="1"/>
      <c r="LD102" s="1"/>
      <c r="LE102" s="1"/>
      <c r="LF102" s="1"/>
      <c r="LG102" s="1"/>
      <c r="LH102" s="1"/>
      <c r="LI102" s="1"/>
      <c r="LJ102" s="1"/>
      <c r="LK102" s="1"/>
      <c r="LL102" s="1"/>
      <c r="LM102" s="1"/>
      <c r="LN102" s="1"/>
      <c r="LO102" s="1"/>
      <c r="LP102" s="1"/>
    </row>
    <row r="103" spans="1:328" ht="15" customHeight="1">
      <c r="A103" s="388"/>
      <c r="B103" s="389"/>
      <c r="C103" s="389"/>
      <c r="D103" s="389"/>
      <c r="E103" s="389"/>
      <c r="F103" s="389"/>
      <c r="G103" s="389"/>
      <c r="H103" s="389"/>
      <c r="I103" s="389"/>
      <c r="J103" s="389"/>
      <c r="K103" s="389"/>
      <c r="L103" s="389"/>
      <c r="M103" s="389"/>
      <c r="N103" s="389"/>
      <c r="O103" s="389"/>
      <c r="P103" s="389"/>
      <c r="Q103" s="389"/>
      <c r="R103" s="389"/>
      <c r="S103" s="389"/>
      <c r="T103" s="390"/>
      <c r="U103" s="2"/>
      <c r="V103" s="409"/>
      <c r="W103" s="410"/>
      <c r="X103" s="410"/>
      <c r="Y103" s="410"/>
      <c r="Z103" s="410"/>
      <c r="AA103" s="410"/>
      <c r="AB103" s="262"/>
      <c r="AC103" s="262"/>
      <c r="AD103" s="262"/>
      <c r="AE103" s="262"/>
      <c r="AF103" s="391"/>
      <c r="AG103" s="75"/>
      <c r="AH103" s="392"/>
      <c r="AI103" s="393"/>
      <c r="AJ103" s="393"/>
      <c r="AK103" s="393"/>
      <c r="AL103" s="393"/>
      <c r="AM103" s="393"/>
      <c r="AN103" s="394"/>
      <c r="AO103" s="394"/>
      <c r="AP103" s="394"/>
      <c r="AQ103" s="394"/>
      <c r="AR103" s="453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  <c r="JF103" s="1"/>
      <c r="JG103" s="1"/>
      <c r="JH103" s="1"/>
      <c r="JI103" s="1"/>
      <c r="JJ103" s="1"/>
      <c r="JK103" s="1"/>
      <c r="JL103" s="1"/>
      <c r="JM103" s="1"/>
      <c r="JN103" s="1"/>
      <c r="JO103" s="1"/>
      <c r="JP103" s="1"/>
      <c r="JQ103" s="1"/>
      <c r="JR103" s="1"/>
      <c r="JS103" s="1"/>
      <c r="JT103" s="1"/>
      <c r="JU103" s="1"/>
      <c r="JV103" s="1"/>
      <c r="JW103" s="1"/>
      <c r="JX103" s="1"/>
      <c r="JY103" s="1"/>
      <c r="JZ103" s="1"/>
      <c r="KA103" s="1"/>
      <c r="KB103" s="1"/>
      <c r="KC103" s="1"/>
      <c r="KD103" s="1"/>
      <c r="KE103" s="1"/>
      <c r="KF103" s="1"/>
      <c r="KG103" s="1"/>
      <c r="KH103" s="1"/>
      <c r="KI103" s="1"/>
      <c r="KJ103" s="1"/>
      <c r="KK103" s="1"/>
      <c r="KL103" s="1"/>
      <c r="KM103" s="1"/>
      <c r="KN103" s="1"/>
      <c r="KO103" s="1"/>
      <c r="KP103" s="1"/>
      <c r="KQ103" s="1"/>
      <c r="KR103" s="1"/>
      <c r="KS103" s="1"/>
      <c r="KT103" s="1"/>
      <c r="KU103" s="1"/>
      <c r="KV103" s="1"/>
      <c r="KW103" s="1"/>
      <c r="KX103" s="1"/>
      <c r="KY103" s="1"/>
      <c r="KZ103" s="1"/>
      <c r="LA103" s="1"/>
      <c r="LB103" s="1"/>
      <c r="LC103" s="1"/>
      <c r="LD103" s="1"/>
      <c r="LE103" s="1"/>
      <c r="LF103" s="1"/>
      <c r="LG103" s="1"/>
      <c r="LH103" s="1"/>
      <c r="LI103" s="1"/>
      <c r="LJ103" s="1"/>
      <c r="LK103" s="1"/>
      <c r="LL103" s="1"/>
      <c r="LM103" s="1"/>
      <c r="LN103" s="1"/>
      <c r="LO103" s="1"/>
      <c r="LP103" s="1"/>
    </row>
    <row r="104" spans="1:328" ht="15" customHeight="1">
      <c r="A104" s="385"/>
      <c r="B104" s="386"/>
      <c r="C104" s="386"/>
      <c r="D104" s="386"/>
      <c r="E104" s="386"/>
      <c r="F104" s="386"/>
      <c r="G104" s="386"/>
      <c r="H104" s="386"/>
      <c r="I104" s="386"/>
      <c r="J104" s="386"/>
      <c r="K104" s="386"/>
      <c r="L104" s="386"/>
      <c r="M104" s="386"/>
      <c r="N104" s="386"/>
      <c r="O104" s="386"/>
      <c r="P104" s="386"/>
      <c r="Q104" s="386"/>
      <c r="R104" s="386"/>
      <c r="S104" s="386"/>
      <c r="T104" s="387"/>
      <c r="U104" s="2"/>
      <c r="V104" s="409"/>
      <c r="W104" s="410"/>
      <c r="X104" s="410"/>
      <c r="Y104" s="410"/>
      <c r="Z104" s="410"/>
      <c r="AA104" s="410"/>
      <c r="AB104" s="262"/>
      <c r="AC104" s="262"/>
      <c r="AD104" s="262"/>
      <c r="AE104" s="262"/>
      <c r="AF104" s="391"/>
      <c r="AG104" s="75"/>
      <c r="AH104" s="392"/>
      <c r="AI104" s="393"/>
      <c r="AJ104" s="393"/>
      <c r="AK104" s="393"/>
      <c r="AL104" s="393"/>
      <c r="AM104" s="393"/>
      <c r="AN104" s="394"/>
      <c r="AO104" s="394"/>
      <c r="AP104" s="394"/>
      <c r="AQ104" s="394"/>
      <c r="AR104" s="453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  <c r="JC104" s="1"/>
      <c r="JD104" s="1"/>
      <c r="JE104" s="1"/>
      <c r="JF104" s="1"/>
      <c r="JG104" s="1"/>
      <c r="JH104" s="1"/>
      <c r="JI104" s="1"/>
      <c r="JJ104" s="1"/>
      <c r="JK104" s="1"/>
      <c r="JL104" s="1"/>
      <c r="JM104" s="1"/>
      <c r="JN104" s="1"/>
      <c r="JO104" s="1"/>
      <c r="JP104" s="1"/>
      <c r="JQ104" s="1"/>
      <c r="JR104" s="1"/>
      <c r="JS104" s="1"/>
      <c r="JT104" s="1"/>
      <c r="JU104" s="1"/>
      <c r="JV104" s="1"/>
      <c r="JW104" s="1"/>
      <c r="JX104" s="1"/>
      <c r="JY104" s="1"/>
      <c r="JZ104" s="1"/>
      <c r="KA104" s="1"/>
      <c r="KB104" s="1"/>
      <c r="KC104" s="1"/>
      <c r="KD104" s="1"/>
      <c r="KE104" s="1"/>
      <c r="KF104" s="1"/>
      <c r="KG104" s="1"/>
      <c r="KH104" s="1"/>
      <c r="KI104" s="1"/>
      <c r="KJ104" s="1"/>
      <c r="KK104" s="1"/>
      <c r="KL104" s="1"/>
      <c r="KM104" s="1"/>
      <c r="KN104" s="1"/>
      <c r="KO104" s="1"/>
      <c r="KP104" s="1"/>
      <c r="KQ104" s="1"/>
      <c r="KR104" s="1"/>
      <c r="KS104" s="1"/>
      <c r="KT104" s="1"/>
      <c r="KU104" s="1"/>
      <c r="KV104" s="1"/>
      <c r="KW104" s="1"/>
      <c r="KX104" s="1"/>
      <c r="KY104" s="1"/>
      <c r="KZ104" s="1"/>
      <c r="LA104" s="1"/>
      <c r="LB104" s="1"/>
      <c r="LC104" s="1"/>
      <c r="LD104" s="1"/>
      <c r="LE104" s="1"/>
      <c r="LF104" s="1"/>
      <c r="LG104" s="1"/>
      <c r="LH104" s="1"/>
      <c r="LI104" s="1"/>
      <c r="LJ104" s="1"/>
      <c r="LK104" s="1"/>
      <c r="LL104" s="1"/>
      <c r="LM104" s="1"/>
      <c r="LN104" s="1"/>
      <c r="LO104" s="1"/>
      <c r="LP104" s="1"/>
    </row>
    <row r="105" spans="1:328" ht="15" customHeight="1">
      <c r="A105" s="388"/>
      <c r="B105" s="389"/>
      <c r="C105" s="389"/>
      <c r="D105" s="389"/>
      <c r="E105" s="389"/>
      <c r="F105" s="389"/>
      <c r="G105" s="389"/>
      <c r="H105" s="389"/>
      <c r="I105" s="389"/>
      <c r="J105" s="389"/>
      <c r="K105" s="389"/>
      <c r="L105" s="389"/>
      <c r="M105" s="389"/>
      <c r="N105" s="389"/>
      <c r="O105" s="389"/>
      <c r="P105" s="389"/>
      <c r="Q105" s="389"/>
      <c r="R105" s="389"/>
      <c r="S105" s="389"/>
      <c r="T105" s="390"/>
      <c r="U105" s="2"/>
      <c r="V105" s="409"/>
      <c r="W105" s="410"/>
      <c r="X105" s="410"/>
      <c r="Y105" s="410"/>
      <c r="Z105" s="410"/>
      <c r="AA105" s="410"/>
      <c r="AB105" s="262"/>
      <c r="AC105" s="262"/>
      <c r="AD105" s="262"/>
      <c r="AE105" s="262"/>
      <c r="AF105" s="391"/>
      <c r="AG105" s="75"/>
      <c r="AH105" s="392"/>
      <c r="AI105" s="393"/>
      <c r="AJ105" s="393"/>
      <c r="AK105" s="393"/>
      <c r="AL105" s="393"/>
      <c r="AM105" s="393"/>
      <c r="AN105" s="394"/>
      <c r="AO105" s="394"/>
      <c r="AP105" s="394"/>
      <c r="AQ105" s="394"/>
      <c r="AR105" s="453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  <c r="JL105" s="1"/>
      <c r="JM105" s="1"/>
      <c r="JN105" s="1"/>
      <c r="JO105" s="1"/>
      <c r="JP105" s="1"/>
      <c r="JQ105" s="1"/>
      <c r="JR105" s="1"/>
      <c r="JS105" s="1"/>
      <c r="JT105" s="1"/>
      <c r="JU105" s="1"/>
      <c r="JV105" s="1"/>
      <c r="JW105" s="1"/>
      <c r="JX105" s="1"/>
      <c r="JY105" s="1"/>
      <c r="JZ105" s="1"/>
      <c r="KA105" s="1"/>
      <c r="KB105" s="1"/>
      <c r="KC105" s="1"/>
      <c r="KD105" s="1"/>
      <c r="KE105" s="1"/>
      <c r="KF105" s="1"/>
      <c r="KG105" s="1"/>
      <c r="KH105" s="1"/>
      <c r="KI105" s="1"/>
      <c r="KJ105" s="1"/>
      <c r="KK105" s="1"/>
      <c r="KL105" s="1"/>
      <c r="KM105" s="1"/>
      <c r="KN105" s="1"/>
      <c r="KO105" s="1"/>
      <c r="KP105" s="1"/>
      <c r="KQ105" s="1"/>
      <c r="KR105" s="1"/>
      <c r="KS105" s="1"/>
      <c r="KT105" s="1"/>
      <c r="KU105" s="1"/>
      <c r="KV105" s="1"/>
      <c r="KW105" s="1"/>
      <c r="KX105" s="1"/>
      <c r="KY105" s="1"/>
      <c r="KZ105" s="1"/>
      <c r="LA105" s="1"/>
      <c r="LB105" s="1"/>
      <c r="LC105" s="1"/>
      <c r="LD105" s="1"/>
      <c r="LE105" s="1"/>
      <c r="LF105" s="1"/>
      <c r="LG105" s="1"/>
      <c r="LH105" s="1"/>
      <c r="LI105" s="1"/>
      <c r="LJ105" s="1"/>
      <c r="LK105" s="1"/>
      <c r="LL105" s="1"/>
      <c r="LM105" s="1"/>
      <c r="LN105" s="1"/>
      <c r="LO105" s="1"/>
      <c r="LP105" s="1"/>
    </row>
    <row r="106" spans="1:328" ht="15" customHeight="1">
      <c r="A106" s="385"/>
      <c r="B106" s="386"/>
      <c r="C106" s="386"/>
      <c r="D106" s="386"/>
      <c r="E106" s="386"/>
      <c r="F106" s="386"/>
      <c r="G106" s="386"/>
      <c r="H106" s="386"/>
      <c r="I106" s="386"/>
      <c r="J106" s="386"/>
      <c r="K106" s="386"/>
      <c r="L106" s="386"/>
      <c r="M106" s="386"/>
      <c r="N106" s="386"/>
      <c r="O106" s="386"/>
      <c r="P106" s="386"/>
      <c r="Q106" s="386"/>
      <c r="R106" s="386"/>
      <c r="S106" s="386"/>
      <c r="T106" s="387"/>
      <c r="U106" s="2"/>
      <c r="V106" s="409"/>
      <c r="W106" s="410"/>
      <c r="X106" s="410"/>
      <c r="Y106" s="410"/>
      <c r="Z106" s="410"/>
      <c r="AA106" s="410"/>
      <c r="AB106" s="262"/>
      <c r="AC106" s="262"/>
      <c r="AD106" s="262"/>
      <c r="AE106" s="262"/>
      <c r="AF106" s="391"/>
      <c r="AG106" s="75"/>
      <c r="AH106" s="392"/>
      <c r="AI106" s="393"/>
      <c r="AJ106" s="393"/>
      <c r="AK106" s="393"/>
      <c r="AL106" s="393"/>
      <c r="AM106" s="393"/>
      <c r="AN106" s="394"/>
      <c r="AO106" s="394"/>
      <c r="AP106" s="394"/>
      <c r="AQ106" s="394"/>
      <c r="AR106" s="453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  <c r="JA106" s="1"/>
      <c r="JB106" s="1"/>
      <c r="JC106" s="1"/>
      <c r="JD106" s="1"/>
      <c r="JE106" s="1"/>
      <c r="JF106" s="1"/>
      <c r="JG106" s="1"/>
      <c r="JH106" s="1"/>
      <c r="JI106" s="1"/>
      <c r="JJ106" s="1"/>
      <c r="JK106" s="1"/>
      <c r="JL106" s="1"/>
      <c r="JM106" s="1"/>
      <c r="JN106" s="1"/>
      <c r="JO106" s="1"/>
      <c r="JP106" s="1"/>
      <c r="JQ106" s="1"/>
      <c r="JR106" s="1"/>
      <c r="JS106" s="1"/>
      <c r="JT106" s="1"/>
      <c r="JU106" s="1"/>
      <c r="JV106" s="1"/>
      <c r="JW106" s="1"/>
      <c r="JX106" s="1"/>
      <c r="JY106" s="1"/>
      <c r="JZ106" s="1"/>
      <c r="KA106" s="1"/>
      <c r="KB106" s="1"/>
      <c r="KC106" s="1"/>
      <c r="KD106" s="1"/>
      <c r="KE106" s="1"/>
      <c r="KF106" s="1"/>
      <c r="KG106" s="1"/>
      <c r="KH106" s="1"/>
      <c r="KI106" s="1"/>
      <c r="KJ106" s="1"/>
      <c r="KK106" s="1"/>
      <c r="KL106" s="1"/>
      <c r="KM106" s="1"/>
      <c r="KN106" s="1"/>
      <c r="KO106" s="1"/>
      <c r="KP106" s="1"/>
      <c r="KQ106" s="1"/>
      <c r="KR106" s="1"/>
      <c r="KS106" s="1"/>
      <c r="KT106" s="1"/>
      <c r="KU106" s="1"/>
      <c r="KV106" s="1"/>
      <c r="KW106" s="1"/>
      <c r="KX106" s="1"/>
      <c r="KY106" s="1"/>
      <c r="KZ106" s="1"/>
      <c r="LA106" s="1"/>
      <c r="LB106" s="1"/>
      <c r="LC106" s="1"/>
      <c r="LD106" s="1"/>
      <c r="LE106" s="1"/>
      <c r="LF106" s="1"/>
      <c r="LG106" s="1"/>
      <c r="LH106" s="1"/>
      <c r="LI106" s="1"/>
      <c r="LJ106" s="1"/>
      <c r="LK106" s="1"/>
      <c r="LL106" s="1"/>
      <c r="LM106" s="1"/>
      <c r="LN106" s="1"/>
      <c r="LO106" s="1"/>
      <c r="LP106" s="1"/>
    </row>
    <row r="107" spans="1:328" ht="15" customHeight="1">
      <c r="A107" s="388"/>
      <c r="B107" s="389"/>
      <c r="C107" s="389"/>
      <c r="D107" s="389"/>
      <c r="E107" s="389"/>
      <c r="F107" s="389"/>
      <c r="G107" s="389"/>
      <c r="H107" s="389"/>
      <c r="I107" s="389"/>
      <c r="J107" s="389"/>
      <c r="K107" s="389"/>
      <c r="L107" s="389"/>
      <c r="M107" s="389"/>
      <c r="N107" s="389"/>
      <c r="O107" s="389"/>
      <c r="P107" s="389"/>
      <c r="Q107" s="389"/>
      <c r="R107" s="389"/>
      <c r="S107" s="389"/>
      <c r="T107" s="390"/>
      <c r="U107" s="2"/>
      <c r="V107" s="409"/>
      <c r="W107" s="410"/>
      <c r="X107" s="410"/>
      <c r="Y107" s="410"/>
      <c r="Z107" s="410"/>
      <c r="AA107" s="410"/>
      <c r="AB107" s="262"/>
      <c r="AC107" s="262"/>
      <c r="AD107" s="262"/>
      <c r="AE107" s="262"/>
      <c r="AF107" s="391"/>
      <c r="AG107" s="75"/>
      <c r="AH107" s="392"/>
      <c r="AI107" s="393"/>
      <c r="AJ107" s="393"/>
      <c r="AK107" s="393"/>
      <c r="AL107" s="393"/>
      <c r="AM107" s="393"/>
      <c r="AN107" s="394"/>
      <c r="AO107" s="394"/>
      <c r="AP107" s="394"/>
      <c r="AQ107" s="394"/>
      <c r="AR107" s="453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  <c r="JB107" s="1"/>
      <c r="JC107" s="1"/>
      <c r="JD107" s="1"/>
      <c r="JE107" s="1"/>
      <c r="JF107" s="1"/>
      <c r="JG107" s="1"/>
      <c r="JH107" s="1"/>
      <c r="JI107" s="1"/>
      <c r="JJ107" s="1"/>
      <c r="JK107" s="1"/>
      <c r="JL107" s="1"/>
      <c r="JM107" s="1"/>
      <c r="JN107" s="1"/>
      <c r="JO107" s="1"/>
      <c r="JP107" s="1"/>
      <c r="JQ107" s="1"/>
      <c r="JR107" s="1"/>
      <c r="JS107" s="1"/>
      <c r="JT107" s="1"/>
      <c r="JU107" s="1"/>
      <c r="JV107" s="1"/>
      <c r="JW107" s="1"/>
      <c r="JX107" s="1"/>
      <c r="JY107" s="1"/>
      <c r="JZ107" s="1"/>
      <c r="KA107" s="1"/>
      <c r="KB107" s="1"/>
      <c r="KC107" s="1"/>
      <c r="KD107" s="1"/>
      <c r="KE107" s="1"/>
      <c r="KF107" s="1"/>
      <c r="KG107" s="1"/>
      <c r="KH107" s="1"/>
      <c r="KI107" s="1"/>
      <c r="KJ107" s="1"/>
      <c r="KK107" s="1"/>
      <c r="KL107" s="1"/>
      <c r="KM107" s="1"/>
      <c r="KN107" s="1"/>
      <c r="KO107" s="1"/>
      <c r="KP107" s="1"/>
      <c r="KQ107" s="1"/>
      <c r="KR107" s="1"/>
      <c r="KS107" s="1"/>
      <c r="KT107" s="1"/>
      <c r="KU107" s="1"/>
      <c r="KV107" s="1"/>
      <c r="KW107" s="1"/>
      <c r="KX107" s="1"/>
      <c r="KY107" s="1"/>
      <c r="KZ107" s="1"/>
      <c r="LA107" s="1"/>
      <c r="LB107" s="1"/>
      <c r="LC107" s="1"/>
      <c r="LD107" s="1"/>
      <c r="LE107" s="1"/>
      <c r="LF107" s="1"/>
      <c r="LG107" s="1"/>
      <c r="LH107" s="1"/>
      <c r="LI107" s="1"/>
      <c r="LJ107" s="1"/>
      <c r="LK107" s="1"/>
      <c r="LL107" s="1"/>
      <c r="LM107" s="1"/>
      <c r="LN107" s="1"/>
      <c r="LO107" s="1"/>
      <c r="LP107" s="1"/>
    </row>
    <row r="108" spans="1:328" ht="15" customHeight="1">
      <c r="A108" s="385"/>
      <c r="B108" s="386"/>
      <c r="C108" s="386"/>
      <c r="D108" s="386"/>
      <c r="E108" s="386"/>
      <c r="F108" s="386"/>
      <c r="G108" s="386"/>
      <c r="H108" s="386"/>
      <c r="I108" s="386"/>
      <c r="J108" s="386"/>
      <c r="K108" s="386"/>
      <c r="L108" s="386"/>
      <c r="M108" s="386"/>
      <c r="N108" s="386"/>
      <c r="O108" s="386"/>
      <c r="P108" s="386"/>
      <c r="Q108" s="386"/>
      <c r="R108" s="386"/>
      <c r="S108" s="386"/>
      <c r="T108" s="387"/>
      <c r="U108" s="2"/>
      <c r="V108" s="409"/>
      <c r="W108" s="410"/>
      <c r="X108" s="410"/>
      <c r="Y108" s="410"/>
      <c r="Z108" s="410"/>
      <c r="AA108" s="410"/>
      <c r="AB108" s="262"/>
      <c r="AC108" s="262"/>
      <c r="AD108" s="262"/>
      <c r="AE108" s="262"/>
      <c r="AF108" s="391"/>
      <c r="AG108" s="75"/>
      <c r="AH108" s="392"/>
      <c r="AI108" s="393"/>
      <c r="AJ108" s="393"/>
      <c r="AK108" s="393"/>
      <c r="AL108" s="393"/>
      <c r="AM108" s="393"/>
      <c r="AN108" s="394"/>
      <c r="AO108" s="394"/>
      <c r="AP108" s="394"/>
      <c r="AQ108" s="394"/>
      <c r="AR108" s="453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  <c r="JB108" s="1"/>
      <c r="JC108" s="1"/>
      <c r="JD108" s="1"/>
      <c r="JE108" s="1"/>
      <c r="JF108" s="1"/>
      <c r="JG108" s="1"/>
      <c r="JH108" s="1"/>
      <c r="JI108" s="1"/>
      <c r="JJ108" s="1"/>
      <c r="JK108" s="1"/>
      <c r="JL108" s="1"/>
      <c r="JM108" s="1"/>
      <c r="JN108" s="1"/>
      <c r="JO108" s="1"/>
      <c r="JP108" s="1"/>
      <c r="JQ108" s="1"/>
      <c r="JR108" s="1"/>
      <c r="JS108" s="1"/>
      <c r="JT108" s="1"/>
      <c r="JU108" s="1"/>
      <c r="JV108" s="1"/>
      <c r="JW108" s="1"/>
      <c r="JX108" s="1"/>
      <c r="JY108" s="1"/>
      <c r="JZ108" s="1"/>
      <c r="KA108" s="1"/>
      <c r="KB108" s="1"/>
      <c r="KC108" s="1"/>
      <c r="KD108" s="1"/>
      <c r="KE108" s="1"/>
      <c r="KF108" s="1"/>
      <c r="KG108" s="1"/>
      <c r="KH108" s="1"/>
      <c r="KI108" s="1"/>
      <c r="KJ108" s="1"/>
      <c r="KK108" s="1"/>
      <c r="KL108" s="1"/>
      <c r="KM108" s="1"/>
      <c r="KN108" s="1"/>
      <c r="KO108" s="1"/>
      <c r="KP108" s="1"/>
      <c r="KQ108" s="1"/>
      <c r="KR108" s="1"/>
      <c r="KS108" s="1"/>
      <c r="KT108" s="1"/>
      <c r="KU108" s="1"/>
      <c r="KV108" s="1"/>
      <c r="KW108" s="1"/>
      <c r="KX108" s="1"/>
      <c r="KY108" s="1"/>
      <c r="KZ108" s="1"/>
      <c r="LA108" s="1"/>
      <c r="LB108" s="1"/>
      <c r="LC108" s="1"/>
      <c r="LD108" s="1"/>
      <c r="LE108" s="1"/>
      <c r="LF108" s="1"/>
      <c r="LG108" s="1"/>
      <c r="LH108" s="1"/>
      <c r="LI108" s="1"/>
      <c r="LJ108" s="1"/>
      <c r="LK108" s="1"/>
      <c r="LL108" s="1"/>
      <c r="LM108" s="1"/>
      <c r="LN108" s="1"/>
      <c r="LO108" s="1"/>
      <c r="LP108" s="1"/>
    </row>
    <row r="109" spans="1:328" ht="15" customHeight="1">
      <c r="A109" s="388"/>
      <c r="B109" s="389"/>
      <c r="C109" s="389"/>
      <c r="D109" s="389"/>
      <c r="E109" s="389"/>
      <c r="F109" s="389"/>
      <c r="G109" s="389"/>
      <c r="H109" s="389"/>
      <c r="I109" s="389"/>
      <c r="J109" s="389"/>
      <c r="K109" s="389"/>
      <c r="L109" s="389"/>
      <c r="M109" s="389"/>
      <c r="N109" s="389"/>
      <c r="O109" s="389"/>
      <c r="P109" s="389"/>
      <c r="Q109" s="389"/>
      <c r="R109" s="389"/>
      <c r="S109" s="389"/>
      <c r="T109" s="390"/>
      <c r="U109" s="2"/>
      <c r="V109" s="409"/>
      <c r="W109" s="410"/>
      <c r="X109" s="410"/>
      <c r="Y109" s="410"/>
      <c r="Z109" s="410"/>
      <c r="AA109" s="410"/>
      <c r="AB109" s="262"/>
      <c r="AC109" s="262"/>
      <c r="AD109" s="262"/>
      <c r="AE109" s="262"/>
      <c r="AF109" s="391"/>
      <c r="AG109" s="75"/>
      <c r="AH109" s="392"/>
      <c r="AI109" s="393"/>
      <c r="AJ109" s="393"/>
      <c r="AK109" s="393"/>
      <c r="AL109" s="393"/>
      <c r="AM109" s="393"/>
      <c r="AN109" s="394"/>
      <c r="AO109" s="394"/>
      <c r="AP109" s="394"/>
      <c r="AQ109" s="394"/>
      <c r="AR109" s="453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  <c r="JA109" s="1"/>
      <c r="JB109" s="1"/>
      <c r="JC109" s="1"/>
      <c r="JD109" s="1"/>
      <c r="JE109" s="1"/>
      <c r="JF109" s="1"/>
      <c r="JG109" s="1"/>
      <c r="JH109" s="1"/>
      <c r="JI109" s="1"/>
      <c r="JJ109" s="1"/>
      <c r="JK109" s="1"/>
      <c r="JL109" s="1"/>
      <c r="JM109" s="1"/>
      <c r="JN109" s="1"/>
      <c r="JO109" s="1"/>
      <c r="JP109" s="1"/>
      <c r="JQ109" s="1"/>
      <c r="JR109" s="1"/>
      <c r="JS109" s="1"/>
      <c r="JT109" s="1"/>
      <c r="JU109" s="1"/>
      <c r="JV109" s="1"/>
      <c r="JW109" s="1"/>
      <c r="JX109" s="1"/>
      <c r="JY109" s="1"/>
      <c r="JZ109" s="1"/>
      <c r="KA109" s="1"/>
      <c r="KB109" s="1"/>
      <c r="KC109" s="1"/>
      <c r="KD109" s="1"/>
      <c r="KE109" s="1"/>
      <c r="KF109" s="1"/>
      <c r="KG109" s="1"/>
      <c r="KH109" s="1"/>
      <c r="KI109" s="1"/>
      <c r="KJ109" s="1"/>
      <c r="KK109" s="1"/>
      <c r="KL109" s="1"/>
      <c r="KM109" s="1"/>
      <c r="KN109" s="1"/>
      <c r="KO109" s="1"/>
      <c r="KP109" s="1"/>
      <c r="KQ109" s="1"/>
      <c r="KR109" s="1"/>
      <c r="KS109" s="1"/>
      <c r="KT109" s="1"/>
      <c r="KU109" s="1"/>
      <c r="KV109" s="1"/>
      <c r="KW109" s="1"/>
      <c r="KX109" s="1"/>
      <c r="KY109" s="1"/>
      <c r="KZ109" s="1"/>
      <c r="LA109" s="1"/>
      <c r="LB109" s="1"/>
      <c r="LC109" s="1"/>
      <c r="LD109" s="1"/>
      <c r="LE109" s="1"/>
      <c r="LF109" s="1"/>
      <c r="LG109" s="1"/>
      <c r="LH109" s="1"/>
      <c r="LI109" s="1"/>
      <c r="LJ109" s="1"/>
      <c r="LK109" s="1"/>
      <c r="LL109" s="1"/>
      <c r="LM109" s="1"/>
      <c r="LN109" s="1"/>
      <c r="LO109" s="1"/>
      <c r="LP109" s="1"/>
    </row>
    <row r="110" spans="1:328" ht="15" customHeight="1">
      <c r="A110" s="385"/>
      <c r="B110" s="386"/>
      <c r="C110" s="386"/>
      <c r="D110" s="386"/>
      <c r="E110" s="386"/>
      <c r="F110" s="386"/>
      <c r="G110" s="386"/>
      <c r="H110" s="386"/>
      <c r="I110" s="386"/>
      <c r="J110" s="386"/>
      <c r="K110" s="386"/>
      <c r="L110" s="386"/>
      <c r="M110" s="386"/>
      <c r="N110" s="386"/>
      <c r="O110" s="386"/>
      <c r="P110" s="386"/>
      <c r="Q110" s="386"/>
      <c r="R110" s="386"/>
      <c r="S110" s="386"/>
      <c r="T110" s="387"/>
      <c r="U110" s="2"/>
      <c r="V110" s="409"/>
      <c r="W110" s="410"/>
      <c r="X110" s="410"/>
      <c r="Y110" s="410"/>
      <c r="Z110" s="410"/>
      <c r="AA110" s="410"/>
      <c r="AB110" s="262"/>
      <c r="AC110" s="262"/>
      <c r="AD110" s="262"/>
      <c r="AE110" s="262"/>
      <c r="AF110" s="391"/>
      <c r="AG110" s="75"/>
      <c r="AH110" s="392"/>
      <c r="AI110" s="393"/>
      <c r="AJ110" s="393"/>
      <c r="AK110" s="393"/>
      <c r="AL110" s="393"/>
      <c r="AM110" s="393"/>
      <c r="AN110" s="394"/>
      <c r="AO110" s="394"/>
      <c r="AP110" s="394"/>
      <c r="AQ110" s="394"/>
      <c r="AR110" s="453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  <c r="JJ110" s="1"/>
      <c r="JK110" s="1"/>
      <c r="JL110" s="1"/>
      <c r="JM110" s="1"/>
      <c r="JN110" s="1"/>
      <c r="JO110" s="1"/>
      <c r="JP110" s="1"/>
      <c r="JQ110" s="1"/>
      <c r="JR110" s="1"/>
      <c r="JS110" s="1"/>
      <c r="JT110" s="1"/>
      <c r="JU110" s="1"/>
      <c r="JV110" s="1"/>
      <c r="JW110" s="1"/>
      <c r="JX110" s="1"/>
      <c r="JY110" s="1"/>
      <c r="JZ110" s="1"/>
      <c r="KA110" s="1"/>
      <c r="KB110" s="1"/>
      <c r="KC110" s="1"/>
      <c r="KD110" s="1"/>
      <c r="KE110" s="1"/>
      <c r="KF110" s="1"/>
      <c r="KG110" s="1"/>
      <c r="KH110" s="1"/>
      <c r="KI110" s="1"/>
      <c r="KJ110" s="1"/>
      <c r="KK110" s="1"/>
      <c r="KL110" s="1"/>
      <c r="KM110" s="1"/>
      <c r="KN110" s="1"/>
      <c r="KO110" s="1"/>
      <c r="KP110" s="1"/>
      <c r="KQ110" s="1"/>
      <c r="KR110" s="1"/>
      <c r="KS110" s="1"/>
      <c r="KT110" s="1"/>
      <c r="KU110" s="1"/>
      <c r="KV110" s="1"/>
      <c r="KW110" s="1"/>
      <c r="KX110" s="1"/>
      <c r="KY110" s="1"/>
      <c r="KZ110" s="1"/>
      <c r="LA110" s="1"/>
      <c r="LB110" s="1"/>
      <c r="LC110" s="1"/>
      <c r="LD110" s="1"/>
      <c r="LE110" s="1"/>
      <c r="LF110" s="1"/>
      <c r="LG110" s="1"/>
      <c r="LH110" s="1"/>
      <c r="LI110" s="1"/>
      <c r="LJ110" s="1"/>
      <c r="LK110" s="1"/>
      <c r="LL110" s="1"/>
      <c r="LM110" s="1"/>
      <c r="LN110" s="1"/>
      <c r="LO110" s="1"/>
      <c r="LP110" s="1"/>
    </row>
    <row r="111" spans="1:328" ht="15" customHeight="1">
      <c r="A111" s="388"/>
      <c r="B111" s="389"/>
      <c r="C111" s="389"/>
      <c r="D111" s="389"/>
      <c r="E111" s="389"/>
      <c r="F111" s="389"/>
      <c r="G111" s="389"/>
      <c r="H111" s="389"/>
      <c r="I111" s="389"/>
      <c r="J111" s="389"/>
      <c r="K111" s="389"/>
      <c r="L111" s="389"/>
      <c r="M111" s="389"/>
      <c r="N111" s="389"/>
      <c r="O111" s="389"/>
      <c r="P111" s="389"/>
      <c r="Q111" s="389"/>
      <c r="R111" s="389"/>
      <c r="S111" s="389"/>
      <c r="T111" s="390"/>
      <c r="U111" s="2"/>
      <c r="V111" s="409"/>
      <c r="W111" s="410"/>
      <c r="X111" s="410"/>
      <c r="Y111" s="410"/>
      <c r="Z111" s="410"/>
      <c r="AA111" s="410"/>
      <c r="AB111" s="262"/>
      <c r="AC111" s="262"/>
      <c r="AD111" s="262"/>
      <c r="AE111" s="262"/>
      <c r="AF111" s="391"/>
      <c r="AG111" s="75"/>
      <c r="AH111" s="392"/>
      <c r="AI111" s="393"/>
      <c r="AJ111" s="393"/>
      <c r="AK111" s="393"/>
      <c r="AL111" s="393"/>
      <c r="AM111" s="393"/>
      <c r="AN111" s="394"/>
      <c r="AO111" s="394"/>
      <c r="AP111" s="394"/>
      <c r="AQ111" s="394"/>
      <c r="AR111" s="453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  <c r="JC111" s="1"/>
      <c r="JD111" s="1"/>
      <c r="JE111" s="1"/>
      <c r="JF111" s="1"/>
      <c r="JG111" s="1"/>
      <c r="JH111" s="1"/>
      <c r="JI111" s="1"/>
      <c r="JJ111" s="1"/>
      <c r="JK111" s="1"/>
      <c r="JL111" s="1"/>
      <c r="JM111" s="1"/>
      <c r="JN111" s="1"/>
      <c r="JO111" s="1"/>
      <c r="JP111" s="1"/>
      <c r="JQ111" s="1"/>
      <c r="JR111" s="1"/>
      <c r="JS111" s="1"/>
      <c r="JT111" s="1"/>
      <c r="JU111" s="1"/>
      <c r="JV111" s="1"/>
      <c r="JW111" s="1"/>
      <c r="JX111" s="1"/>
      <c r="JY111" s="1"/>
      <c r="JZ111" s="1"/>
      <c r="KA111" s="1"/>
      <c r="KB111" s="1"/>
      <c r="KC111" s="1"/>
      <c r="KD111" s="1"/>
      <c r="KE111" s="1"/>
      <c r="KF111" s="1"/>
      <c r="KG111" s="1"/>
      <c r="KH111" s="1"/>
      <c r="KI111" s="1"/>
      <c r="KJ111" s="1"/>
      <c r="KK111" s="1"/>
      <c r="KL111" s="1"/>
      <c r="KM111" s="1"/>
      <c r="KN111" s="1"/>
      <c r="KO111" s="1"/>
      <c r="KP111" s="1"/>
      <c r="KQ111" s="1"/>
      <c r="KR111" s="1"/>
      <c r="KS111" s="1"/>
      <c r="KT111" s="1"/>
      <c r="KU111" s="1"/>
      <c r="KV111" s="1"/>
      <c r="KW111" s="1"/>
      <c r="KX111" s="1"/>
      <c r="KY111" s="1"/>
      <c r="KZ111" s="1"/>
      <c r="LA111" s="1"/>
      <c r="LB111" s="1"/>
      <c r="LC111" s="1"/>
      <c r="LD111" s="1"/>
      <c r="LE111" s="1"/>
      <c r="LF111" s="1"/>
      <c r="LG111" s="1"/>
      <c r="LH111" s="1"/>
      <c r="LI111" s="1"/>
      <c r="LJ111" s="1"/>
      <c r="LK111" s="1"/>
      <c r="LL111" s="1"/>
      <c r="LM111" s="1"/>
      <c r="LN111" s="1"/>
      <c r="LO111" s="1"/>
      <c r="LP111" s="1"/>
    </row>
    <row r="112" spans="1:328" ht="15" customHeight="1">
      <c r="A112" s="385"/>
      <c r="B112" s="386"/>
      <c r="C112" s="386"/>
      <c r="D112" s="386"/>
      <c r="E112" s="386"/>
      <c r="F112" s="386"/>
      <c r="G112" s="386"/>
      <c r="H112" s="386"/>
      <c r="I112" s="386"/>
      <c r="J112" s="386"/>
      <c r="K112" s="386"/>
      <c r="L112" s="386"/>
      <c r="M112" s="386"/>
      <c r="N112" s="386"/>
      <c r="O112" s="386"/>
      <c r="P112" s="386"/>
      <c r="Q112" s="386"/>
      <c r="R112" s="386"/>
      <c r="S112" s="386"/>
      <c r="T112" s="387"/>
      <c r="U112" s="2"/>
      <c r="V112" s="409"/>
      <c r="W112" s="410"/>
      <c r="X112" s="410"/>
      <c r="Y112" s="410"/>
      <c r="Z112" s="410"/>
      <c r="AA112" s="410"/>
      <c r="AB112" s="262"/>
      <c r="AC112" s="262"/>
      <c r="AD112" s="262"/>
      <c r="AE112" s="262"/>
      <c r="AF112" s="391"/>
      <c r="AG112" s="75"/>
      <c r="AH112" s="392"/>
      <c r="AI112" s="393"/>
      <c r="AJ112" s="393"/>
      <c r="AK112" s="393"/>
      <c r="AL112" s="393"/>
      <c r="AM112" s="393"/>
      <c r="AN112" s="394"/>
      <c r="AO112" s="394"/>
      <c r="AP112" s="394"/>
      <c r="AQ112" s="394"/>
      <c r="AR112" s="453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  <c r="JC112" s="1"/>
      <c r="JD112" s="1"/>
      <c r="JE112" s="1"/>
      <c r="JF112" s="1"/>
      <c r="JG112" s="1"/>
      <c r="JH112" s="1"/>
      <c r="JI112" s="1"/>
      <c r="JJ112" s="1"/>
      <c r="JK112" s="1"/>
      <c r="JL112" s="1"/>
      <c r="JM112" s="1"/>
      <c r="JN112" s="1"/>
      <c r="JO112" s="1"/>
      <c r="JP112" s="1"/>
      <c r="JQ112" s="1"/>
      <c r="JR112" s="1"/>
      <c r="JS112" s="1"/>
      <c r="JT112" s="1"/>
      <c r="JU112" s="1"/>
      <c r="JV112" s="1"/>
      <c r="JW112" s="1"/>
      <c r="JX112" s="1"/>
      <c r="JY112" s="1"/>
      <c r="JZ112" s="1"/>
      <c r="KA112" s="1"/>
      <c r="KB112" s="1"/>
      <c r="KC112" s="1"/>
      <c r="KD112" s="1"/>
      <c r="KE112" s="1"/>
      <c r="KF112" s="1"/>
      <c r="KG112" s="1"/>
      <c r="KH112" s="1"/>
      <c r="KI112" s="1"/>
      <c r="KJ112" s="1"/>
      <c r="KK112" s="1"/>
      <c r="KL112" s="1"/>
      <c r="KM112" s="1"/>
      <c r="KN112" s="1"/>
      <c r="KO112" s="1"/>
      <c r="KP112" s="1"/>
      <c r="KQ112" s="1"/>
      <c r="KR112" s="1"/>
      <c r="KS112" s="1"/>
      <c r="KT112" s="1"/>
      <c r="KU112" s="1"/>
      <c r="KV112" s="1"/>
      <c r="KW112" s="1"/>
      <c r="KX112" s="1"/>
      <c r="KY112" s="1"/>
      <c r="KZ112" s="1"/>
      <c r="LA112" s="1"/>
      <c r="LB112" s="1"/>
      <c r="LC112" s="1"/>
      <c r="LD112" s="1"/>
      <c r="LE112" s="1"/>
      <c r="LF112" s="1"/>
      <c r="LG112" s="1"/>
      <c r="LH112" s="1"/>
      <c r="LI112" s="1"/>
      <c r="LJ112" s="1"/>
      <c r="LK112" s="1"/>
      <c r="LL112" s="1"/>
      <c r="LM112" s="1"/>
      <c r="LN112" s="1"/>
      <c r="LO112" s="1"/>
      <c r="LP112" s="1"/>
    </row>
    <row r="113" spans="1:328" ht="15" customHeight="1">
      <c r="A113" s="388"/>
      <c r="B113" s="389"/>
      <c r="C113" s="389"/>
      <c r="D113" s="389"/>
      <c r="E113" s="389"/>
      <c r="F113" s="389"/>
      <c r="G113" s="389"/>
      <c r="H113" s="389"/>
      <c r="I113" s="389"/>
      <c r="J113" s="389"/>
      <c r="K113" s="389"/>
      <c r="L113" s="389"/>
      <c r="M113" s="389"/>
      <c r="N113" s="389"/>
      <c r="O113" s="389"/>
      <c r="P113" s="389"/>
      <c r="Q113" s="389"/>
      <c r="R113" s="389"/>
      <c r="S113" s="389"/>
      <c r="T113" s="390"/>
      <c r="U113" s="2"/>
      <c r="V113" s="409"/>
      <c r="W113" s="410"/>
      <c r="X113" s="410"/>
      <c r="Y113" s="410"/>
      <c r="Z113" s="410"/>
      <c r="AA113" s="410"/>
      <c r="AB113" s="262"/>
      <c r="AC113" s="262"/>
      <c r="AD113" s="262"/>
      <c r="AE113" s="262"/>
      <c r="AF113" s="391"/>
      <c r="AG113" s="75"/>
      <c r="AH113" s="392"/>
      <c r="AI113" s="393"/>
      <c r="AJ113" s="393"/>
      <c r="AK113" s="393"/>
      <c r="AL113" s="393"/>
      <c r="AM113" s="393"/>
      <c r="AN113" s="394"/>
      <c r="AO113" s="394"/>
      <c r="AP113" s="394"/>
      <c r="AQ113" s="394"/>
      <c r="AR113" s="453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  <c r="JL113" s="1"/>
      <c r="JM113" s="1"/>
      <c r="JN113" s="1"/>
      <c r="JO113" s="1"/>
      <c r="JP113" s="1"/>
      <c r="JQ113" s="1"/>
      <c r="JR113" s="1"/>
      <c r="JS113" s="1"/>
      <c r="JT113" s="1"/>
      <c r="JU113" s="1"/>
      <c r="JV113" s="1"/>
      <c r="JW113" s="1"/>
      <c r="JX113" s="1"/>
      <c r="JY113" s="1"/>
      <c r="JZ113" s="1"/>
      <c r="KA113" s="1"/>
      <c r="KB113" s="1"/>
      <c r="KC113" s="1"/>
      <c r="KD113" s="1"/>
      <c r="KE113" s="1"/>
      <c r="KF113" s="1"/>
      <c r="KG113" s="1"/>
      <c r="KH113" s="1"/>
      <c r="KI113" s="1"/>
      <c r="KJ113" s="1"/>
      <c r="KK113" s="1"/>
      <c r="KL113" s="1"/>
      <c r="KM113" s="1"/>
      <c r="KN113" s="1"/>
      <c r="KO113" s="1"/>
      <c r="KP113" s="1"/>
      <c r="KQ113" s="1"/>
      <c r="KR113" s="1"/>
      <c r="KS113" s="1"/>
      <c r="KT113" s="1"/>
      <c r="KU113" s="1"/>
      <c r="KV113" s="1"/>
      <c r="KW113" s="1"/>
      <c r="KX113" s="1"/>
      <c r="KY113" s="1"/>
      <c r="KZ113" s="1"/>
      <c r="LA113" s="1"/>
      <c r="LB113" s="1"/>
      <c r="LC113" s="1"/>
      <c r="LD113" s="1"/>
      <c r="LE113" s="1"/>
      <c r="LF113" s="1"/>
      <c r="LG113" s="1"/>
      <c r="LH113" s="1"/>
      <c r="LI113" s="1"/>
      <c r="LJ113" s="1"/>
      <c r="LK113" s="1"/>
      <c r="LL113" s="1"/>
      <c r="LM113" s="1"/>
      <c r="LN113" s="1"/>
      <c r="LO113" s="1"/>
      <c r="LP113" s="1"/>
    </row>
    <row r="114" spans="1:328" ht="15" customHeight="1">
      <c r="A114" s="385"/>
      <c r="B114" s="386"/>
      <c r="C114" s="386"/>
      <c r="D114" s="386"/>
      <c r="E114" s="386"/>
      <c r="F114" s="386"/>
      <c r="G114" s="386"/>
      <c r="H114" s="386"/>
      <c r="I114" s="386"/>
      <c r="J114" s="386"/>
      <c r="K114" s="386"/>
      <c r="L114" s="386"/>
      <c r="M114" s="386"/>
      <c r="N114" s="386"/>
      <c r="O114" s="386"/>
      <c r="P114" s="386"/>
      <c r="Q114" s="386"/>
      <c r="R114" s="386"/>
      <c r="S114" s="386"/>
      <c r="T114" s="387"/>
      <c r="U114" s="2"/>
      <c r="V114" s="409"/>
      <c r="W114" s="410"/>
      <c r="X114" s="410"/>
      <c r="Y114" s="410"/>
      <c r="Z114" s="410"/>
      <c r="AA114" s="410"/>
      <c r="AB114" s="262"/>
      <c r="AC114" s="262"/>
      <c r="AD114" s="262"/>
      <c r="AE114" s="262"/>
      <c r="AF114" s="391"/>
      <c r="AG114" s="75"/>
      <c r="AH114" s="392"/>
      <c r="AI114" s="393"/>
      <c r="AJ114" s="393"/>
      <c r="AK114" s="393"/>
      <c r="AL114" s="393"/>
      <c r="AM114" s="393"/>
      <c r="AN114" s="394"/>
      <c r="AO114" s="394"/>
      <c r="AP114" s="394"/>
      <c r="AQ114" s="394"/>
      <c r="AR114" s="453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</row>
    <row r="115" spans="1:328" ht="15" customHeight="1">
      <c r="A115" s="388"/>
      <c r="B115" s="389"/>
      <c r="C115" s="389"/>
      <c r="D115" s="389"/>
      <c r="E115" s="389"/>
      <c r="F115" s="389"/>
      <c r="G115" s="389"/>
      <c r="H115" s="389"/>
      <c r="I115" s="389"/>
      <c r="J115" s="389"/>
      <c r="K115" s="389"/>
      <c r="L115" s="389"/>
      <c r="M115" s="389"/>
      <c r="N115" s="389"/>
      <c r="O115" s="389"/>
      <c r="P115" s="389"/>
      <c r="Q115" s="389"/>
      <c r="R115" s="389"/>
      <c r="S115" s="389"/>
      <c r="T115" s="390"/>
      <c r="U115" s="2"/>
      <c r="V115" s="409"/>
      <c r="W115" s="410"/>
      <c r="X115" s="410"/>
      <c r="Y115" s="410"/>
      <c r="Z115" s="410"/>
      <c r="AA115" s="410"/>
      <c r="AB115" s="262"/>
      <c r="AC115" s="262"/>
      <c r="AD115" s="262"/>
      <c r="AE115" s="262"/>
      <c r="AF115" s="391"/>
      <c r="AG115" s="75"/>
      <c r="AH115" s="392"/>
      <c r="AI115" s="393"/>
      <c r="AJ115" s="393"/>
      <c r="AK115" s="393"/>
      <c r="AL115" s="393"/>
      <c r="AM115" s="393"/>
      <c r="AN115" s="394"/>
      <c r="AO115" s="394"/>
      <c r="AP115" s="394"/>
      <c r="AQ115" s="394"/>
      <c r="AR115" s="453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  <c r="JC115" s="1"/>
      <c r="JD115" s="1"/>
      <c r="JE115" s="1"/>
      <c r="JF115" s="1"/>
      <c r="JG115" s="1"/>
      <c r="JH115" s="1"/>
      <c r="JI115" s="1"/>
      <c r="JJ115" s="1"/>
      <c r="JK115" s="1"/>
      <c r="JL115" s="1"/>
      <c r="JM115" s="1"/>
      <c r="JN115" s="1"/>
      <c r="JO115" s="1"/>
      <c r="JP115" s="1"/>
      <c r="JQ115" s="1"/>
      <c r="JR115" s="1"/>
      <c r="JS115" s="1"/>
      <c r="JT115" s="1"/>
      <c r="JU115" s="1"/>
      <c r="JV115" s="1"/>
      <c r="JW115" s="1"/>
      <c r="JX115" s="1"/>
      <c r="JY115" s="1"/>
      <c r="JZ115" s="1"/>
      <c r="KA115" s="1"/>
      <c r="KB115" s="1"/>
      <c r="KC115" s="1"/>
      <c r="KD115" s="1"/>
      <c r="KE115" s="1"/>
      <c r="KF115" s="1"/>
      <c r="KG115" s="1"/>
      <c r="KH115" s="1"/>
      <c r="KI115" s="1"/>
      <c r="KJ115" s="1"/>
      <c r="KK115" s="1"/>
      <c r="KL115" s="1"/>
      <c r="KM115" s="1"/>
      <c r="KN115" s="1"/>
      <c r="KO115" s="1"/>
      <c r="KP115" s="1"/>
      <c r="KQ115" s="1"/>
      <c r="KR115" s="1"/>
      <c r="KS115" s="1"/>
      <c r="KT115" s="1"/>
      <c r="KU115" s="1"/>
      <c r="KV115" s="1"/>
      <c r="KW115" s="1"/>
      <c r="KX115" s="1"/>
      <c r="KY115" s="1"/>
      <c r="KZ115" s="1"/>
      <c r="LA115" s="1"/>
      <c r="LB115" s="1"/>
      <c r="LC115" s="1"/>
      <c r="LD115" s="1"/>
      <c r="LE115" s="1"/>
      <c r="LF115" s="1"/>
      <c r="LG115" s="1"/>
      <c r="LH115" s="1"/>
      <c r="LI115" s="1"/>
      <c r="LJ115" s="1"/>
      <c r="LK115" s="1"/>
      <c r="LL115" s="1"/>
      <c r="LM115" s="1"/>
      <c r="LN115" s="1"/>
      <c r="LO115" s="1"/>
      <c r="LP115" s="1"/>
    </row>
    <row r="116" spans="1:328" ht="15" customHeight="1">
      <c r="A116" s="385"/>
      <c r="B116" s="386"/>
      <c r="C116" s="386"/>
      <c r="D116" s="386"/>
      <c r="E116" s="386"/>
      <c r="F116" s="386"/>
      <c r="G116" s="386"/>
      <c r="H116" s="386"/>
      <c r="I116" s="386"/>
      <c r="J116" s="386"/>
      <c r="K116" s="386"/>
      <c r="L116" s="386"/>
      <c r="M116" s="386"/>
      <c r="N116" s="386"/>
      <c r="O116" s="386"/>
      <c r="P116" s="386"/>
      <c r="Q116" s="386"/>
      <c r="R116" s="386"/>
      <c r="S116" s="386"/>
      <c r="T116" s="387"/>
      <c r="U116" s="2"/>
      <c r="V116" s="409"/>
      <c r="W116" s="410"/>
      <c r="X116" s="410"/>
      <c r="Y116" s="410"/>
      <c r="Z116" s="410"/>
      <c r="AA116" s="410"/>
      <c r="AB116" s="262"/>
      <c r="AC116" s="262"/>
      <c r="AD116" s="262"/>
      <c r="AE116" s="262"/>
      <c r="AF116" s="391"/>
      <c r="AG116" s="75"/>
      <c r="AH116" s="392"/>
      <c r="AI116" s="393"/>
      <c r="AJ116" s="393"/>
      <c r="AK116" s="393"/>
      <c r="AL116" s="393"/>
      <c r="AM116" s="393"/>
      <c r="AN116" s="394"/>
      <c r="AO116" s="394"/>
      <c r="AP116" s="394"/>
      <c r="AQ116" s="394"/>
      <c r="AR116" s="453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  <c r="JL116" s="1"/>
      <c r="JM116" s="1"/>
      <c r="JN116" s="1"/>
      <c r="JO116" s="1"/>
      <c r="JP116" s="1"/>
      <c r="JQ116" s="1"/>
      <c r="JR116" s="1"/>
      <c r="JS116" s="1"/>
      <c r="JT116" s="1"/>
      <c r="JU116" s="1"/>
      <c r="JV116" s="1"/>
      <c r="JW116" s="1"/>
      <c r="JX116" s="1"/>
      <c r="JY116" s="1"/>
      <c r="JZ116" s="1"/>
      <c r="KA116" s="1"/>
      <c r="KB116" s="1"/>
      <c r="KC116" s="1"/>
      <c r="KD116" s="1"/>
      <c r="KE116" s="1"/>
      <c r="KF116" s="1"/>
      <c r="KG116" s="1"/>
      <c r="KH116" s="1"/>
      <c r="KI116" s="1"/>
      <c r="KJ116" s="1"/>
      <c r="KK116" s="1"/>
      <c r="KL116" s="1"/>
      <c r="KM116" s="1"/>
      <c r="KN116" s="1"/>
      <c r="KO116" s="1"/>
      <c r="KP116" s="1"/>
      <c r="KQ116" s="1"/>
      <c r="KR116" s="1"/>
      <c r="KS116" s="1"/>
      <c r="KT116" s="1"/>
      <c r="KU116" s="1"/>
      <c r="KV116" s="1"/>
      <c r="KW116" s="1"/>
      <c r="KX116" s="1"/>
      <c r="KY116" s="1"/>
      <c r="KZ116" s="1"/>
      <c r="LA116" s="1"/>
      <c r="LB116" s="1"/>
      <c r="LC116" s="1"/>
      <c r="LD116" s="1"/>
      <c r="LE116" s="1"/>
      <c r="LF116" s="1"/>
      <c r="LG116" s="1"/>
      <c r="LH116" s="1"/>
      <c r="LI116" s="1"/>
      <c r="LJ116" s="1"/>
      <c r="LK116" s="1"/>
      <c r="LL116" s="1"/>
      <c r="LM116" s="1"/>
      <c r="LN116" s="1"/>
      <c r="LO116" s="1"/>
      <c r="LP116" s="1"/>
    </row>
    <row r="117" spans="1:328" ht="15" customHeight="1">
      <c r="A117" s="388"/>
      <c r="B117" s="389"/>
      <c r="C117" s="389"/>
      <c r="D117" s="389"/>
      <c r="E117" s="389"/>
      <c r="F117" s="389"/>
      <c r="G117" s="389"/>
      <c r="H117" s="389"/>
      <c r="I117" s="389"/>
      <c r="J117" s="389"/>
      <c r="K117" s="389"/>
      <c r="L117" s="389"/>
      <c r="M117" s="389"/>
      <c r="N117" s="389"/>
      <c r="O117" s="389"/>
      <c r="P117" s="389"/>
      <c r="Q117" s="389"/>
      <c r="R117" s="389"/>
      <c r="S117" s="389"/>
      <c r="T117" s="390"/>
      <c r="U117" s="2"/>
      <c r="V117" s="409"/>
      <c r="W117" s="410"/>
      <c r="X117" s="410"/>
      <c r="Y117" s="410"/>
      <c r="Z117" s="410"/>
      <c r="AA117" s="410"/>
      <c r="AB117" s="262"/>
      <c r="AC117" s="262"/>
      <c r="AD117" s="262"/>
      <c r="AE117" s="262"/>
      <c r="AF117" s="391"/>
      <c r="AG117" s="75"/>
      <c r="AH117" s="392"/>
      <c r="AI117" s="393"/>
      <c r="AJ117" s="393"/>
      <c r="AK117" s="393"/>
      <c r="AL117" s="393"/>
      <c r="AM117" s="393"/>
      <c r="AN117" s="394"/>
      <c r="AO117" s="394"/>
      <c r="AP117" s="394"/>
      <c r="AQ117" s="394"/>
      <c r="AR117" s="453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</row>
    <row r="118" spans="1:328" ht="15" customHeight="1">
      <c r="A118" s="385"/>
      <c r="B118" s="386"/>
      <c r="C118" s="386"/>
      <c r="D118" s="386"/>
      <c r="E118" s="386"/>
      <c r="F118" s="386"/>
      <c r="G118" s="386"/>
      <c r="H118" s="386"/>
      <c r="I118" s="386"/>
      <c r="J118" s="386"/>
      <c r="K118" s="386"/>
      <c r="L118" s="386"/>
      <c r="M118" s="386"/>
      <c r="N118" s="386"/>
      <c r="O118" s="386"/>
      <c r="P118" s="386"/>
      <c r="Q118" s="386"/>
      <c r="R118" s="386"/>
      <c r="S118" s="386"/>
      <c r="T118" s="387"/>
      <c r="U118" s="2"/>
      <c r="V118" s="409"/>
      <c r="W118" s="410"/>
      <c r="X118" s="410"/>
      <c r="Y118" s="410"/>
      <c r="Z118" s="410"/>
      <c r="AA118" s="410"/>
      <c r="AB118" s="262"/>
      <c r="AC118" s="262"/>
      <c r="AD118" s="262"/>
      <c r="AE118" s="262"/>
      <c r="AF118" s="391"/>
      <c r="AG118" s="75"/>
      <c r="AH118" s="392"/>
      <c r="AI118" s="393"/>
      <c r="AJ118" s="393"/>
      <c r="AK118" s="393"/>
      <c r="AL118" s="393"/>
      <c r="AM118" s="393"/>
      <c r="AN118" s="394"/>
      <c r="AO118" s="394"/>
      <c r="AP118" s="394"/>
      <c r="AQ118" s="394"/>
      <c r="AR118" s="453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</row>
    <row r="119" spans="1:328" ht="15" customHeight="1">
      <c r="A119" s="388"/>
      <c r="B119" s="389"/>
      <c r="C119" s="389"/>
      <c r="D119" s="389"/>
      <c r="E119" s="389"/>
      <c r="F119" s="389"/>
      <c r="G119" s="389"/>
      <c r="H119" s="389"/>
      <c r="I119" s="389"/>
      <c r="J119" s="389"/>
      <c r="K119" s="389"/>
      <c r="L119" s="389"/>
      <c r="M119" s="389"/>
      <c r="N119" s="389"/>
      <c r="O119" s="389"/>
      <c r="P119" s="389"/>
      <c r="Q119" s="389"/>
      <c r="R119" s="389"/>
      <c r="S119" s="389"/>
      <c r="T119" s="390"/>
      <c r="U119" s="2"/>
      <c r="V119" s="409"/>
      <c r="W119" s="410"/>
      <c r="X119" s="410"/>
      <c r="Y119" s="410"/>
      <c r="Z119" s="410"/>
      <c r="AA119" s="410"/>
      <c r="AB119" s="262"/>
      <c r="AC119" s="262"/>
      <c r="AD119" s="262"/>
      <c r="AE119" s="262"/>
      <c r="AF119" s="391"/>
      <c r="AG119" s="75"/>
      <c r="AH119" s="392"/>
      <c r="AI119" s="393"/>
      <c r="AJ119" s="393"/>
      <c r="AK119" s="393"/>
      <c r="AL119" s="393"/>
      <c r="AM119" s="393"/>
      <c r="AN119" s="394"/>
      <c r="AO119" s="394"/>
      <c r="AP119" s="394"/>
      <c r="AQ119" s="394"/>
      <c r="AR119" s="453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  <c r="JA119" s="1"/>
      <c r="JB119" s="1"/>
      <c r="JC119" s="1"/>
      <c r="JD119" s="1"/>
      <c r="JE119" s="1"/>
      <c r="JF119" s="1"/>
      <c r="JG119" s="1"/>
      <c r="JH119" s="1"/>
      <c r="JI119" s="1"/>
      <c r="JJ119" s="1"/>
      <c r="JK119" s="1"/>
      <c r="JL119" s="1"/>
      <c r="JM119" s="1"/>
      <c r="JN119" s="1"/>
      <c r="JO119" s="1"/>
      <c r="JP119" s="1"/>
      <c r="JQ119" s="1"/>
      <c r="JR119" s="1"/>
      <c r="JS119" s="1"/>
      <c r="JT119" s="1"/>
      <c r="JU119" s="1"/>
      <c r="JV119" s="1"/>
      <c r="JW119" s="1"/>
      <c r="JX119" s="1"/>
      <c r="JY119" s="1"/>
      <c r="JZ119" s="1"/>
      <c r="KA119" s="1"/>
      <c r="KB119" s="1"/>
      <c r="KC119" s="1"/>
      <c r="KD119" s="1"/>
      <c r="KE119" s="1"/>
      <c r="KF119" s="1"/>
      <c r="KG119" s="1"/>
      <c r="KH119" s="1"/>
      <c r="KI119" s="1"/>
      <c r="KJ119" s="1"/>
      <c r="KK119" s="1"/>
      <c r="KL119" s="1"/>
      <c r="KM119" s="1"/>
      <c r="KN119" s="1"/>
      <c r="KO119" s="1"/>
      <c r="KP119" s="1"/>
      <c r="KQ119" s="1"/>
      <c r="KR119" s="1"/>
      <c r="KS119" s="1"/>
      <c r="KT119" s="1"/>
      <c r="KU119" s="1"/>
      <c r="KV119" s="1"/>
      <c r="KW119" s="1"/>
      <c r="KX119" s="1"/>
      <c r="KY119" s="1"/>
      <c r="KZ119" s="1"/>
      <c r="LA119" s="1"/>
      <c r="LB119" s="1"/>
      <c r="LC119" s="1"/>
      <c r="LD119" s="1"/>
      <c r="LE119" s="1"/>
      <c r="LF119" s="1"/>
      <c r="LG119" s="1"/>
      <c r="LH119" s="1"/>
      <c r="LI119" s="1"/>
      <c r="LJ119" s="1"/>
      <c r="LK119" s="1"/>
      <c r="LL119" s="1"/>
      <c r="LM119" s="1"/>
      <c r="LN119" s="1"/>
      <c r="LO119" s="1"/>
      <c r="LP119" s="1"/>
    </row>
    <row r="120" spans="1:328" ht="15" customHeight="1">
      <c r="A120" s="385"/>
      <c r="B120" s="386"/>
      <c r="C120" s="386"/>
      <c r="D120" s="386"/>
      <c r="E120" s="386"/>
      <c r="F120" s="386"/>
      <c r="G120" s="386"/>
      <c r="H120" s="386"/>
      <c r="I120" s="386"/>
      <c r="J120" s="386"/>
      <c r="K120" s="386"/>
      <c r="L120" s="386"/>
      <c r="M120" s="386"/>
      <c r="N120" s="386"/>
      <c r="O120" s="386"/>
      <c r="P120" s="386"/>
      <c r="Q120" s="386"/>
      <c r="R120" s="386"/>
      <c r="S120" s="386"/>
      <c r="T120" s="387"/>
      <c r="U120" s="2"/>
      <c r="V120" s="409"/>
      <c r="W120" s="410"/>
      <c r="X120" s="410"/>
      <c r="Y120" s="410"/>
      <c r="Z120" s="410"/>
      <c r="AA120" s="410"/>
      <c r="AB120" s="262"/>
      <c r="AC120" s="262"/>
      <c r="AD120" s="262"/>
      <c r="AE120" s="262"/>
      <c r="AF120" s="391"/>
      <c r="AG120" s="75"/>
      <c r="AH120" s="392"/>
      <c r="AI120" s="393"/>
      <c r="AJ120" s="393"/>
      <c r="AK120" s="393"/>
      <c r="AL120" s="393"/>
      <c r="AM120" s="393"/>
      <c r="AN120" s="394"/>
      <c r="AO120" s="394"/>
      <c r="AP120" s="394"/>
      <c r="AQ120" s="394"/>
      <c r="AR120" s="453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/>
      <c r="KW120" s="1"/>
      <c r="KX120" s="1"/>
      <c r="KY120" s="1"/>
      <c r="KZ120" s="1"/>
      <c r="LA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</row>
    <row r="121" spans="1:328" ht="15" customHeight="1">
      <c r="A121" s="388"/>
      <c r="B121" s="389"/>
      <c r="C121" s="389"/>
      <c r="D121" s="389"/>
      <c r="E121" s="389"/>
      <c r="F121" s="389"/>
      <c r="G121" s="389"/>
      <c r="H121" s="389"/>
      <c r="I121" s="389"/>
      <c r="J121" s="389"/>
      <c r="K121" s="389"/>
      <c r="L121" s="389"/>
      <c r="M121" s="389"/>
      <c r="N121" s="389"/>
      <c r="O121" s="389"/>
      <c r="P121" s="389"/>
      <c r="Q121" s="389"/>
      <c r="R121" s="389"/>
      <c r="S121" s="389"/>
      <c r="T121" s="390"/>
      <c r="U121" s="2"/>
      <c r="V121" s="409"/>
      <c r="W121" s="410"/>
      <c r="X121" s="410"/>
      <c r="Y121" s="410"/>
      <c r="Z121" s="410"/>
      <c r="AA121" s="410"/>
      <c r="AB121" s="262"/>
      <c r="AC121" s="262"/>
      <c r="AD121" s="262"/>
      <c r="AE121" s="262"/>
      <c r="AF121" s="391"/>
      <c r="AG121" s="75"/>
      <c r="AH121" s="392"/>
      <c r="AI121" s="393"/>
      <c r="AJ121" s="393"/>
      <c r="AK121" s="393"/>
      <c r="AL121" s="393"/>
      <c r="AM121" s="393"/>
      <c r="AN121" s="394"/>
      <c r="AO121" s="394"/>
      <c r="AP121" s="394"/>
      <c r="AQ121" s="394"/>
      <c r="AR121" s="453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  <c r="JA121" s="1"/>
      <c r="JB121" s="1"/>
      <c r="JC121" s="1"/>
      <c r="JD121" s="1"/>
      <c r="JE121" s="1"/>
      <c r="JF121" s="1"/>
      <c r="JG121" s="1"/>
      <c r="JH121" s="1"/>
      <c r="JI121" s="1"/>
      <c r="JJ121" s="1"/>
      <c r="JK121" s="1"/>
      <c r="JL121" s="1"/>
      <c r="JM121" s="1"/>
      <c r="JN121" s="1"/>
      <c r="JO121" s="1"/>
      <c r="JP121" s="1"/>
      <c r="JQ121" s="1"/>
      <c r="JR121" s="1"/>
      <c r="JS121" s="1"/>
      <c r="JT121" s="1"/>
      <c r="JU121" s="1"/>
      <c r="JV121" s="1"/>
      <c r="JW121" s="1"/>
      <c r="JX121" s="1"/>
      <c r="JY121" s="1"/>
      <c r="JZ121" s="1"/>
      <c r="KA121" s="1"/>
      <c r="KB121" s="1"/>
      <c r="KC121" s="1"/>
      <c r="KD121" s="1"/>
      <c r="KE121" s="1"/>
      <c r="KF121" s="1"/>
      <c r="KG121" s="1"/>
      <c r="KH121" s="1"/>
      <c r="KI121" s="1"/>
      <c r="KJ121" s="1"/>
      <c r="KK121" s="1"/>
      <c r="KL121" s="1"/>
      <c r="KM121" s="1"/>
      <c r="KN121" s="1"/>
      <c r="KO121" s="1"/>
      <c r="KP121" s="1"/>
      <c r="KQ121" s="1"/>
      <c r="KR121" s="1"/>
      <c r="KS121" s="1"/>
      <c r="KT121" s="1"/>
      <c r="KU121" s="1"/>
      <c r="KV121" s="1"/>
      <c r="KW121" s="1"/>
      <c r="KX121" s="1"/>
      <c r="KY121" s="1"/>
      <c r="KZ121" s="1"/>
      <c r="LA121" s="1"/>
      <c r="LB121" s="1"/>
      <c r="LC121" s="1"/>
      <c r="LD121" s="1"/>
      <c r="LE121" s="1"/>
      <c r="LF121" s="1"/>
      <c r="LG121" s="1"/>
      <c r="LH121" s="1"/>
      <c r="LI121" s="1"/>
      <c r="LJ121" s="1"/>
      <c r="LK121" s="1"/>
      <c r="LL121" s="1"/>
      <c r="LM121" s="1"/>
      <c r="LN121" s="1"/>
      <c r="LO121" s="1"/>
      <c r="LP121" s="1"/>
    </row>
    <row r="122" spans="1:328" ht="15" customHeight="1">
      <c r="A122" s="385"/>
      <c r="B122" s="386"/>
      <c r="C122" s="386"/>
      <c r="D122" s="386"/>
      <c r="E122" s="386"/>
      <c r="F122" s="386"/>
      <c r="G122" s="386"/>
      <c r="H122" s="386"/>
      <c r="I122" s="386"/>
      <c r="J122" s="386"/>
      <c r="K122" s="386"/>
      <c r="L122" s="386"/>
      <c r="M122" s="386"/>
      <c r="N122" s="386"/>
      <c r="O122" s="386"/>
      <c r="P122" s="386"/>
      <c r="Q122" s="386"/>
      <c r="R122" s="386"/>
      <c r="S122" s="386"/>
      <c r="T122" s="387"/>
      <c r="U122" s="2"/>
      <c r="V122" s="409"/>
      <c r="W122" s="410"/>
      <c r="X122" s="410"/>
      <c r="Y122" s="410"/>
      <c r="Z122" s="410"/>
      <c r="AA122" s="410"/>
      <c r="AB122" s="262"/>
      <c r="AC122" s="262"/>
      <c r="AD122" s="262"/>
      <c r="AE122" s="262"/>
      <c r="AF122" s="391"/>
      <c r="AG122" s="75"/>
      <c r="AH122" s="392"/>
      <c r="AI122" s="393"/>
      <c r="AJ122" s="393"/>
      <c r="AK122" s="393"/>
      <c r="AL122" s="393"/>
      <c r="AM122" s="393"/>
      <c r="AN122" s="394"/>
      <c r="AO122" s="394"/>
      <c r="AP122" s="394"/>
      <c r="AQ122" s="394"/>
      <c r="AR122" s="453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  <c r="JC122" s="1"/>
      <c r="JD122" s="1"/>
      <c r="JE122" s="1"/>
      <c r="JF122" s="1"/>
      <c r="JG122" s="1"/>
      <c r="JH122" s="1"/>
      <c r="JI122" s="1"/>
      <c r="JJ122" s="1"/>
      <c r="JK122" s="1"/>
      <c r="JL122" s="1"/>
      <c r="JM122" s="1"/>
      <c r="JN122" s="1"/>
      <c r="JO122" s="1"/>
      <c r="JP122" s="1"/>
      <c r="JQ122" s="1"/>
      <c r="JR122" s="1"/>
      <c r="JS122" s="1"/>
      <c r="JT122" s="1"/>
      <c r="JU122" s="1"/>
      <c r="JV122" s="1"/>
      <c r="JW122" s="1"/>
      <c r="JX122" s="1"/>
      <c r="JY122" s="1"/>
      <c r="JZ122" s="1"/>
      <c r="KA122" s="1"/>
      <c r="KB122" s="1"/>
      <c r="KC122" s="1"/>
      <c r="KD122" s="1"/>
      <c r="KE122" s="1"/>
      <c r="KF122" s="1"/>
      <c r="KG122" s="1"/>
      <c r="KH122" s="1"/>
      <c r="KI122" s="1"/>
      <c r="KJ122" s="1"/>
      <c r="KK122" s="1"/>
      <c r="KL122" s="1"/>
      <c r="KM122" s="1"/>
      <c r="KN122" s="1"/>
      <c r="KO122" s="1"/>
      <c r="KP122" s="1"/>
      <c r="KQ122" s="1"/>
      <c r="KR122" s="1"/>
      <c r="KS122" s="1"/>
      <c r="KT122" s="1"/>
      <c r="KU122" s="1"/>
      <c r="KV122" s="1"/>
      <c r="KW122" s="1"/>
      <c r="KX122" s="1"/>
      <c r="KY122" s="1"/>
      <c r="KZ122" s="1"/>
      <c r="LA122" s="1"/>
      <c r="LB122" s="1"/>
      <c r="LC122" s="1"/>
      <c r="LD122" s="1"/>
      <c r="LE122" s="1"/>
      <c r="LF122" s="1"/>
      <c r="LG122" s="1"/>
      <c r="LH122" s="1"/>
      <c r="LI122" s="1"/>
      <c r="LJ122" s="1"/>
      <c r="LK122" s="1"/>
      <c r="LL122" s="1"/>
      <c r="LM122" s="1"/>
      <c r="LN122" s="1"/>
      <c r="LO122" s="1"/>
      <c r="LP122" s="1"/>
    </row>
    <row r="123" spans="1:328" ht="15" customHeight="1">
      <c r="A123" s="388"/>
      <c r="B123" s="389"/>
      <c r="C123" s="389"/>
      <c r="D123" s="389"/>
      <c r="E123" s="389"/>
      <c r="F123" s="389"/>
      <c r="G123" s="389"/>
      <c r="H123" s="389"/>
      <c r="I123" s="389"/>
      <c r="J123" s="389"/>
      <c r="K123" s="389"/>
      <c r="L123" s="389"/>
      <c r="M123" s="389"/>
      <c r="N123" s="389"/>
      <c r="O123" s="389"/>
      <c r="P123" s="389"/>
      <c r="Q123" s="389"/>
      <c r="R123" s="389"/>
      <c r="S123" s="389"/>
      <c r="T123" s="390"/>
      <c r="U123" s="2"/>
      <c r="V123" s="409"/>
      <c r="W123" s="410"/>
      <c r="X123" s="410"/>
      <c r="Y123" s="410"/>
      <c r="Z123" s="410"/>
      <c r="AA123" s="410"/>
      <c r="AB123" s="262"/>
      <c r="AC123" s="262"/>
      <c r="AD123" s="262"/>
      <c r="AE123" s="262"/>
      <c r="AF123" s="391"/>
      <c r="AG123" s="75"/>
      <c r="AH123" s="392"/>
      <c r="AI123" s="393"/>
      <c r="AJ123" s="393"/>
      <c r="AK123" s="393"/>
      <c r="AL123" s="393"/>
      <c r="AM123" s="393"/>
      <c r="AN123" s="394"/>
      <c r="AO123" s="394"/>
      <c r="AP123" s="394"/>
      <c r="AQ123" s="394"/>
      <c r="AR123" s="453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  <c r="JA123" s="1"/>
      <c r="JB123" s="1"/>
      <c r="JC123" s="1"/>
      <c r="JD123" s="1"/>
      <c r="JE123" s="1"/>
      <c r="JF123" s="1"/>
      <c r="JG123" s="1"/>
      <c r="JH123" s="1"/>
      <c r="JI123" s="1"/>
      <c r="JJ123" s="1"/>
      <c r="JK123" s="1"/>
      <c r="JL123" s="1"/>
      <c r="JM123" s="1"/>
      <c r="JN123" s="1"/>
      <c r="JO123" s="1"/>
      <c r="JP123" s="1"/>
      <c r="JQ123" s="1"/>
      <c r="JR123" s="1"/>
      <c r="JS123" s="1"/>
      <c r="JT123" s="1"/>
      <c r="JU123" s="1"/>
      <c r="JV123" s="1"/>
      <c r="JW123" s="1"/>
      <c r="JX123" s="1"/>
      <c r="JY123" s="1"/>
      <c r="JZ123" s="1"/>
      <c r="KA123" s="1"/>
      <c r="KB123" s="1"/>
      <c r="KC123" s="1"/>
      <c r="KD123" s="1"/>
      <c r="KE123" s="1"/>
      <c r="KF123" s="1"/>
      <c r="KG123" s="1"/>
      <c r="KH123" s="1"/>
      <c r="KI123" s="1"/>
      <c r="KJ123" s="1"/>
      <c r="KK123" s="1"/>
      <c r="KL123" s="1"/>
      <c r="KM123" s="1"/>
      <c r="KN123" s="1"/>
      <c r="KO123" s="1"/>
      <c r="KP123" s="1"/>
      <c r="KQ123" s="1"/>
      <c r="KR123" s="1"/>
      <c r="KS123" s="1"/>
      <c r="KT123" s="1"/>
      <c r="KU123" s="1"/>
      <c r="KV123" s="1"/>
      <c r="KW123" s="1"/>
      <c r="KX123" s="1"/>
      <c r="KY123" s="1"/>
      <c r="KZ123" s="1"/>
      <c r="LA123" s="1"/>
      <c r="LB123" s="1"/>
      <c r="LC123" s="1"/>
      <c r="LD123" s="1"/>
      <c r="LE123" s="1"/>
      <c r="LF123" s="1"/>
      <c r="LG123" s="1"/>
      <c r="LH123" s="1"/>
      <c r="LI123" s="1"/>
      <c r="LJ123" s="1"/>
      <c r="LK123" s="1"/>
      <c r="LL123" s="1"/>
      <c r="LM123" s="1"/>
      <c r="LN123" s="1"/>
      <c r="LO123" s="1"/>
      <c r="LP123" s="1"/>
    </row>
    <row r="124" spans="1:328" ht="15" customHeight="1">
      <c r="A124" s="385"/>
      <c r="B124" s="386"/>
      <c r="C124" s="386"/>
      <c r="D124" s="386"/>
      <c r="E124" s="386"/>
      <c r="F124" s="386"/>
      <c r="G124" s="386"/>
      <c r="H124" s="386"/>
      <c r="I124" s="386"/>
      <c r="J124" s="386"/>
      <c r="K124" s="386"/>
      <c r="L124" s="386"/>
      <c r="M124" s="386"/>
      <c r="N124" s="386"/>
      <c r="O124" s="386"/>
      <c r="P124" s="386"/>
      <c r="Q124" s="386"/>
      <c r="R124" s="386"/>
      <c r="S124" s="386"/>
      <c r="T124" s="387"/>
      <c r="U124" s="2"/>
      <c r="V124" s="409"/>
      <c r="W124" s="410"/>
      <c r="X124" s="410"/>
      <c r="Y124" s="410"/>
      <c r="Z124" s="410"/>
      <c r="AA124" s="410"/>
      <c r="AB124" s="262"/>
      <c r="AC124" s="262"/>
      <c r="AD124" s="262"/>
      <c r="AE124" s="262"/>
      <c r="AF124" s="391"/>
      <c r="AG124" s="75"/>
      <c r="AH124" s="392"/>
      <c r="AI124" s="393"/>
      <c r="AJ124" s="393"/>
      <c r="AK124" s="393"/>
      <c r="AL124" s="393"/>
      <c r="AM124" s="393"/>
      <c r="AN124" s="394"/>
      <c r="AO124" s="394"/>
      <c r="AP124" s="394"/>
      <c r="AQ124" s="394"/>
      <c r="AR124" s="453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  <c r="JC124" s="1"/>
      <c r="JD124" s="1"/>
      <c r="JE124" s="1"/>
      <c r="JF124" s="1"/>
      <c r="JG124" s="1"/>
      <c r="JH124" s="1"/>
      <c r="JI124" s="1"/>
      <c r="JJ124" s="1"/>
      <c r="JK124" s="1"/>
      <c r="JL124" s="1"/>
      <c r="JM124" s="1"/>
      <c r="JN124" s="1"/>
      <c r="JO124" s="1"/>
      <c r="JP124" s="1"/>
      <c r="JQ124" s="1"/>
      <c r="JR124" s="1"/>
      <c r="JS124" s="1"/>
      <c r="JT124" s="1"/>
      <c r="JU124" s="1"/>
      <c r="JV124" s="1"/>
      <c r="JW124" s="1"/>
      <c r="JX124" s="1"/>
      <c r="JY124" s="1"/>
      <c r="JZ124" s="1"/>
      <c r="KA124" s="1"/>
      <c r="KB124" s="1"/>
      <c r="KC124" s="1"/>
      <c r="KD124" s="1"/>
      <c r="KE124" s="1"/>
      <c r="KF124" s="1"/>
      <c r="KG124" s="1"/>
      <c r="KH124" s="1"/>
      <c r="KI124" s="1"/>
      <c r="KJ124" s="1"/>
      <c r="KK124" s="1"/>
      <c r="KL124" s="1"/>
      <c r="KM124" s="1"/>
      <c r="KN124" s="1"/>
      <c r="KO124" s="1"/>
      <c r="KP124" s="1"/>
      <c r="KQ124" s="1"/>
      <c r="KR124" s="1"/>
      <c r="KS124" s="1"/>
      <c r="KT124" s="1"/>
      <c r="KU124" s="1"/>
      <c r="KV124" s="1"/>
      <c r="KW124" s="1"/>
      <c r="KX124" s="1"/>
      <c r="KY124" s="1"/>
      <c r="KZ124" s="1"/>
      <c r="LA124" s="1"/>
      <c r="LB124" s="1"/>
      <c r="LC124" s="1"/>
      <c r="LD124" s="1"/>
      <c r="LE124" s="1"/>
      <c r="LF124" s="1"/>
      <c r="LG124" s="1"/>
      <c r="LH124" s="1"/>
      <c r="LI124" s="1"/>
      <c r="LJ124" s="1"/>
      <c r="LK124" s="1"/>
      <c r="LL124" s="1"/>
      <c r="LM124" s="1"/>
      <c r="LN124" s="1"/>
      <c r="LO124" s="1"/>
      <c r="LP124" s="1"/>
    </row>
    <row r="125" spans="1:328" ht="15" customHeight="1">
      <c r="A125" s="388"/>
      <c r="B125" s="389"/>
      <c r="C125" s="389"/>
      <c r="D125" s="389"/>
      <c r="E125" s="389"/>
      <c r="F125" s="389"/>
      <c r="G125" s="389"/>
      <c r="H125" s="389"/>
      <c r="I125" s="389"/>
      <c r="J125" s="389"/>
      <c r="K125" s="389"/>
      <c r="L125" s="389"/>
      <c r="M125" s="389"/>
      <c r="N125" s="389"/>
      <c r="O125" s="389"/>
      <c r="P125" s="389"/>
      <c r="Q125" s="389"/>
      <c r="R125" s="389"/>
      <c r="S125" s="389"/>
      <c r="T125" s="390"/>
      <c r="U125" s="2"/>
      <c r="V125" s="409"/>
      <c r="W125" s="410"/>
      <c r="X125" s="410"/>
      <c r="Y125" s="410"/>
      <c r="Z125" s="410"/>
      <c r="AA125" s="410"/>
      <c r="AB125" s="262"/>
      <c r="AC125" s="262"/>
      <c r="AD125" s="262"/>
      <c r="AE125" s="262"/>
      <c r="AF125" s="391"/>
      <c r="AG125" s="75"/>
      <c r="AH125" s="392"/>
      <c r="AI125" s="393"/>
      <c r="AJ125" s="393"/>
      <c r="AK125" s="393"/>
      <c r="AL125" s="393"/>
      <c r="AM125" s="393"/>
      <c r="AN125" s="394"/>
      <c r="AO125" s="394"/>
      <c r="AP125" s="394"/>
      <c r="AQ125" s="394"/>
      <c r="AR125" s="453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  <c r="JA125" s="1"/>
      <c r="JB125" s="1"/>
      <c r="JC125" s="1"/>
      <c r="JD125" s="1"/>
      <c r="JE125" s="1"/>
      <c r="JF125" s="1"/>
      <c r="JG125" s="1"/>
      <c r="JH125" s="1"/>
      <c r="JI125" s="1"/>
      <c r="JJ125" s="1"/>
      <c r="JK125" s="1"/>
      <c r="JL125" s="1"/>
      <c r="JM125" s="1"/>
      <c r="JN125" s="1"/>
      <c r="JO125" s="1"/>
      <c r="JP125" s="1"/>
      <c r="JQ125" s="1"/>
      <c r="JR125" s="1"/>
      <c r="JS125" s="1"/>
      <c r="JT125" s="1"/>
      <c r="JU125" s="1"/>
      <c r="JV125" s="1"/>
      <c r="JW125" s="1"/>
      <c r="JX125" s="1"/>
      <c r="JY125" s="1"/>
      <c r="JZ125" s="1"/>
      <c r="KA125" s="1"/>
      <c r="KB125" s="1"/>
      <c r="KC125" s="1"/>
      <c r="KD125" s="1"/>
      <c r="KE125" s="1"/>
      <c r="KF125" s="1"/>
      <c r="KG125" s="1"/>
      <c r="KH125" s="1"/>
      <c r="KI125" s="1"/>
      <c r="KJ125" s="1"/>
      <c r="KK125" s="1"/>
      <c r="KL125" s="1"/>
      <c r="KM125" s="1"/>
      <c r="KN125" s="1"/>
      <c r="KO125" s="1"/>
      <c r="KP125" s="1"/>
      <c r="KQ125" s="1"/>
      <c r="KR125" s="1"/>
      <c r="KS125" s="1"/>
      <c r="KT125" s="1"/>
      <c r="KU125" s="1"/>
      <c r="KV125" s="1"/>
      <c r="KW125" s="1"/>
      <c r="KX125" s="1"/>
      <c r="KY125" s="1"/>
      <c r="KZ125" s="1"/>
      <c r="LA125" s="1"/>
      <c r="LB125" s="1"/>
      <c r="LC125" s="1"/>
      <c r="LD125" s="1"/>
      <c r="LE125" s="1"/>
      <c r="LF125" s="1"/>
      <c r="LG125" s="1"/>
      <c r="LH125" s="1"/>
      <c r="LI125" s="1"/>
      <c r="LJ125" s="1"/>
      <c r="LK125" s="1"/>
      <c r="LL125" s="1"/>
      <c r="LM125" s="1"/>
      <c r="LN125" s="1"/>
      <c r="LO125" s="1"/>
      <c r="LP125" s="1"/>
    </row>
    <row r="126" spans="1:328" ht="15" customHeight="1">
      <c r="A126" s="385"/>
      <c r="B126" s="386"/>
      <c r="C126" s="386"/>
      <c r="D126" s="386"/>
      <c r="E126" s="386"/>
      <c r="F126" s="386"/>
      <c r="G126" s="386"/>
      <c r="H126" s="386"/>
      <c r="I126" s="386"/>
      <c r="J126" s="386"/>
      <c r="K126" s="386"/>
      <c r="L126" s="386"/>
      <c r="M126" s="386"/>
      <c r="N126" s="386"/>
      <c r="O126" s="386"/>
      <c r="P126" s="386"/>
      <c r="Q126" s="386"/>
      <c r="R126" s="386"/>
      <c r="S126" s="386"/>
      <c r="T126" s="387"/>
      <c r="U126" s="2"/>
      <c r="V126" s="409"/>
      <c r="W126" s="410"/>
      <c r="X126" s="410"/>
      <c r="Y126" s="410"/>
      <c r="Z126" s="410"/>
      <c r="AA126" s="410"/>
      <c r="AB126" s="262"/>
      <c r="AC126" s="262"/>
      <c r="AD126" s="262"/>
      <c r="AE126" s="262"/>
      <c r="AF126" s="391"/>
      <c r="AG126" s="75"/>
      <c r="AH126" s="392"/>
      <c r="AI126" s="393"/>
      <c r="AJ126" s="393"/>
      <c r="AK126" s="393"/>
      <c r="AL126" s="393"/>
      <c r="AM126" s="393"/>
      <c r="AN126" s="394"/>
      <c r="AO126" s="394"/>
      <c r="AP126" s="394"/>
      <c r="AQ126" s="394"/>
      <c r="AR126" s="453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  <c r="JA126" s="1"/>
      <c r="JB126" s="1"/>
      <c r="JC126" s="1"/>
      <c r="JD126" s="1"/>
      <c r="JE126" s="1"/>
      <c r="JF126" s="1"/>
      <c r="JG126" s="1"/>
      <c r="JH126" s="1"/>
      <c r="JI126" s="1"/>
      <c r="JJ126" s="1"/>
      <c r="JK126" s="1"/>
      <c r="JL126" s="1"/>
      <c r="JM126" s="1"/>
      <c r="JN126" s="1"/>
      <c r="JO126" s="1"/>
      <c r="JP126" s="1"/>
      <c r="JQ126" s="1"/>
      <c r="JR126" s="1"/>
      <c r="JS126" s="1"/>
      <c r="JT126" s="1"/>
      <c r="JU126" s="1"/>
      <c r="JV126" s="1"/>
      <c r="JW126" s="1"/>
      <c r="JX126" s="1"/>
      <c r="JY126" s="1"/>
      <c r="JZ126" s="1"/>
      <c r="KA126" s="1"/>
      <c r="KB126" s="1"/>
      <c r="KC126" s="1"/>
      <c r="KD126" s="1"/>
      <c r="KE126" s="1"/>
      <c r="KF126" s="1"/>
      <c r="KG126" s="1"/>
      <c r="KH126" s="1"/>
      <c r="KI126" s="1"/>
      <c r="KJ126" s="1"/>
      <c r="KK126" s="1"/>
      <c r="KL126" s="1"/>
      <c r="KM126" s="1"/>
      <c r="KN126" s="1"/>
      <c r="KO126" s="1"/>
      <c r="KP126" s="1"/>
      <c r="KQ126" s="1"/>
      <c r="KR126" s="1"/>
      <c r="KS126" s="1"/>
      <c r="KT126" s="1"/>
      <c r="KU126" s="1"/>
      <c r="KV126" s="1"/>
      <c r="KW126" s="1"/>
      <c r="KX126" s="1"/>
      <c r="KY126" s="1"/>
      <c r="KZ126" s="1"/>
      <c r="LA126" s="1"/>
      <c r="LB126" s="1"/>
      <c r="LC126" s="1"/>
      <c r="LD126" s="1"/>
      <c r="LE126" s="1"/>
      <c r="LF126" s="1"/>
      <c r="LG126" s="1"/>
      <c r="LH126" s="1"/>
      <c r="LI126" s="1"/>
      <c r="LJ126" s="1"/>
      <c r="LK126" s="1"/>
      <c r="LL126" s="1"/>
      <c r="LM126" s="1"/>
      <c r="LN126" s="1"/>
      <c r="LO126" s="1"/>
      <c r="LP126" s="1"/>
    </row>
    <row r="127" spans="1:328" ht="15" customHeight="1">
      <c r="A127" s="388"/>
      <c r="B127" s="389"/>
      <c r="C127" s="389"/>
      <c r="D127" s="389"/>
      <c r="E127" s="389"/>
      <c r="F127" s="389"/>
      <c r="G127" s="389"/>
      <c r="H127" s="389"/>
      <c r="I127" s="389"/>
      <c r="J127" s="389"/>
      <c r="K127" s="389"/>
      <c r="L127" s="389"/>
      <c r="M127" s="389"/>
      <c r="N127" s="389"/>
      <c r="O127" s="389"/>
      <c r="P127" s="389"/>
      <c r="Q127" s="389"/>
      <c r="R127" s="389"/>
      <c r="S127" s="389"/>
      <c r="T127" s="390"/>
      <c r="U127" s="2"/>
      <c r="V127" s="409"/>
      <c r="W127" s="410"/>
      <c r="X127" s="410"/>
      <c r="Y127" s="410"/>
      <c r="Z127" s="410"/>
      <c r="AA127" s="410"/>
      <c r="AB127" s="262"/>
      <c r="AC127" s="262"/>
      <c r="AD127" s="262"/>
      <c r="AE127" s="262"/>
      <c r="AF127" s="391"/>
      <c r="AG127" s="75"/>
      <c r="AH127" s="392"/>
      <c r="AI127" s="393"/>
      <c r="AJ127" s="393"/>
      <c r="AK127" s="393"/>
      <c r="AL127" s="393"/>
      <c r="AM127" s="393"/>
      <c r="AN127" s="394"/>
      <c r="AO127" s="394"/>
      <c r="AP127" s="394"/>
      <c r="AQ127" s="394"/>
      <c r="AR127" s="453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  <c r="JC127" s="1"/>
      <c r="JD127" s="1"/>
      <c r="JE127" s="1"/>
      <c r="JF127" s="1"/>
      <c r="JG127" s="1"/>
      <c r="JH127" s="1"/>
      <c r="JI127" s="1"/>
      <c r="JJ127" s="1"/>
      <c r="JK127" s="1"/>
      <c r="JL127" s="1"/>
      <c r="JM127" s="1"/>
      <c r="JN127" s="1"/>
      <c r="JO127" s="1"/>
      <c r="JP127" s="1"/>
      <c r="JQ127" s="1"/>
      <c r="JR127" s="1"/>
      <c r="JS127" s="1"/>
      <c r="JT127" s="1"/>
      <c r="JU127" s="1"/>
      <c r="JV127" s="1"/>
      <c r="JW127" s="1"/>
      <c r="JX127" s="1"/>
      <c r="JY127" s="1"/>
      <c r="JZ127" s="1"/>
      <c r="KA127" s="1"/>
      <c r="KB127" s="1"/>
      <c r="KC127" s="1"/>
      <c r="KD127" s="1"/>
      <c r="KE127" s="1"/>
      <c r="KF127" s="1"/>
      <c r="KG127" s="1"/>
      <c r="KH127" s="1"/>
      <c r="KI127" s="1"/>
      <c r="KJ127" s="1"/>
      <c r="KK127" s="1"/>
      <c r="KL127" s="1"/>
      <c r="KM127" s="1"/>
      <c r="KN127" s="1"/>
      <c r="KO127" s="1"/>
      <c r="KP127" s="1"/>
      <c r="KQ127" s="1"/>
      <c r="KR127" s="1"/>
      <c r="KS127" s="1"/>
      <c r="KT127" s="1"/>
      <c r="KU127" s="1"/>
      <c r="KV127" s="1"/>
      <c r="KW127" s="1"/>
      <c r="KX127" s="1"/>
      <c r="KY127" s="1"/>
      <c r="KZ127" s="1"/>
      <c r="LA127" s="1"/>
      <c r="LB127" s="1"/>
      <c r="LC127" s="1"/>
      <c r="LD127" s="1"/>
      <c r="LE127" s="1"/>
      <c r="LF127" s="1"/>
      <c r="LG127" s="1"/>
      <c r="LH127" s="1"/>
      <c r="LI127" s="1"/>
      <c r="LJ127" s="1"/>
      <c r="LK127" s="1"/>
      <c r="LL127" s="1"/>
      <c r="LM127" s="1"/>
      <c r="LN127" s="1"/>
      <c r="LO127" s="1"/>
      <c r="LP127" s="1"/>
    </row>
    <row r="128" spans="1:328" ht="15" customHeight="1">
      <c r="A128" s="111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3"/>
      <c r="U128" s="2"/>
      <c r="V128" s="409"/>
      <c r="W128" s="410"/>
      <c r="X128" s="410"/>
      <c r="Y128" s="410"/>
      <c r="Z128" s="410"/>
      <c r="AA128" s="410"/>
      <c r="AB128" s="262"/>
      <c r="AC128" s="262"/>
      <c r="AD128" s="262"/>
      <c r="AE128" s="262"/>
      <c r="AF128" s="391"/>
      <c r="AG128" s="75"/>
      <c r="AH128" s="392"/>
      <c r="AI128" s="393"/>
      <c r="AJ128" s="393"/>
      <c r="AK128" s="393"/>
      <c r="AL128" s="393"/>
      <c r="AM128" s="393"/>
      <c r="AN128" s="394"/>
      <c r="AO128" s="394"/>
      <c r="AP128" s="394"/>
      <c r="AQ128" s="394"/>
      <c r="AR128" s="453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  <c r="IZ128" s="1"/>
      <c r="JA128" s="1"/>
      <c r="JB128" s="1"/>
      <c r="JC128" s="1"/>
      <c r="JD128" s="1"/>
      <c r="JE128" s="1"/>
      <c r="JF128" s="1"/>
      <c r="JG128" s="1"/>
      <c r="JH128" s="1"/>
      <c r="JI128" s="1"/>
      <c r="JJ128" s="1"/>
      <c r="JK128" s="1"/>
      <c r="JL128" s="1"/>
      <c r="JM128" s="1"/>
      <c r="JN128" s="1"/>
      <c r="JO128" s="1"/>
      <c r="JP128" s="1"/>
      <c r="JQ128" s="1"/>
      <c r="JR128" s="1"/>
      <c r="JS128" s="1"/>
      <c r="JT128" s="1"/>
      <c r="JU128" s="1"/>
      <c r="JV128" s="1"/>
      <c r="JW128" s="1"/>
      <c r="JX128" s="1"/>
      <c r="JY128" s="1"/>
      <c r="JZ128" s="1"/>
      <c r="KA128" s="1"/>
      <c r="KB128" s="1"/>
      <c r="KC128" s="1"/>
      <c r="KD128" s="1"/>
      <c r="KE128" s="1"/>
      <c r="KF128" s="1"/>
      <c r="KG128" s="1"/>
      <c r="KH128" s="1"/>
      <c r="KI128" s="1"/>
      <c r="KJ128" s="1"/>
      <c r="KK128" s="1"/>
      <c r="KL128" s="1"/>
      <c r="KM128" s="1"/>
      <c r="KN128" s="1"/>
      <c r="KO128" s="1"/>
      <c r="KP128" s="1"/>
      <c r="KQ128" s="1"/>
      <c r="KR128" s="1"/>
      <c r="KS128" s="1"/>
      <c r="KT128" s="1"/>
      <c r="KU128" s="1"/>
      <c r="KV128" s="1"/>
      <c r="KW128" s="1"/>
      <c r="KX128" s="1"/>
      <c r="KY128" s="1"/>
      <c r="KZ128" s="1"/>
      <c r="LA128" s="1"/>
      <c r="LB128" s="1"/>
      <c r="LC128" s="1"/>
      <c r="LD128" s="1"/>
      <c r="LE128" s="1"/>
      <c r="LF128" s="1"/>
      <c r="LG128" s="1"/>
      <c r="LH128" s="1"/>
      <c r="LI128" s="1"/>
      <c r="LJ128" s="1"/>
      <c r="LK128" s="1"/>
      <c r="LL128" s="1"/>
      <c r="LM128" s="1"/>
      <c r="LN128" s="1"/>
      <c r="LO128" s="1"/>
      <c r="LP128" s="1"/>
    </row>
    <row r="129" spans="1:328" ht="15" customHeight="1" thickBot="1">
      <c r="A129" s="114"/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6"/>
      <c r="U129" s="2"/>
      <c r="V129" s="877"/>
      <c r="W129" s="878"/>
      <c r="X129" s="878"/>
      <c r="Y129" s="878"/>
      <c r="Z129" s="878"/>
      <c r="AA129" s="878"/>
      <c r="AB129" s="879"/>
      <c r="AC129" s="879"/>
      <c r="AD129" s="879"/>
      <c r="AE129" s="879"/>
      <c r="AF129" s="880"/>
      <c r="AG129" s="75"/>
      <c r="AH129" s="881"/>
      <c r="AI129" s="882"/>
      <c r="AJ129" s="882"/>
      <c r="AK129" s="882"/>
      <c r="AL129" s="882"/>
      <c r="AM129" s="882"/>
      <c r="AN129" s="883"/>
      <c r="AO129" s="883"/>
      <c r="AP129" s="883"/>
      <c r="AQ129" s="883"/>
      <c r="AR129" s="884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  <c r="IY129" s="1"/>
      <c r="IZ129" s="1"/>
      <c r="JA129" s="1"/>
      <c r="JB129" s="1"/>
      <c r="JC129" s="1"/>
      <c r="JD129" s="1"/>
      <c r="JE129" s="1"/>
      <c r="JF129" s="1"/>
      <c r="JG129" s="1"/>
      <c r="JH129" s="1"/>
      <c r="JI129" s="1"/>
      <c r="JJ129" s="1"/>
      <c r="JK129" s="1"/>
      <c r="JL129" s="1"/>
      <c r="JM129" s="1"/>
      <c r="JN129" s="1"/>
      <c r="JO129" s="1"/>
      <c r="JP129" s="1"/>
      <c r="JQ129" s="1"/>
      <c r="JR129" s="1"/>
      <c r="JS129" s="1"/>
      <c r="JT129" s="1"/>
      <c r="JU129" s="1"/>
      <c r="JV129" s="1"/>
      <c r="JW129" s="1"/>
      <c r="JX129" s="1"/>
      <c r="JY129" s="1"/>
      <c r="JZ129" s="1"/>
      <c r="KA129" s="1"/>
      <c r="KB129" s="1"/>
      <c r="KC129" s="1"/>
      <c r="KD129" s="1"/>
      <c r="KE129" s="1"/>
      <c r="KF129" s="1"/>
      <c r="KG129" s="1"/>
      <c r="KH129" s="1"/>
      <c r="KI129" s="1"/>
      <c r="KJ129" s="1"/>
      <c r="KK129" s="1"/>
      <c r="KL129" s="1"/>
      <c r="KM129" s="1"/>
      <c r="KN129" s="1"/>
      <c r="KO129" s="1"/>
      <c r="KP129" s="1"/>
      <c r="KQ129" s="1"/>
      <c r="KR129" s="1"/>
      <c r="KS129" s="1"/>
      <c r="KT129" s="1"/>
      <c r="KU129" s="1"/>
      <c r="KV129" s="1"/>
      <c r="KW129" s="1"/>
      <c r="KX129" s="1"/>
      <c r="KY129" s="1"/>
      <c r="KZ129" s="1"/>
      <c r="LA129" s="1"/>
      <c r="LB129" s="1"/>
      <c r="LC129" s="1"/>
      <c r="LD129" s="1"/>
      <c r="LE129" s="1"/>
      <c r="LF129" s="1"/>
      <c r="LG129" s="1"/>
      <c r="LH129" s="1"/>
      <c r="LI129" s="1"/>
      <c r="LJ129" s="1"/>
      <c r="LK129" s="1"/>
      <c r="LL129" s="1"/>
      <c r="LM129" s="1"/>
      <c r="LN129" s="1"/>
      <c r="LO129" s="1"/>
      <c r="LP129" s="1"/>
    </row>
    <row r="130" spans="1:328" ht="15" customHeight="1" thickBo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  <c r="IY130" s="1"/>
      <c r="IZ130" s="1"/>
      <c r="JA130" s="1"/>
      <c r="JB130" s="1"/>
      <c r="JC130" s="1"/>
      <c r="JD130" s="1"/>
      <c r="JE130" s="1"/>
      <c r="JF130" s="1"/>
      <c r="JG130" s="1"/>
      <c r="JH130" s="1"/>
      <c r="JI130" s="1"/>
      <c r="JJ130" s="1"/>
      <c r="JK130" s="1"/>
      <c r="JL130" s="1"/>
      <c r="JM130" s="1"/>
      <c r="JN130" s="1"/>
      <c r="JO130" s="1"/>
      <c r="JP130" s="1"/>
      <c r="JQ130" s="1"/>
      <c r="JR130" s="1"/>
      <c r="JS130" s="1"/>
      <c r="JT130" s="1"/>
      <c r="JU130" s="1"/>
      <c r="JV130" s="1"/>
      <c r="JW130" s="1"/>
      <c r="JX130" s="1"/>
      <c r="JY130" s="1"/>
      <c r="JZ130" s="1"/>
      <c r="KA130" s="1"/>
      <c r="KB130" s="1"/>
      <c r="KC130" s="1"/>
      <c r="KD130" s="1"/>
      <c r="KE130" s="1"/>
      <c r="KF130" s="1"/>
      <c r="KG130" s="1"/>
      <c r="KH130" s="1"/>
      <c r="KI130" s="1"/>
      <c r="KJ130" s="1"/>
      <c r="KK130" s="1"/>
      <c r="KL130" s="1"/>
      <c r="KM130" s="1"/>
      <c r="KN130" s="1"/>
      <c r="KO130" s="1"/>
      <c r="KP130" s="1"/>
      <c r="KQ130" s="1"/>
      <c r="KR130" s="1"/>
      <c r="KS130" s="1"/>
      <c r="KT130" s="1"/>
      <c r="KU130" s="1"/>
      <c r="KV130" s="1"/>
      <c r="KW130" s="1"/>
      <c r="KX130" s="1"/>
      <c r="KY130" s="1"/>
      <c r="KZ130" s="1"/>
      <c r="LA130" s="1"/>
      <c r="LB130" s="1"/>
      <c r="LC130" s="1"/>
      <c r="LD130" s="1"/>
      <c r="LE130" s="1"/>
      <c r="LF130" s="1"/>
      <c r="LG130" s="1"/>
      <c r="LH130" s="1"/>
      <c r="LI130" s="1"/>
      <c r="LJ130" s="1"/>
      <c r="LK130" s="1"/>
      <c r="LL130" s="1"/>
      <c r="LM130" s="1"/>
      <c r="LN130" s="1"/>
      <c r="LO130" s="1"/>
      <c r="LP130" s="1"/>
    </row>
    <row r="131" spans="1:328" ht="15" customHeight="1" thickTop="1" thickBot="1">
      <c r="A131" s="829" t="s">
        <v>13</v>
      </c>
      <c r="B131" s="547" t="s">
        <v>12</v>
      </c>
      <c r="C131" s="548"/>
      <c r="D131" s="548"/>
      <c r="E131" s="548"/>
      <c r="F131" s="832"/>
      <c r="G131" s="833" t="s">
        <v>11</v>
      </c>
      <c r="H131" s="823"/>
      <c r="I131" s="834" t="s">
        <v>10</v>
      </c>
      <c r="J131" s="835"/>
      <c r="K131" s="835"/>
      <c r="L131" s="835"/>
      <c r="M131" s="836"/>
      <c r="N131" s="823" t="s">
        <v>9</v>
      </c>
      <c r="O131" s="823"/>
      <c r="P131" s="823"/>
      <c r="Q131" s="824"/>
      <c r="R131" s="833" t="s">
        <v>8</v>
      </c>
      <c r="S131" s="823"/>
      <c r="T131" s="823"/>
      <c r="U131" s="823" t="s">
        <v>7</v>
      </c>
      <c r="V131" s="823"/>
      <c r="W131" s="823"/>
      <c r="X131" s="823" t="s">
        <v>6</v>
      </c>
      <c r="Y131" s="823"/>
      <c r="Z131" s="823"/>
      <c r="AA131" s="823" t="s">
        <v>5</v>
      </c>
      <c r="AB131" s="823"/>
      <c r="AC131" s="823"/>
      <c r="AD131" s="823" t="s">
        <v>4</v>
      </c>
      <c r="AE131" s="823"/>
      <c r="AF131" s="823"/>
      <c r="AG131" s="823" t="s">
        <v>3</v>
      </c>
      <c r="AH131" s="823"/>
      <c r="AI131" s="824"/>
      <c r="AJ131" s="825" t="s">
        <v>2</v>
      </c>
      <c r="AK131" s="826"/>
      <c r="AL131" s="826"/>
      <c r="AM131" s="826"/>
      <c r="AN131" s="861" t="s">
        <v>1</v>
      </c>
      <c r="AO131" s="826"/>
      <c r="AP131" s="826"/>
      <c r="AQ131" s="826"/>
      <c r="AR131" s="86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  <c r="IX131" s="1"/>
      <c r="IY131" s="1"/>
      <c r="IZ131" s="1"/>
      <c r="JA131" s="1"/>
      <c r="JB131" s="1"/>
      <c r="JC131" s="1"/>
      <c r="JD131" s="1"/>
      <c r="JE131" s="1"/>
      <c r="JF131" s="1"/>
      <c r="JG131" s="1"/>
      <c r="JH131" s="1"/>
      <c r="JI131" s="1"/>
      <c r="JJ131" s="1"/>
      <c r="JK131" s="1"/>
      <c r="JL131" s="1"/>
      <c r="JM131" s="1"/>
      <c r="JN131" s="1"/>
      <c r="JO131" s="1"/>
      <c r="JP131" s="1"/>
      <c r="JQ131" s="1"/>
      <c r="JR131" s="1"/>
      <c r="JS131" s="1"/>
      <c r="JT131" s="1"/>
      <c r="JU131" s="1"/>
      <c r="JV131" s="1"/>
      <c r="JW131" s="1"/>
      <c r="JX131" s="1"/>
      <c r="JY131" s="1"/>
      <c r="JZ131" s="1"/>
      <c r="KA131" s="1"/>
      <c r="KB131" s="1"/>
      <c r="KC131" s="1"/>
      <c r="KD131" s="1"/>
      <c r="KE131" s="1"/>
      <c r="KF131" s="1"/>
      <c r="KG131" s="1"/>
      <c r="KH131" s="1"/>
      <c r="KI131" s="1"/>
      <c r="KJ131" s="1"/>
      <c r="KK131" s="1"/>
      <c r="KL131" s="1"/>
      <c r="KM131" s="1"/>
      <c r="KN131" s="1"/>
      <c r="KO131" s="1"/>
      <c r="KP131" s="1"/>
      <c r="KQ131" s="1"/>
      <c r="KR131" s="1"/>
      <c r="KS131" s="1"/>
      <c r="KT131" s="1"/>
      <c r="KU131" s="1"/>
      <c r="KV131" s="1"/>
      <c r="KW131" s="1"/>
      <c r="KX131" s="1"/>
      <c r="KY131" s="1"/>
      <c r="KZ131" s="1"/>
      <c r="LA131" s="1"/>
      <c r="LB131" s="1"/>
      <c r="LC131" s="1"/>
      <c r="LD131" s="1"/>
      <c r="LE131" s="1"/>
      <c r="LF131" s="1"/>
      <c r="LG131" s="1"/>
      <c r="LH131" s="1"/>
      <c r="LI131" s="1"/>
      <c r="LJ131" s="1"/>
      <c r="LK131" s="1"/>
      <c r="LL131" s="1"/>
      <c r="LM131" s="1"/>
      <c r="LN131" s="1"/>
      <c r="LO131" s="1"/>
      <c r="LP131" s="1"/>
    </row>
    <row r="132" spans="1:328" ht="15" customHeight="1">
      <c r="A132" s="830"/>
      <c r="B132" s="855"/>
      <c r="C132" s="856"/>
      <c r="D132" s="856"/>
      <c r="E132" s="856"/>
      <c r="F132" s="857"/>
      <c r="G132" s="849"/>
      <c r="H132" s="850"/>
      <c r="I132" s="837"/>
      <c r="J132" s="838"/>
      <c r="K132" s="838"/>
      <c r="L132" s="838"/>
      <c r="M132" s="839"/>
      <c r="N132" s="850"/>
      <c r="O132" s="850"/>
      <c r="P132" s="850"/>
      <c r="Q132" s="853"/>
      <c r="R132" s="849"/>
      <c r="S132" s="850"/>
      <c r="T132" s="850"/>
      <c r="U132" s="850"/>
      <c r="V132" s="850"/>
      <c r="W132" s="850"/>
      <c r="X132" s="850"/>
      <c r="Y132" s="850"/>
      <c r="Z132" s="850"/>
      <c r="AA132" s="850"/>
      <c r="AB132" s="850"/>
      <c r="AC132" s="850"/>
      <c r="AD132" s="850"/>
      <c r="AE132" s="850"/>
      <c r="AF132" s="850"/>
      <c r="AG132" s="850"/>
      <c r="AH132" s="850"/>
      <c r="AI132" s="853"/>
      <c r="AJ132" s="827"/>
      <c r="AK132" s="828"/>
      <c r="AL132" s="828"/>
      <c r="AM132" s="828"/>
      <c r="AN132" s="828"/>
      <c r="AO132" s="828"/>
      <c r="AP132" s="828"/>
      <c r="AQ132" s="828"/>
      <c r="AR132" s="863"/>
      <c r="AS132" s="57"/>
      <c r="AT132" s="57"/>
      <c r="AU132" s="57"/>
      <c r="AV132" s="57"/>
      <c r="AW132" s="57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  <c r="IX132" s="1"/>
      <c r="IY132" s="1"/>
      <c r="IZ132" s="1"/>
      <c r="JA132" s="1"/>
      <c r="JB132" s="1"/>
      <c r="JC132" s="1"/>
      <c r="JD132" s="1"/>
      <c r="JE132" s="1"/>
      <c r="JF132" s="1"/>
      <c r="JG132" s="1"/>
      <c r="JH132" s="1"/>
      <c r="JI132" s="1"/>
      <c r="JJ132" s="1"/>
      <c r="JK132" s="1"/>
      <c r="JL132" s="1"/>
      <c r="JM132" s="1"/>
      <c r="JN132" s="1"/>
      <c r="JO132" s="1"/>
      <c r="JP132" s="1"/>
      <c r="JQ132" s="1"/>
      <c r="JR132" s="1"/>
      <c r="JS132" s="1"/>
      <c r="JT132" s="1"/>
      <c r="JU132" s="1"/>
      <c r="JV132" s="1"/>
      <c r="JW132" s="1"/>
      <c r="JX132" s="1"/>
      <c r="JY132" s="1"/>
      <c r="JZ132" s="1"/>
      <c r="KA132" s="1"/>
      <c r="KB132" s="1"/>
      <c r="KC132" s="1"/>
      <c r="KD132" s="1"/>
      <c r="KE132" s="1"/>
      <c r="KF132" s="1"/>
      <c r="KG132" s="1"/>
      <c r="KH132" s="1"/>
      <c r="KI132" s="1"/>
      <c r="KJ132" s="1"/>
      <c r="KK132" s="1"/>
      <c r="KL132" s="1"/>
      <c r="KM132" s="1"/>
      <c r="KN132" s="1"/>
      <c r="KO132" s="1"/>
      <c r="KP132" s="1"/>
      <c r="KQ132" s="1"/>
      <c r="KR132" s="1"/>
      <c r="KS132" s="1"/>
      <c r="KT132" s="1"/>
      <c r="KU132" s="1"/>
      <c r="KV132" s="1"/>
      <c r="KW132" s="1"/>
      <c r="KX132" s="1"/>
      <c r="KY132" s="1"/>
      <c r="KZ132" s="1"/>
      <c r="LA132" s="1"/>
      <c r="LB132" s="1"/>
      <c r="LC132" s="1"/>
      <c r="LD132" s="1"/>
      <c r="LE132" s="1"/>
      <c r="LF132" s="1"/>
      <c r="LG132" s="1"/>
      <c r="LH132" s="1"/>
      <c r="LI132" s="1"/>
      <c r="LJ132" s="1"/>
      <c r="LK132" s="1"/>
      <c r="LL132" s="1"/>
      <c r="LM132" s="1"/>
      <c r="LN132" s="1"/>
      <c r="LO132" s="1"/>
      <c r="LP132" s="1"/>
    </row>
    <row r="133" spans="1:328" ht="15" customHeight="1" thickBot="1">
      <c r="A133" s="830"/>
      <c r="B133" s="820"/>
      <c r="C133" s="821"/>
      <c r="D133" s="821"/>
      <c r="E133" s="821"/>
      <c r="F133" s="822"/>
      <c r="G133" s="849"/>
      <c r="H133" s="850"/>
      <c r="I133" s="840"/>
      <c r="J133" s="841"/>
      <c r="K133" s="841"/>
      <c r="L133" s="841"/>
      <c r="M133" s="842"/>
      <c r="N133" s="850"/>
      <c r="O133" s="850"/>
      <c r="P133" s="850"/>
      <c r="Q133" s="853"/>
      <c r="R133" s="849"/>
      <c r="S133" s="850"/>
      <c r="T133" s="850"/>
      <c r="U133" s="850"/>
      <c r="V133" s="850"/>
      <c r="W133" s="850"/>
      <c r="X133" s="850"/>
      <c r="Y133" s="850"/>
      <c r="Z133" s="850"/>
      <c r="AA133" s="850"/>
      <c r="AB133" s="850"/>
      <c r="AC133" s="850"/>
      <c r="AD133" s="850"/>
      <c r="AE133" s="850"/>
      <c r="AF133" s="850"/>
      <c r="AG133" s="850"/>
      <c r="AH133" s="850"/>
      <c r="AI133" s="853"/>
      <c r="AJ133" s="858"/>
      <c r="AK133" s="859"/>
      <c r="AL133" s="859"/>
      <c r="AM133" s="859"/>
      <c r="AN133" s="859"/>
      <c r="AO133" s="859"/>
      <c r="AP133" s="859"/>
      <c r="AQ133" s="859"/>
      <c r="AR133" s="860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  <c r="IX133" s="1"/>
      <c r="IY133" s="1"/>
      <c r="IZ133" s="1"/>
      <c r="JA133" s="1"/>
      <c r="JB133" s="1"/>
      <c r="JC133" s="1"/>
      <c r="JD133" s="1"/>
      <c r="JE133" s="1"/>
      <c r="JF133" s="1"/>
      <c r="JG133" s="1"/>
      <c r="JH133" s="1"/>
      <c r="JI133" s="1"/>
      <c r="JJ133" s="1"/>
      <c r="JK133" s="1"/>
      <c r="JL133" s="1"/>
      <c r="JM133" s="1"/>
      <c r="JN133" s="1"/>
      <c r="JO133" s="1"/>
      <c r="JP133" s="1"/>
      <c r="JQ133" s="1"/>
      <c r="JR133" s="1"/>
      <c r="JS133" s="1"/>
      <c r="JT133" s="1"/>
      <c r="JU133" s="1"/>
      <c r="JV133" s="1"/>
      <c r="JW133" s="1"/>
      <c r="JX133" s="1"/>
      <c r="JY133" s="1"/>
      <c r="JZ133" s="1"/>
      <c r="KA133" s="1"/>
      <c r="KB133" s="1"/>
      <c r="KC133" s="1"/>
      <c r="KD133" s="1"/>
      <c r="KE133" s="1"/>
      <c r="KF133" s="1"/>
      <c r="KG133" s="1"/>
      <c r="KH133" s="1"/>
      <c r="KI133" s="1"/>
      <c r="KJ133" s="1"/>
      <c r="KK133" s="1"/>
      <c r="KL133" s="1"/>
      <c r="KM133" s="1"/>
      <c r="KN133" s="1"/>
      <c r="KO133" s="1"/>
      <c r="KP133" s="1"/>
      <c r="KQ133" s="1"/>
      <c r="KR133" s="1"/>
      <c r="KS133" s="1"/>
      <c r="KT133" s="1"/>
      <c r="KU133" s="1"/>
      <c r="KV133" s="1"/>
      <c r="KW133" s="1"/>
      <c r="KX133" s="1"/>
      <c r="KY133" s="1"/>
      <c r="KZ133" s="1"/>
      <c r="LA133" s="1"/>
      <c r="LB133" s="1"/>
      <c r="LC133" s="1"/>
      <c r="LD133" s="1"/>
      <c r="LE133" s="1"/>
      <c r="LF133" s="1"/>
      <c r="LG133" s="1"/>
      <c r="LH133" s="1"/>
      <c r="LI133" s="1"/>
      <c r="LJ133" s="1"/>
      <c r="LK133" s="1"/>
      <c r="LL133" s="1"/>
      <c r="LM133" s="1"/>
      <c r="LN133" s="1"/>
      <c r="LO133" s="1"/>
      <c r="LP133" s="1"/>
    </row>
    <row r="134" spans="1:328" ht="15" customHeight="1">
      <c r="A134" s="830"/>
      <c r="B134" s="820"/>
      <c r="C134" s="821"/>
      <c r="D134" s="821"/>
      <c r="E134" s="821"/>
      <c r="F134" s="822"/>
      <c r="G134" s="849"/>
      <c r="H134" s="850"/>
      <c r="I134" s="837"/>
      <c r="J134" s="838"/>
      <c r="K134" s="838"/>
      <c r="L134" s="838"/>
      <c r="M134" s="839"/>
      <c r="N134" s="850"/>
      <c r="O134" s="850"/>
      <c r="P134" s="850"/>
      <c r="Q134" s="853"/>
      <c r="R134" s="849"/>
      <c r="S134" s="850"/>
      <c r="T134" s="850"/>
      <c r="U134" s="850"/>
      <c r="V134" s="850"/>
      <c r="W134" s="850"/>
      <c r="X134" s="850"/>
      <c r="Y134" s="850"/>
      <c r="Z134" s="850"/>
      <c r="AA134" s="850"/>
      <c r="AB134" s="850"/>
      <c r="AC134" s="850"/>
      <c r="AD134" s="850"/>
      <c r="AE134" s="850"/>
      <c r="AF134" s="850"/>
      <c r="AG134" s="850"/>
      <c r="AH134" s="850"/>
      <c r="AI134" s="853"/>
      <c r="AJ134" s="827"/>
      <c r="AK134" s="828"/>
      <c r="AL134" s="828"/>
      <c r="AM134" s="828"/>
      <c r="AN134" s="828"/>
      <c r="AO134" s="828"/>
      <c r="AP134" s="828"/>
      <c r="AQ134" s="828"/>
      <c r="AR134" s="863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  <c r="IX134" s="1"/>
      <c r="IY134" s="1"/>
      <c r="IZ134" s="1"/>
      <c r="JA134" s="1"/>
      <c r="JB134" s="1"/>
      <c r="JC134" s="1"/>
      <c r="JD134" s="1"/>
      <c r="JE134" s="1"/>
      <c r="JF134" s="1"/>
      <c r="JG134" s="1"/>
      <c r="JH134" s="1"/>
      <c r="JI134" s="1"/>
      <c r="JJ134" s="1"/>
      <c r="JK134" s="1"/>
      <c r="JL134" s="1"/>
      <c r="JM134" s="1"/>
      <c r="JN134" s="1"/>
      <c r="JO134" s="1"/>
      <c r="JP134" s="1"/>
      <c r="JQ134" s="1"/>
      <c r="JR134" s="1"/>
      <c r="JS134" s="1"/>
      <c r="JT134" s="1"/>
      <c r="JU134" s="1"/>
      <c r="JV134" s="1"/>
      <c r="JW134" s="1"/>
      <c r="JX134" s="1"/>
      <c r="JY134" s="1"/>
      <c r="JZ134" s="1"/>
      <c r="KA134" s="1"/>
      <c r="KB134" s="1"/>
      <c r="KC134" s="1"/>
      <c r="KD134" s="1"/>
      <c r="KE134" s="1"/>
      <c r="KF134" s="1"/>
      <c r="KG134" s="1"/>
      <c r="KH134" s="1"/>
      <c r="KI134" s="1"/>
      <c r="KJ134" s="1"/>
      <c r="KK134" s="1"/>
      <c r="KL134" s="1"/>
      <c r="KM134" s="1"/>
      <c r="KN134" s="1"/>
      <c r="KO134" s="1"/>
      <c r="KP134" s="1"/>
      <c r="KQ134" s="1"/>
      <c r="KR134" s="1"/>
      <c r="KS134" s="1"/>
      <c r="KT134" s="1"/>
      <c r="KU134" s="1"/>
      <c r="KV134" s="1"/>
      <c r="KW134" s="1"/>
      <c r="KX134" s="1"/>
      <c r="KY134" s="1"/>
      <c r="KZ134" s="1"/>
      <c r="LA134" s="1"/>
      <c r="LB134" s="1"/>
      <c r="LC134" s="1"/>
      <c r="LD134" s="1"/>
      <c r="LE134" s="1"/>
      <c r="LF134" s="1"/>
      <c r="LG134" s="1"/>
      <c r="LH134" s="1"/>
      <c r="LI134" s="1"/>
      <c r="LJ134" s="1"/>
      <c r="LK134" s="1"/>
      <c r="LL134" s="1"/>
      <c r="LM134" s="1"/>
      <c r="LN134" s="1"/>
      <c r="LO134" s="1"/>
      <c r="LP134" s="1"/>
    </row>
    <row r="135" spans="1:328" ht="15" customHeight="1" thickBot="1">
      <c r="A135" s="830"/>
      <c r="B135" s="820"/>
      <c r="C135" s="821"/>
      <c r="D135" s="821"/>
      <c r="E135" s="821"/>
      <c r="F135" s="822"/>
      <c r="G135" s="849"/>
      <c r="H135" s="850"/>
      <c r="I135" s="840"/>
      <c r="J135" s="841"/>
      <c r="K135" s="841"/>
      <c r="L135" s="841"/>
      <c r="M135" s="842"/>
      <c r="N135" s="850"/>
      <c r="O135" s="850"/>
      <c r="P135" s="850"/>
      <c r="Q135" s="853"/>
      <c r="R135" s="849"/>
      <c r="S135" s="850"/>
      <c r="T135" s="850"/>
      <c r="U135" s="850"/>
      <c r="V135" s="850"/>
      <c r="W135" s="850"/>
      <c r="X135" s="850"/>
      <c r="Y135" s="850"/>
      <c r="Z135" s="850"/>
      <c r="AA135" s="850"/>
      <c r="AB135" s="850"/>
      <c r="AC135" s="850"/>
      <c r="AD135" s="850"/>
      <c r="AE135" s="850"/>
      <c r="AF135" s="850"/>
      <c r="AG135" s="850"/>
      <c r="AH135" s="850"/>
      <c r="AI135" s="853"/>
      <c r="AJ135" s="858"/>
      <c r="AK135" s="859"/>
      <c r="AL135" s="859"/>
      <c r="AM135" s="859"/>
      <c r="AN135" s="859"/>
      <c r="AO135" s="859"/>
      <c r="AP135" s="859"/>
      <c r="AQ135" s="859"/>
      <c r="AR135" s="860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  <c r="IY135" s="1"/>
      <c r="IZ135" s="1"/>
      <c r="JA135" s="1"/>
      <c r="JB135" s="1"/>
      <c r="JC135" s="1"/>
      <c r="JD135" s="1"/>
      <c r="JE135" s="1"/>
      <c r="JF135" s="1"/>
      <c r="JG135" s="1"/>
      <c r="JH135" s="1"/>
      <c r="JI135" s="1"/>
      <c r="JJ135" s="1"/>
      <c r="JK135" s="1"/>
      <c r="JL135" s="1"/>
      <c r="JM135" s="1"/>
      <c r="JN135" s="1"/>
      <c r="JO135" s="1"/>
      <c r="JP135" s="1"/>
      <c r="JQ135" s="1"/>
      <c r="JR135" s="1"/>
      <c r="JS135" s="1"/>
      <c r="JT135" s="1"/>
      <c r="JU135" s="1"/>
      <c r="JV135" s="1"/>
      <c r="JW135" s="1"/>
      <c r="JX135" s="1"/>
      <c r="JY135" s="1"/>
      <c r="JZ135" s="1"/>
      <c r="KA135" s="1"/>
      <c r="KB135" s="1"/>
      <c r="KC135" s="1"/>
      <c r="KD135" s="1"/>
      <c r="KE135" s="1"/>
      <c r="KF135" s="1"/>
      <c r="KG135" s="1"/>
      <c r="KH135" s="1"/>
      <c r="KI135" s="1"/>
      <c r="KJ135" s="1"/>
      <c r="KK135" s="1"/>
      <c r="KL135" s="1"/>
      <c r="KM135" s="1"/>
      <c r="KN135" s="1"/>
      <c r="KO135" s="1"/>
      <c r="KP135" s="1"/>
      <c r="KQ135" s="1"/>
      <c r="KR135" s="1"/>
      <c r="KS135" s="1"/>
      <c r="KT135" s="1"/>
      <c r="KU135" s="1"/>
      <c r="KV135" s="1"/>
      <c r="KW135" s="1"/>
      <c r="KX135" s="1"/>
      <c r="KY135" s="1"/>
      <c r="KZ135" s="1"/>
      <c r="LA135" s="1"/>
      <c r="LB135" s="1"/>
      <c r="LC135" s="1"/>
      <c r="LD135" s="1"/>
      <c r="LE135" s="1"/>
      <c r="LF135" s="1"/>
      <c r="LG135" s="1"/>
      <c r="LH135" s="1"/>
      <c r="LI135" s="1"/>
      <c r="LJ135" s="1"/>
      <c r="LK135" s="1"/>
      <c r="LL135" s="1"/>
      <c r="LM135" s="1"/>
      <c r="LN135" s="1"/>
      <c r="LO135" s="1"/>
      <c r="LP135" s="1"/>
    </row>
    <row r="136" spans="1:328" ht="15" customHeight="1">
      <c r="A136" s="830"/>
      <c r="B136" s="820"/>
      <c r="C136" s="821"/>
      <c r="D136" s="821"/>
      <c r="E136" s="821"/>
      <c r="F136" s="822"/>
      <c r="G136" s="849"/>
      <c r="H136" s="850"/>
      <c r="I136" s="837"/>
      <c r="J136" s="838"/>
      <c r="K136" s="838"/>
      <c r="L136" s="838"/>
      <c r="M136" s="839"/>
      <c r="N136" s="850"/>
      <c r="O136" s="850"/>
      <c r="P136" s="850"/>
      <c r="Q136" s="853"/>
      <c r="R136" s="849"/>
      <c r="S136" s="850"/>
      <c r="T136" s="850"/>
      <c r="U136" s="850"/>
      <c r="V136" s="850"/>
      <c r="W136" s="850"/>
      <c r="X136" s="850"/>
      <c r="Y136" s="850"/>
      <c r="Z136" s="850"/>
      <c r="AA136" s="850"/>
      <c r="AB136" s="850"/>
      <c r="AC136" s="850"/>
      <c r="AD136" s="850"/>
      <c r="AE136" s="850"/>
      <c r="AF136" s="850"/>
      <c r="AG136" s="850"/>
      <c r="AH136" s="850"/>
      <c r="AI136" s="853"/>
      <c r="AJ136" s="827"/>
      <c r="AK136" s="828"/>
      <c r="AL136" s="828"/>
      <c r="AM136" s="828"/>
      <c r="AN136" s="828"/>
      <c r="AO136" s="828"/>
      <c r="AP136" s="828"/>
      <c r="AQ136" s="828"/>
      <c r="AR136" s="863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  <c r="IX136" s="1"/>
      <c r="IY136" s="1"/>
      <c r="IZ136" s="1"/>
      <c r="JA136" s="1"/>
      <c r="JB136" s="1"/>
      <c r="JC136" s="1"/>
      <c r="JD136" s="1"/>
      <c r="JE136" s="1"/>
      <c r="JF136" s="1"/>
      <c r="JG136" s="1"/>
      <c r="JH136" s="1"/>
      <c r="JI136" s="1"/>
      <c r="JJ136" s="1"/>
      <c r="JK136" s="1"/>
      <c r="JL136" s="1"/>
      <c r="JM136" s="1"/>
      <c r="JN136" s="1"/>
      <c r="JO136" s="1"/>
      <c r="JP136" s="1"/>
      <c r="JQ136" s="1"/>
      <c r="JR136" s="1"/>
      <c r="JS136" s="1"/>
      <c r="JT136" s="1"/>
      <c r="JU136" s="1"/>
      <c r="JV136" s="1"/>
      <c r="JW136" s="1"/>
      <c r="JX136" s="1"/>
      <c r="JY136" s="1"/>
      <c r="JZ136" s="1"/>
      <c r="KA136" s="1"/>
      <c r="KB136" s="1"/>
      <c r="KC136" s="1"/>
      <c r="KD136" s="1"/>
      <c r="KE136" s="1"/>
      <c r="KF136" s="1"/>
      <c r="KG136" s="1"/>
      <c r="KH136" s="1"/>
      <c r="KI136" s="1"/>
      <c r="KJ136" s="1"/>
      <c r="KK136" s="1"/>
      <c r="KL136" s="1"/>
      <c r="KM136" s="1"/>
      <c r="KN136" s="1"/>
      <c r="KO136" s="1"/>
      <c r="KP136" s="1"/>
      <c r="KQ136" s="1"/>
      <c r="KR136" s="1"/>
      <c r="KS136" s="1"/>
      <c r="KT136" s="1"/>
      <c r="KU136" s="1"/>
      <c r="KV136" s="1"/>
      <c r="KW136" s="1"/>
      <c r="KX136" s="1"/>
      <c r="KY136" s="1"/>
      <c r="KZ136" s="1"/>
      <c r="LA136" s="1"/>
      <c r="LB136" s="1"/>
      <c r="LC136" s="1"/>
      <c r="LD136" s="1"/>
      <c r="LE136" s="1"/>
      <c r="LF136" s="1"/>
      <c r="LG136" s="1"/>
      <c r="LH136" s="1"/>
      <c r="LI136" s="1"/>
      <c r="LJ136" s="1"/>
      <c r="LK136" s="1"/>
      <c r="LL136" s="1"/>
      <c r="LM136" s="1"/>
      <c r="LN136" s="1"/>
      <c r="LO136" s="1"/>
      <c r="LP136" s="1"/>
    </row>
    <row r="137" spans="1:328" ht="15" customHeight="1" thickBot="1">
      <c r="A137" s="831"/>
      <c r="B137" s="846"/>
      <c r="C137" s="847"/>
      <c r="D137" s="847"/>
      <c r="E137" s="847"/>
      <c r="F137" s="848"/>
      <c r="G137" s="851"/>
      <c r="H137" s="852"/>
      <c r="I137" s="843"/>
      <c r="J137" s="844"/>
      <c r="K137" s="844"/>
      <c r="L137" s="844"/>
      <c r="M137" s="845"/>
      <c r="N137" s="852"/>
      <c r="O137" s="852"/>
      <c r="P137" s="852"/>
      <c r="Q137" s="854"/>
      <c r="R137" s="851"/>
      <c r="S137" s="852"/>
      <c r="T137" s="852"/>
      <c r="U137" s="852"/>
      <c r="V137" s="852"/>
      <c r="W137" s="852"/>
      <c r="X137" s="852"/>
      <c r="Y137" s="852"/>
      <c r="Z137" s="852"/>
      <c r="AA137" s="852"/>
      <c r="AB137" s="852"/>
      <c r="AC137" s="852"/>
      <c r="AD137" s="852"/>
      <c r="AE137" s="852"/>
      <c r="AF137" s="852"/>
      <c r="AG137" s="852"/>
      <c r="AH137" s="852"/>
      <c r="AI137" s="854"/>
      <c r="AJ137" s="906"/>
      <c r="AK137" s="852"/>
      <c r="AL137" s="852"/>
      <c r="AM137" s="852"/>
      <c r="AN137" s="852"/>
      <c r="AO137" s="852"/>
      <c r="AP137" s="852"/>
      <c r="AQ137" s="852"/>
      <c r="AR137" s="907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  <c r="IX137" s="1"/>
      <c r="IY137" s="1"/>
      <c r="IZ137" s="1"/>
      <c r="JA137" s="1"/>
      <c r="JB137" s="1"/>
      <c r="JC137" s="1"/>
      <c r="JD137" s="1"/>
      <c r="JE137" s="1"/>
      <c r="JF137" s="1"/>
      <c r="JG137" s="1"/>
      <c r="JH137" s="1"/>
      <c r="JI137" s="1"/>
      <c r="JJ137" s="1"/>
      <c r="JK137" s="1"/>
      <c r="JL137" s="1"/>
      <c r="JM137" s="1"/>
      <c r="JN137" s="1"/>
      <c r="JO137" s="1"/>
      <c r="JP137" s="1"/>
      <c r="JQ137" s="1"/>
      <c r="JR137" s="1"/>
      <c r="JS137" s="1"/>
      <c r="JT137" s="1"/>
      <c r="JU137" s="1"/>
      <c r="JV137" s="1"/>
      <c r="JW137" s="1"/>
      <c r="JX137" s="1"/>
      <c r="JY137" s="1"/>
      <c r="JZ137" s="1"/>
      <c r="KA137" s="1"/>
      <c r="KB137" s="1"/>
      <c r="KC137" s="1"/>
      <c r="KD137" s="1"/>
      <c r="KE137" s="1"/>
      <c r="KF137" s="1"/>
      <c r="KG137" s="1"/>
      <c r="KH137" s="1"/>
      <c r="KI137" s="1"/>
      <c r="KJ137" s="1"/>
      <c r="KK137" s="1"/>
      <c r="KL137" s="1"/>
      <c r="KM137" s="1"/>
      <c r="KN137" s="1"/>
      <c r="KO137" s="1"/>
      <c r="KP137" s="1"/>
      <c r="KQ137" s="1"/>
      <c r="KR137" s="1"/>
      <c r="KS137" s="1"/>
      <c r="KT137" s="1"/>
      <c r="KU137" s="1"/>
      <c r="KV137" s="1"/>
      <c r="KW137" s="1"/>
      <c r="KX137" s="1"/>
      <c r="KY137" s="1"/>
      <c r="KZ137" s="1"/>
      <c r="LA137" s="1"/>
      <c r="LB137" s="1"/>
      <c r="LC137" s="1"/>
      <c r="LD137" s="1"/>
      <c r="LE137" s="1"/>
      <c r="LF137" s="1"/>
      <c r="LG137" s="1"/>
      <c r="LH137" s="1"/>
      <c r="LI137" s="1"/>
      <c r="LJ137" s="1"/>
      <c r="LK137" s="1"/>
      <c r="LL137" s="1"/>
      <c r="LM137" s="1"/>
      <c r="LN137" s="1"/>
      <c r="LO137" s="1"/>
      <c r="LP137" s="1"/>
    </row>
    <row r="138" spans="1:328" ht="15" customHeight="1" thickTop="1" thickBo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  <c r="KV138" s="1"/>
      <c r="KW138" s="1"/>
      <c r="KX138" s="1"/>
      <c r="KY138" s="1"/>
      <c r="KZ138" s="1"/>
      <c r="LA138" s="1"/>
      <c r="LB138" s="1"/>
      <c r="LC138" s="1"/>
      <c r="LD138" s="1"/>
      <c r="LE138" s="1"/>
      <c r="LF138" s="1"/>
      <c r="LG138" s="1"/>
      <c r="LH138" s="1"/>
      <c r="LI138" s="1"/>
      <c r="LJ138" s="1"/>
      <c r="LK138" s="1"/>
      <c r="LL138" s="1"/>
      <c r="LM138" s="1"/>
      <c r="LN138" s="1"/>
      <c r="LO138" s="1"/>
      <c r="LP138" s="1"/>
    </row>
    <row r="139" spans="1:328" ht="15" customHeight="1">
      <c r="A139" s="874" t="s">
        <v>0</v>
      </c>
      <c r="B139" s="875"/>
      <c r="C139" s="875"/>
      <c r="D139" s="875"/>
      <c r="E139" s="875"/>
      <c r="F139" s="875"/>
      <c r="G139" s="875"/>
      <c r="H139" s="875"/>
      <c r="I139" s="875"/>
      <c r="J139" s="875"/>
      <c r="K139" s="875"/>
      <c r="L139" s="875"/>
      <c r="M139" s="875"/>
      <c r="N139" s="875"/>
      <c r="O139" s="875"/>
      <c r="P139" s="875"/>
      <c r="Q139" s="875"/>
      <c r="R139" s="875"/>
      <c r="S139" s="875"/>
      <c r="T139" s="875"/>
      <c r="U139" s="875"/>
      <c r="V139" s="875"/>
      <c r="W139" s="875"/>
      <c r="X139" s="875"/>
      <c r="Y139" s="875"/>
      <c r="Z139" s="875"/>
      <c r="AA139" s="875"/>
      <c r="AB139" s="875"/>
      <c r="AC139" s="875"/>
      <c r="AD139" s="875"/>
      <c r="AE139" s="875"/>
      <c r="AF139" s="875"/>
      <c r="AG139" s="875"/>
      <c r="AH139" s="875"/>
      <c r="AI139" s="875"/>
      <c r="AJ139" s="875"/>
      <c r="AK139" s="875"/>
      <c r="AL139" s="875"/>
      <c r="AM139" s="875"/>
      <c r="AN139" s="875"/>
      <c r="AO139" s="875"/>
      <c r="AP139" s="875"/>
      <c r="AQ139" s="875"/>
      <c r="AR139" s="876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  <c r="IY139" s="1"/>
      <c r="IZ139" s="1"/>
      <c r="JA139" s="1"/>
      <c r="JB139" s="1"/>
      <c r="JC139" s="1"/>
      <c r="JD139" s="1"/>
      <c r="JE139" s="1"/>
      <c r="JF139" s="1"/>
      <c r="JG139" s="1"/>
      <c r="JH139" s="1"/>
      <c r="JI139" s="1"/>
      <c r="JJ139" s="1"/>
      <c r="JK139" s="1"/>
      <c r="JL139" s="1"/>
      <c r="JM139" s="1"/>
      <c r="JN139" s="1"/>
      <c r="JO139" s="1"/>
      <c r="JP139" s="1"/>
      <c r="JQ139" s="1"/>
      <c r="JR139" s="1"/>
      <c r="JS139" s="1"/>
      <c r="JT139" s="1"/>
      <c r="JU139" s="1"/>
      <c r="JV139" s="1"/>
      <c r="JW139" s="1"/>
      <c r="JX139" s="1"/>
      <c r="JY139" s="1"/>
      <c r="JZ139" s="1"/>
      <c r="KA139" s="1"/>
      <c r="KB139" s="1"/>
      <c r="KC139" s="1"/>
      <c r="KD139" s="1"/>
      <c r="KE139" s="1"/>
      <c r="KF139" s="1"/>
      <c r="KG139" s="1"/>
      <c r="KH139" s="1"/>
      <c r="KI139" s="1"/>
      <c r="KJ139" s="1"/>
      <c r="KK139" s="1"/>
      <c r="KL139" s="1"/>
      <c r="KM139" s="1"/>
      <c r="KN139" s="1"/>
      <c r="KO139" s="1"/>
      <c r="KP139" s="1"/>
      <c r="KQ139" s="1"/>
      <c r="KR139" s="1"/>
      <c r="KS139" s="1"/>
      <c r="KT139" s="1"/>
      <c r="KU139" s="1"/>
      <c r="KV139" s="1"/>
      <c r="KW139" s="1"/>
      <c r="KX139" s="1"/>
      <c r="KY139" s="1"/>
      <c r="KZ139" s="1"/>
      <c r="LA139" s="1"/>
      <c r="LB139" s="1"/>
      <c r="LC139" s="1"/>
      <c r="LD139" s="1"/>
      <c r="LE139" s="1"/>
      <c r="LF139" s="1"/>
      <c r="LG139" s="1"/>
      <c r="LH139" s="1"/>
      <c r="LI139" s="1"/>
      <c r="LJ139" s="1"/>
      <c r="LK139" s="1"/>
      <c r="LL139" s="1"/>
      <c r="LM139" s="1"/>
      <c r="LN139" s="1"/>
      <c r="LO139" s="1"/>
      <c r="LP139" s="1"/>
    </row>
    <row r="140" spans="1:328" ht="15" customHeight="1">
      <c r="A140" s="885"/>
      <c r="B140" s="386"/>
      <c r="C140" s="386"/>
      <c r="D140" s="386"/>
      <c r="E140" s="386"/>
      <c r="F140" s="386"/>
      <c r="G140" s="386"/>
      <c r="H140" s="386"/>
      <c r="I140" s="386"/>
      <c r="J140" s="386"/>
      <c r="K140" s="386"/>
      <c r="L140" s="386"/>
      <c r="M140" s="386"/>
      <c r="N140" s="386"/>
      <c r="O140" s="386"/>
      <c r="P140" s="386"/>
      <c r="Q140" s="386"/>
      <c r="R140" s="386"/>
      <c r="S140" s="386"/>
      <c r="T140" s="386"/>
      <c r="U140" s="386"/>
      <c r="V140" s="386"/>
      <c r="W140" s="386"/>
      <c r="X140" s="386"/>
      <c r="Y140" s="386"/>
      <c r="Z140" s="386"/>
      <c r="AA140" s="386"/>
      <c r="AB140" s="386"/>
      <c r="AC140" s="386"/>
      <c r="AD140" s="386"/>
      <c r="AE140" s="386"/>
      <c r="AF140" s="386"/>
      <c r="AG140" s="386"/>
      <c r="AH140" s="386"/>
      <c r="AI140" s="386"/>
      <c r="AJ140" s="386"/>
      <c r="AK140" s="386"/>
      <c r="AL140" s="386"/>
      <c r="AM140" s="386"/>
      <c r="AN140" s="386"/>
      <c r="AO140" s="386"/>
      <c r="AP140" s="386"/>
      <c r="AQ140" s="386"/>
      <c r="AR140" s="387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  <c r="IY140" s="1"/>
      <c r="IZ140" s="1"/>
      <c r="JA140" s="1"/>
      <c r="JB140" s="1"/>
      <c r="JC140" s="1"/>
      <c r="JD140" s="1"/>
      <c r="JE140" s="1"/>
      <c r="JF140" s="1"/>
      <c r="JG140" s="1"/>
      <c r="JH140" s="1"/>
      <c r="JI140" s="1"/>
      <c r="JJ140" s="1"/>
      <c r="JK140" s="1"/>
      <c r="JL140" s="1"/>
      <c r="JM140" s="1"/>
      <c r="JN140" s="1"/>
      <c r="JO140" s="1"/>
      <c r="JP140" s="1"/>
      <c r="JQ140" s="1"/>
      <c r="JR140" s="1"/>
      <c r="JS140" s="1"/>
      <c r="JT140" s="1"/>
      <c r="JU140" s="1"/>
      <c r="JV140" s="1"/>
      <c r="JW140" s="1"/>
      <c r="JX140" s="1"/>
      <c r="JY140" s="1"/>
      <c r="JZ140" s="1"/>
      <c r="KA140" s="1"/>
      <c r="KB140" s="1"/>
      <c r="KC140" s="1"/>
      <c r="KD140" s="1"/>
      <c r="KE140" s="1"/>
      <c r="KF140" s="1"/>
      <c r="KG140" s="1"/>
      <c r="KH140" s="1"/>
      <c r="KI140" s="1"/>
      <c r="KJ140" s="1"/>
      <c r="KK140" s="1"/>
      <c r="KL140" s="1"/>
      <c r="KM140" s="1"/>
      <c r="KN140" s="1"/>
      <c r="KO140" s="1"/>
      <c r="KP140" s="1"/>
      <c r="KQ140" s="1"/>
      <c r="KR140" s="1"/>
      <c r="KS140" s="1"/>
      <c r="KT140" s="1"/>
      <c r="KU140" s="1"/>
      <c r="KV140" s="1"/>
      <c r="KW140" s="1"/>
      <c r="KX140" s="1"/>
      <c r="KY140" s="1"/>
      <c r="KZ140" s="1"/>
      <c r="LA140" s="1"/>
      <c r="LB140" s="1"/>
      <c r="LC140" s="1"/>
      <c r="LD140" s="1"/>
      <c r="LE140" s="1"/>
      <c r="LF140" s="1"/>
      <c r="LG140" s="1"/>
      <c r="LH140" s="1"/>
      <c r="LI140" s="1"/>
      <c r="LJ140" s="1"/>
      <c r="LK140" s="1"/>
      <c r="LL140" s="1"/>
      <c r="LM140" s="1"/>
      <c r="LN140" s="1"/>
      <c r="LO140" s="1"/>
      <c r="LP140" s="1"/>
    </row>
    <row r="141" spans="1:328" ht="15" customHeight="1">
      <c r="A141" s="886"/>
      <c r="B141" s="887"/>
      <c r="C141" s="887"/>
      <c r="D141" s="887"/>
      <c r="E141" s="887"/>
      <c r="F141" s="887"/>
      <c r="G141" s="887"/>
      <c r="H141" s="887"/>
      <c r="I141" s="887"/>
      <c r="J141" s="887"/>
      <c r="K141" s="887"/>
      <c r="L141" s="887"/>
      <c r="M141" s="887"/>
      <c r="N141" s="887"/>
      <c r="O141" s="887"/>
      <c r="P141" s="887"/>
      <c r="Q141" s="887"/>
      <c r="R141" s="887"/>
      <c r="S141" s="887"/>
      <c r="T141" s="887"/>
      <c r="U141" s="887"/>
      <c r="V141" s="887"/>
      <c r="W141" s="887"/>
      <c r="X141" s="887"/>
      <c r="Y141" s="887"/>
      <c r="Z141" s="887"/>
      <c r="AA141" s="887"/>
      <c r="AB141" s="887"/>
      <c r="AC141" s="887"/>
      <c r="AD141" s="887"/>
      <c r="AE141" s="887"/>
      <c r="AF141" s="887"/>
      <c r="AG141" s="887"/>
      <c r="AH141" s="887"/>
      <c r="AI141" s="887"/>
      <c r="AJ141" s="887"/>
      <c r="AK141" s="887"/>
      <c r="AL141" s="887"/>
      <c r="AM141" s="887"/>
      <c r="AN141" s="887"/>
      <c r="AO141" s="887"/>
      <c r="AP141" s="887"/>
      <c r="AQ141" s="887"/>
      <c r="AR141" s="888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  <c r="IX141" s="1"/>
      <c r="IY141" s="1"/>
      <c r="IZ141" s="1"/>
      <c r="JA141" s="1"/>
      <c r="JB141" s="1"/>
      <c r="JC141" s="1"/>
      <c r="JD141" s="1"/>
      <c r="JE141" s="1"/>
      <c r="JF141" s="1"/>
      <c r="JG141" s="1"/>
      <c r="JH141" s="1"/>
      <c r="JI141" s="1"/>
      <c r="JJ141" s="1"/>
      <c r="JK141" s="1"/>
      <c r="JL141" s="1"/>
      <c r="JM141" s="1"/>
      <c r="JN141" s="1"/>
      <c r="JO141" s="1"/>
      <c r="JP141" s="1"/>
      <c r="JQ141" s="1"/>
      <c r="JR141" s="1"/>
      <c r="JS141" s="1"/>
      <c r="JT141" s="1"/>
      <c r="JU141" s="1"/>
      <c r="JV141" s="1"/>
      <c r="JW141" s="1"/>
      <c r="JX141" s="1"/>
      <c r="JY141" s="1"/>
      <c r="JZ141" s="1"/>
      <c r="KA141" s="1"/>
      <c r="KB141" s="1"/>
      <c r="KC141" s="1"/>
      <c r="KD141" s="1"/>
      <c r="KE141" s="1"/>
      <c r="KF141" s="1"/>
      <c r="KG141" s="1"/>
      <c r="KH141" s="1"/>
      <c r="KI141" s="1"/>
      <c r="KJ141" s="1"/>
      <c r="KK141" s="1"/>
      <c r="KL141" s="1"/>
      <c r="KM141" s="1"/>
      <c r="KN141" s="1"/>
      <c r="KO141" s="1"/>
      <c r="KP141" s="1"/>
      <c r="KQ141" s="1"/>
      <c r="KR141" s="1"/>
      <c r="KS141" s="1"/>
      <c r="KT141" s="1"/>
      <c r="KU141" s="1"/>
      <c r="KV141" s="1"/>
      <c r="KW141" s="1"/>
      <c r="KX141" s="1"/>
      <c r="KY141" s="1"/>
      <c r="KZ141" s="1"/>
      <c r="LA141" s="1"/>
      <c r="LB141" s="1"/>
      <c r="LC141" s="1"/>
      <c r="LD141" s="1"/>
      <c r="LE141" s="1"/>
      <c r="LF141" s="1"/>
      <c r="LG141" s="1"/>
      <c r="LH141" s="1"/>
      <c r="LI141" s="1"/>
      <c r="LJ141" s="1"/>
      <c r="LK141" s="1"/>
      <c r="LL141" s="1"/>
      <c r="LM141" s="1"/>
      <c r="LN141" s="1"/>
      <c r="LO141" s="1"/>
      <c r="LP141" s="1"/>
    </row>
    <row r="142" spans="1:328" ht="15" customHeight="1">
      <c r="A142" s="886"/>
      <c r="B142" s="887"/>
      <c r="C142" s="887"/>
      <c r="D142" s="887"/>
      <c r="E142" s="887"/>
      <c r="F142" s="887"/>
      <c r="G142" s="887"/>
      <c r="H142" s="887"/>
      <c r="I142" s="887"/>
      <c r="J142" s="887"/>
      <c r="K142" s="887"/>
      <c r="L142" s="887"/>
      <c r="M142" s="887"/>
      <c r="N142" s="887"/>
      <c r="O142" s="887"/>
      <c r="P142" s="887"/>
      <c r="Q142" s="887"/>
      <c r="R142" s="887"/>
      <c r="S142" s="887"/>
      <c r="T142" s="887"/>
      <c r="U142" s="887"/>
      <c r="V142" s="887"/>
      <c r="W142" s="887"/>
      <c r="X142" s="887"/>
      <c r="Y142" s="887"/>
      <c r="Z142" s="887"/>
      <c r="AA142" s="887"/>
      <c r="AB142" s="887"/>
      <c r="AC142" s="887"/>
      <c r="AD142" s="887"/>
      <c r="AE142" s="887"/>
      <c r="AF142" s="887"/>
      <c r="AG142" s="887"/>
      <c r="AH142" s="887"/>
      <c r="AI142" s="887"/>
      <c r="AJ142" s="887"/>
      <c r="AK142" s="887"/>
      <c r="AL142" s="887"/>
      <c r="AM142" s="887"/>
      <c r="AN142" s="887"/>
      <c r="AO142" s="887"/>
      <c r="AP142" s="887"/>
      <c r="AQ142" s="887"/>
      <c r="AR142" s="888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  <c r="IX142" s="1"/>
      <c r="IY142" s="1"/>
      <c r="IZ142" s="1"/>
      <c r="JA142" s="1"/>
      <c r="JB142" s="1"/>
      <c r="JC142" s="1"/>
      <c r="JD142" s="1"/>
      <c r="JE142" s="1"/>
      <c r="JF142" s="1"/>
      <c r="JG142" s="1"/>
      <c r="JH142" s="1"/>
      <c r="JI142" s="1"/>
      <c r="JJ142" s="1"/>
      <c r="JK142" s="1"/>
      <c r="JL142" s="1"/>
      <c r="JM142" s="1"/>
      <c r="JN142" s="1"/>
      <c r="JO142" s="1"/>
      <c r="JP142" s="1"/>
      <c r="JQ142" s="1"/>
      <c r="JR142" s="1"/>
      <c r="JS142" s="1"/>
      <c r="JT142" s="1"/>
      <c r="JU142" s="1"/>
      <c r="JV142" s="1"/>
      <c r="JW142" s="1"/>
      <c r="JX142" s="1"/>
      <c r="JY142" s="1"/>
      <c r="JZ142" s="1"/>
      <c r="KA142" s="1"/>
      <c r="KB142" s="1"/>
      <c r="KC142" s="1"/>
      <c r="KD142" s="1"/>
      <c r="KE142" s="1"/>
      <c r="KF142" s="1"/>
      <c r="KG142" s="1"/>
      <c r="KH142" s="1"/>
      <c r="KI142" s="1"/>
      <c r="KJ142" s="1"/>
      <c r="KK142" s="1"/>
      <c r="KL142" s="1"/>
      <c r="KM142" s="1"/>
      <c r="KN142" s="1"/>
      <c r="KO142" s="1"/>
      <c r="KP142" s="1"/>
      <c r="KQ142" s="1"/>
      <c r="KR142" s="1"/>
      <c r="KS142" s="1"/>
      <c r="KT142" s="1"/>
      <c r="KU142" s="1"/>
      <c r="KV142" s="1"/>
      <c r="KW142" s="1"/>
      <c r="KX142" s="1"/>
      <c r="KY142" s="1"/>
      <c r="KZ142" s="1"/>
      <c r="LA142" s="1"/>
      <c r="LB142" s="1"/>
      <c r="LC142" s="1"/>
      <c r="LD142" s="1"/>
      <c r="LE142" s="1"/>
      <c r="LF142" s="1"/>
      <c r="LG142" s="1"/>
      <c r="LH142" s="1"/>
      <c r="LI142" s="1"/>
      <c r="LJ142" s="1"/>
      <c r="LK142" s="1"/>
      <c r="LL142" s="1"/>
      <c r="LM142" s="1"/>
      <c r="LN142" s="1"/>
      <c r="LO142" s="1"/>
      <c r="LP142" s="1"/>
    </row>
    <row r="143" spans="1:328" ht="15" customHeight="1">
      <c r="A143" s="388"/>
      <c r="B143" s="389"/>
      <c r="C143" s="389"/>
      <c r="D143" s="389"/>
      <c r="E143" s="389"/>
      <c r="F143" s="389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89"/>
      <c r="R143" s="389"/>
      <c r="S143" s="389"/>
      <c r="T143" s="389"/>
      <c r="U143" s="389"/>
      <c r="V143" s="389"/>
      <c r="W143" s="389"/>
      <c r="X143" s="389"/>
      <c r="Y143" s="389"/>
      <c r="Z143" s="389"/>
      <c r="AA143" s="389"/>
      <c r="AB143" s="389"/>
      <c r="AC143" s="389"/>
      <c r="AD143" s="389"/>
      <c r="AE143" s="389"/>
      <c r="AF143" s="389"/>
      <c r="AG143" s="389"/>
      <c r="AH143" s="389"/>
      <c r="AI143" s="389"/>
      <c r="AJ143" s="389"/>
      <c r="AK143" s="389"/>
      <c r="AL143" s="389"/>
      <c r="AM143" s="389"/>
      <c r="AN143" s="389"/>
      <c r="AO143" s="389"/>
      <c r="AP143" s="389"/>
      <c r="AQ143" s="389"/>
      <c r="AR143" s="390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  <c r="IY143" s="1"/>
      <c r="IZ143" s="1"/>
      <c r="JA143" s="1"/>
      <c r="JB143" s="1"/>
      <c r="JC143" s="1"/>
      <c r="JD143" s="1"/>
      <c r="JE143" s="1"/>
      <c r="JF143" s="1"/>
      <c r="JG143" s="1"/>
      <c r="JH143" s="1"/>
      <c r="JI143" s="1"/>
      <c r="JJ143" s="1"/>
      <c r="JK143" s="1"/>
      <c r="JL143" s="1"/>
      <c r="JM143" s="1"/>
      <c r="JN143" s="1"/>
      <c r="JO143" s="1"/>
      <c r="JP143" s="1"/>
      <c r="JQ143" s="1"/>
      <c r="JR143" s="1"/>
      <c r="JS143" s="1"/>
      <c r="JT143" s="1"/>
      <c r="JU143" s="1"/>
      <c r="JV143" s="1"/>
      <c r="JW143" s="1"/>
      <c r="JX143" s="1"/>
      <c r="JY143" s="1"/>
      <c r="JZ143" s="1"/>
      <c r="KA143" s="1"/>
      <c r="KB143" s="1"/>
      <c r="KC143" s="1"/>
      <c r="KD143" s="1"/>
      <c r="KE143" s="1"/>
      <c r="KF143" s="1"/>
      <c r="KG143" s="1"/>
      <c r="KH143" s="1"/>
      <c r="KI143" s="1"/>
      <c r="KJ143" s="1"/>
      <c r="KK143" s="1"/>
      <c r="KL143" s="1"/>
      <c r="KM143" s="1"/>
      <c r="KN143" s="1"/>
      <c r="KO143" s="1"/>
      <c r="KP143" s="1"/>
      <c r="KQ143" s="1"/>
      <c r="KR143" s="1"/>
      <c r="KS143" s="1"/>
      <c r="KT143" s="1"/>
      <c r="KU143" s="1"/>
      <c r="KV143" s="1"/>
      <c r="KW143" s="1"/>
      <c r="KX143" s="1"/>
      <c r="KY143" s="1"/>
      <c r="KZ143" s="1"/>
      <c r="LA143" s="1"/>
      <c r="LB143" s="1"/>
      <c r="LC143" s="1"/>
      <c r="LD143" s="1"/>
      <c r="LE143" s="1"/>
      <c r="LF143" s="1"/>
      <c r="LG143" s="1"/>
      <c r="LH143" s="1"/>
      <c r="LI143" s="1"/>
      <c r="LJ143" s="1"/>
      <c r="LK143" s="1"/>
      <c r="LL143" s="1"/>
      <c r="LM143" s="1"/>
      <c r="LN143" s="1"/>
      <c r="LO143" s="1"/>
      <c r="LP143" s="1"/>
    </row>
    <row r="144" spans="1:328" ht="15" customHeight="1">
      <c r="A144" s="889"/>
      <c r="B144" s="890"/>
      <c r="C144" s="890"/>
      <c r="D144" s="890"/>
      <c r="E144" s="890"/>
      <c r="F144" s="890"/>
      <c r="G144" s="890"/>
      <c r="H144" s="890"/>
      <c r="I144" s="890"/>
      <c r="J144" s="890"/>
      <c r="K144" s="890"/>
      <c r="L144" s="890"/>
      <c r="M144" s="890"/>
      <c r="N144" s="890"/>
      <c r="O144" s="890"/>
      <c r="P144" s="890"/>
      <c r="Q144" s="890"/>
      <c r="R144" s="890"/>
      <c r="S144" s="890"/>
      <c r="T144" s="890"/>
      <c r="U144" s="890"/>
      <c r="V144" s="890"/>
      <c r="W144" s="890"/>
      <c r="X144" s="890"/>
      <c r="Y144" s="890"/>
      <c r="Z144" s="890"/>
      <c r="AA144" s="890"/>
      <c r="AB144" s="890"/>
      <c r="AC144" s="890"/>
      <c r="AD144" s="890"/>
      <c r="AE144" s="890"/>
      <c r="AF144" s="890"/>
      <c r="AG144" s="890"/>
      <c r="AH144" s="890"/>
      <c r="AI144" s="890"/>
      <c r="AJ144" s="890"/>
      <c r="AK144" s="890"/>
      <c r="AL144" s="890"/>
      <c r="AM144" s="890"/>
      <c r="AN144" s="890"/>
      <c r="AO144" s="890"/>
      <c r="AP144" s="890"/>
      <c r="AQ144" s="890"/>
      <c r="AR144" s="891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  <c r="IX144" s="1"/>
      <c r="IY144" s="1"/>
      <c r="IZ144" s="1"/>
      <c r="JA144" s="1"/>
      <c r="JB144" s="1"/>
      <c r="JC144" s="1"/>
      <c r="JD144" s="1"/>
      <c r="JE144" s="1"/>
      <c r="JF144" s="1"/>
      <c r="JG144" s="1"/>
      <c r="JH144" s="1"/>
      <c r="JI144" s="1"/>
      <c r="JJ144" s="1"/>
      <c r="JK144" s="1"/>
      <c r="JL144" s="1"/>
      <c r="JM144" s="1"/>
      <c r="JN144" s="1"/>
      <c r="JO144" s="1"/>
      <c r="JP144" s="1"/>
      <c r="JQ144" s="1"/>
      <c r="JR144" s="1"/>
      <c r="JS144" s="1"/>
      <c r="JT144" s="1"/>
      <c r="JU144" s="1"/>
      <c r="JV144" s="1"/>
      <c r="JW144" s="1"/>
      <c r="JX144" s="1"/>
      <c r="JY144" s="1"/>
      <c r="JZ144" s="1"/>
      <c r="KA144" s="1"/>
      <c r="KB144" s="1"/>
      <c r="KC144" s="1"/>
      <c r="KD144" s="1"/>
      <c r="KE144" s="1"/>
      <c r="KF144" s="1"/>
      <c r="KG144" s="1"/>
      <c r="KH144" s="1"/>
      <c r="KI144" s="1"/>
      <c r="KJ144" s="1"/>
      <c r="KK144" s="1"/>
      <c r="KL144" s="1"/>
      <c r="KM144" s="1"/>
      <c r="KN144" s="1"/>
      <c r="KO144" s="1"/>
      <c r="KP144" s="1"/>
      <c r="KQ144" s="1"/>
      <c r="KR144" s="1"/>
      <c r="KS144" s="1"/>
      <c r="KT144" s="1"/>
      <c r="KU144" s="1"/>
      <c r="KV144" s="1"/>
      <c r="KW144" s="1"/>
      <c r="KX144" s="1"/>
      <c r="KY144" s="1"/>
      <c r="KZ144" s="1"/>
      <c r="LA144" s="1"/>
      <c r="LB144" s="1"/>
      <c r="LC144" s="1"/>
      <c r="LD144" s="1"/>
      <c r="LE144" s="1"/>
      <c r="LF144" s="1"/>
      <c r="LG144" s="1"/>
      <c r="LH144" s="1"/>
      <c r="LI144" s="1"/>
      <c r="LJ144" s="1"/>
      <c r="LK144" s="1"/>
      <c r="LL144" s="1"/>
      <c r="LM144" s="1"/>
      <c r="LN144" s="1"/>
      <c r="LO144" s="1"/>
      <c r="LP144" s="1"/>
    </row>
    <row r="145" spans="1:328" ht="15" customHeight="1">
      <c r="A145" s="892"/>
      <c r="B145" s="893"/>
      <c r="C145" s="893"/>
      <c r="D145" s="893"/>
      <c r="E145" s="893"/>
      <c r="F145" s="893"/>
      <c r="G145" s="893"/>
      <c r="H145" s="893"/>
      <c r="I145" s="893"/>
      <c r="J145" s="893"/>
      <c r="K145" s="893"/>
      <c r="L145" s="893"/>
      <c r="M145" s="893"/>
      <c r="N145" s="893"/>
      <c r="O145" s="893"/>
      <c r="P145" s="893"/>
      <c r="Q145" s="893"/>
      <c r="R145" s="893"/>
      <c r="S145" s="893"/>
      <c r="T145" s="893"/>
      <c r="U145" s="893"/>
      <c r="V145" s="893"/>
      <c r="W145" s="893"/>
      <c r="X145" s="893"/>
      <c r="Y145" s="893"/>
      <c r="Z145" s="893"/>
      <c r="AA145" s="893"/>
      <c r="AB145" s="893"/>
      <c r="AC145" s="893"/>
      <c r="AD145" s="893"/>
      <c r="AE145" s="893"/>
      <c r="AF145" s="893"/>
      <c r="AG145" s="893"/>
      <c r="AH145" s="893"/>
      <c r="AI145" s="893"/>
      <c r="AJ145" s="893"/>
      <c r="AK145" s="893"/>
      <c r="AL145" s="893"/>
      <c r="AM145" s="893"/>
      <c r="AN145" s="893"/>
      <c r="AO145" s="893"/>
      <c r="AP145" s="893"/>
      <c r="AQ145" s="893"/>
      <c r="AR145" s="894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  <c r="IY145" s="1"/>
      <c r="IZ145" s="1"/>
      <c r="JA145" s="1"/>
      <c r="JB145" s="1"/>
      <c r="JC145" s="1"/>
      <c r="JD145" s="1"/>
      <c r="JE145" s="1"/>
      <c r="JF145" s="1"/>
      <c r="JG145" s="1"/>
      <c r="JH145" s="1"/>
      <c r="JI145" s="1"/>
      <c r="JJ145" s="1"/>
      <c r="JK145" s="1"/>
      <c r="JL145" s="1"/>
      <c r="JM145" s="1"/>
      <c r="JN145" s="1"/>
      <c r="JO145" s="1"/>
      <c r="JP145" s="1"/>
      <c r="JQ145" s="1"/>
      <c r="JR145" s="1"/>
      <c r="JS145" s="1"/>
      <c r="JT145" s="1"/>
      <c r="JU145" s="1"/>
      <c r="JV145" s="1"/>
      <c r="JW145" s="1"/>
      <c r="JX145" s="1"/>
      <c r="JY145" s="1"/>
      <c r="JZ145" s="1"/>
      <c r="KA145" s="1"/>
      <c r="KB145" s="1"/>
      <c r="KC145" s="1"/>
      <c r="KD145" s="1"/>
      <c r="KE145" s="1"/>
      <c r="KF145" s="1"/>
      <c r="KG145" s="1"/>
      <c r="KH145" s="1"/>
      <c r="KI145" s="1"/>
      <c r="KJ145" s="1"/>
      <c r="KK145" s="1"/>
      <c r="KL145" s="1"/>
      <c r="KM145" s="1"/>
      <c r="KN145" s="1"/>
      <c r="KO145" s="1"/>
      <c r="KP145" s="1"/>
      <c r="KQ145" s="1"/>
      <c r="KR145" s="1"/>
      <c r="KS145" s="1"/>
      <c r="KT145" s="1"/>
      <c r="KU145" s="1"/>
      <c r="KV145" s="1"/>
      <c r="KW145" s="1"/>
      <c r="KX145" s="1"/>
      <c r="KY145" s="1"/>
      <c r="KZ145" s="1"/>
      <c r="LA145" s="1"/>
      <c r="LB145" s="1"/>
      <c r="LC145" s="1"/>
      <c r="LD145" s="1"/>
      <c r="LE145" s="1"/>
      <c r="LF145" s="1"/>
      <c r="LG145" s="1"/>
      <c r="LH145" s="1"/>
      <c r="LI145" s="1"/>
      <c r="LJ145" s="1"/>
      <c r="LK145" s="1"/>
      <c r="LL145" s="1"/>
      <c r="LM145" s="1"/>
      <c r="LN145" s="1"/>
      <c r="LO145" s="1"/>
      <c r="LP145" s="1"/>
    </row>
    <row r="146" spans="1:328" ht="15" customHeight="1">
      <c r="A146" s="892"/>
      <c r="B146" s="893"/>
      <c r="C146" s="893"/>
      <c r="D146" s="893"/>
      <c r="E146" s="893"/>
      <c r="F146" s="893"/>
      <c r="G146" s="893"/>
      <c r="H146" s="893"/>
      <c r="I146" s="893"/>
      <c r="J146" s="893"/>
      <c r="K146" s="893"/>
      <c r="L146" s="893"/>
      <c r="M146" s="893"/>
      <c r="N146" s="893"/>
      <c r="O146" s="893"/>
      <c r="P146" s="893"/>
      <c r="Q146" s="893"/>
      <c r="R146" s="893"/>
      <c r="S146" s="893"/>
      <c r="T146" s="893"/>
      <c r="U146" s="893"/>
      <c r="V146" s="893"/>
      <c r="W146" s="893"/>
      <c r="X146" s="893"/>
      <c r="Y146" s="893"/>
      <c r="Z146" s="893"/>
      <c r="AA146" s="893"/>
      <c r="AB146" s="893"/>
      <c r="AC146" s="893"/>
      <c r="AD146" s="893"/>
      <c r="AE146" s="893"/>
      <c r="AF146" s="893"/>
      <c r="AG146" s="893"/>
      <c r="AH146" s="893"/>
      <c r="AI146" s="893"/>
      <c r="AJ146" s="893"/>
      <c r="AK146" s="893"/>
      <c r="AL146" s="893"/>
      <c r="AM146" s="893"/>
      <c r="AN146" s="893"/>
      <c r="AO146" s="893"/>
      <c r="AP146" s="893"/>
      <c r="AQ146" s="893"/>
      <c r="AR146" s="894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IY146" s="1"/>
      <c r="IZ146" s="1"/>
      <c r="JA146" s="1"/>
      <c r="JB146" s="1"/>
      <c r="JC146" s="1"/>
      <c r="JD146" s="1"/>
      <c r="JE146" s="1"/>
      <c r="JF146" s="1"/>
      <c r="JG146" s="1"/>
      <c r="JH146" s="1"/>
      <c r="JI146" s="1"/>
      <c r="JJ146" s="1"/>
      <c r="JK146" s="1"/>
      <c r="JL146" s="1"/>
      <c r="JM146" s="1"/>
      <c r="JN146" s="1"/>
      <c r="JO146" s="1"/>
      <c r="JP146" s="1"/>
      <c r="JQ146" s="1"/>
      <c r="JR146" s="1"/>
      <c r="JS146" s="1"/>
      <c r="JT146" s="1"/>
      <c r="JU146" s="1"/>
      <c r="JV146" s="1"/>
      <c r="JW146" s="1"/>
      <c r="JX146" s="1"/>
      <c r="JY146" s="1"/>
      <c r="JZ146" s="1"/>
      <c r="KA146" s="1"/>
      <c r="KB146" s="1"/>
      <c r="KC146" s="1"/>
      <c r="KD146" s="1"/>
      <c r="KE146" s="1"/>
      <c r="KF146" s="1"/>
      <c r="KG146" s="1"/>
      <c r="KH146" s="1"/>
      <c r="KI146" s="1"/>
      <c r="KJ146" s="1"/>
      <c r="KK146" s="1"/>
      <c r="KL146" s="1"/>
      <c r="KM146" s="1"/>
      <c r="KN146" s="1"/>
      <c r="KO146" s="1"/>
      <c r="KP146" s="1"/>
      <c r="KQ146" s="1"/>
      <c r="KR146" s="1"/>
      <c r="KS146" s="1"/>
      <c r="KT146" s="1"/>
      <c r="KU146" s="1"/>
      <c r="KV146" s="1"/>
      <c r="KW146" s="1"/>
      <c r="KX146" s="1"/>
      <c r="KY146" s="1"/>
      <c r="KZ146" s="1"/>
      <c r="LA146" s="1"/>
      <c r="LB146" s="1"/>
      <c r="LC146" s="1"/>
      <c r="LD146" s="1"/>
      <c r="LE146" s="1"/>
      <c r="LF146" s="1"/>
      <c r="LG146" s="1"/>
      <c r="LH146" s="1"/>
      <c r="LI146" s="1"/>
      <c r="LJ146" s="1"/>
      <c r="LK146" s="1"/>
      <c r="LL146" s="1"/>
      <c r="LM146" s="1"/>
      <c r="LN146" s="1"/>
      <c r="LO146" s="1"/>
      <c r="LP146" s="1"/>
    </row>
    <row r="147" spans="1:328" ht="15" customHeight="1">
      <c r="A147" s="895"/>
      <c r="B147" s="896"/>
      <c r="C147" s="896"/>
      <c r="D147" s="896"/>
      <c r="E147" s="896"/>
      <c r="F147" s="896"/>
      <c r="G147" s="896"/>
      <c r="H147" s="896"/>
      <c r="I147" s="896"/>
      <c r="J147" s="896"/>
      <c r="K147" s="896"/>
      <c r="L147" s="896"/>
      <c r="M147" s="896"/>
      <c r="N147" s="896"/>
      <c r="O147" s="896"/>
      <c r="P147" s="896"/>
      <c r="Q147" s="896"/>
      <c r="R147" s="896"/>
      <c r="S147" s="896"/>
      <c r="T147" s="896"/>
      <c r="U147" s="896"/>
      <c r="V147" s="896"/>
      <c r="W147" s="896"/>
      <c r="X147" s="896"/>
      <c r="Y147" s="896"/>
      <c r="Z147" s="896"/>
      <c r="AA147" s="896"/>
      <c r="AB147" s="896"/>
      <c r="AC147" s="896"/>
      <c r="AD147" s="896"/>
      <c r="AE147" s="896"/>
      <c r="AF147" s="896"/>
      <c r="AG147" s="896"/>
      <c r="AH147" s="896"/>
      <c r="AI147" s="896"/>
      <c r="AJ147" s="896"/>
      <c r="AK147" s="896"/>
      <c r="AL147" s="896"/>
      <c r="AM147" s="896"/>
      <c r="AN147" s="896"/>
      <c r="AO147" s="896"/>
      <c r="AP147" s="896"/>
      <c r="AQ147" s="896"/>
      <c r="AR147" s="897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  <c r="IZ147" s="1"/>
      <c r="JA147" s="1"/>
      <c r="JB147" s="1"/>
      <c r="JC147" s="1"/>
      <c r="JD147" s="1"/>
      <c r="JE147" s="1"/>
      <c r="JF147" s="1"/>
      <c r="JG147" s="1"/>
      <c r="JH147" s="1"/>
      <c r="JI147" s="1"/>
      <c r="JJ147" s="1"/>
      <c r="JK147" s="1"/>
      <c r="JL147" s="1"/>
      <c r="JM147" s="1"/>
      <c r="JN147" s="1"/>
      <c r="JO147" s="1"/>
      <c r="JP147" s="1"/>
      <c r="JQ147" s="1"/>
      <c r="JR147" s="1"/>
      <c r="JS147" s="1"/>
      <c r="JT147" s="1"/>
      <c r="JU147" s="1"/>
      <c r="JV147" s="1"/>
      <c r="JW147" s="1"/>
      <c r="JX147" s="1"/>
      <c r="JY147" s="1"/>
      <c r="JZ147" s="1"/>
      <c r="KA147" s="1"/>
      <c r="KB147" s="1"/>
      <c r="KC147" s="1"/>
      <c r="KD147" s="1"/>
      <c r="KE147" s="1"/>
      <c r="KF147" s="1"/>
      <c r="KG147" s="1"/>
      <c r="KH147" s="1"/>
      <c r="KI147" s="1"/>
      <c r="KJ147" s="1"/>
      <c r="KK147" s="1"/>
      <c r="KL147" s="1"/>
      <c r="KM147" s="1"/>
      <c r="KN147" s="1"/>
      <c r="KO147" s="1"/>
      <c r="KP147" s="1"/>
      <c r="KQ147" s="1"/>
      <c r="KR147" s="1"/>
      <c r="KS147" s="1"/>
      <c r="KT147" s="1"/>
      <c r="KU147" s="1"/>
      <c r="KV147" s="1"/>
      <c r="KW147" s="1"/>
      <c r="KX147" s="1"/>
      <c r="KY147" s="1"/>
      <c r="KZ147" s="1"/>
      <c r="LA147" s="1"/>
      <c r="LB147" s="1"/>
      <c r="LC147" s="1"/>
      <c r="LD147" s="1"/>
      <c r="LE147" s="1"/>
      <c r="LF147" s="1"/>
      <c r="LG147" s="1"/>
      <c r="LH147" s="1"/>
      <c r="LI147" s="1"/>
      <c r="LJ147" s="1"/>
      <c r="LK147" s="1"/>
      <c r="LL147" s="1"/>
      <c r="LM147" s="1"/>
      <c r="LN147" s="1"/>
      <c r="LO147" s="1"/>
      <c r="LP147" s="1"/>
    </row>
    <row r="148" spans="1:328" ht="15" customHeight="1">
      <c r="A148" s="867"/>
      <c r="B148" s="868"/>
      <c r="C148" s="868"/>
      <c r="D148" s="868"/>
      <c r="E148" s="868"/>
      <c r="F148" s="868"/>
      <c r="G148" s="868"/>
      <c r="H148" s="868"/>
      <c r="I148" s="868"/>
      <c r="J148" s="868"/>
      <c r="K148" s="868"/>
      <c r="L148" s="868"/>
      <c r="M148" s="868"/>
      <c r="N148" s="868"/>
      <c r="O148" s="868"/>
      <c r="P148" s="868"/>
      <c r="Q148" s="868"/>
      <c r="R148" s="868"/>
      <c r="S148" s="868"/>
      <c r="T148" s="868"/>
      <c r="U148" s="868"/>
      <c r="V148" s="868"/>
      <c r="W148" s="868"/>
      <c r="X148" s="868"/>
      <c r="Y148" s="868"/>
      <c r="Z148" s="868"/>
      <c r="AA148" s="868"/>
      <c r="AB148" s="868"/>
      <c r="AC148" s="868"/>
      <c r="AD148" s="868"/>
      <c r="AE148" s="868"/>
      <c r="AF148" s="868"/>
      <c r="AG148" s="868"/>
      <c r="AH148" s="868"/>
      <c r="AI148" s="868"/>
      <c r="AJ148" s="868"/>
      <c r="AK148" s="868"/>
      <c r="AL148" s="868"/>
      <c r="AM148" s="868"/>
      <c r="AN148" s="868"/>
      <c r="AO148" s="868"/>
      <c r="AP148" s="868"/>
      <c r="AQ148" s="868"/>
      <c r="AR148" s="869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  <c r="IY148" s="1"/>
      <c r="IZ148" s="1"/>
      <c r="JA148" s="1"/>
      <c r="JB148" s="1"/>
      <c r="JC148" s="1"/>
      <c r="JD148" s="1"/>
      <c r="JE148" s="1"/>
      <c r="JF148" s="1"/>
      <c r="JG148" s="1"/>
      <c r="JH148" s="1"/>
      <c r="JI148" s="1"/>
      <c r="JJ148" s="1"/>
      <c r="JK148" s="1"/>
      <c r="JL148" s="1"/>
      <c r="JM148" s="1"/>
      <c r="JN148" s="1"/>
      <c r="JO148" s="1"/>
      <c r="JP148" s="1"/>
      <c r="JQ148" s="1"/>
      <c r="JR148" s="1"/>
      <c r="JS148" s="1"/>
      <c r="JT148" s="1"/>
      <c r="JU148" s="1"/>
      <c r="JV148" s="1"/>
      <c r="JW148" s="1"/>
      <c r="JX148" s="1"/>
      <c r="JY148" s="1"/>
      <c r="JZ148" s="1"/>
      <c r="KA148" s="1"/>
      <c r="KB148" s="1"/>
      <c r="KC148" s="1"/>
      <c r="KD148" s="1"/>
      <c r="KE148" s="1"/>
      <c r="KF148" s="1"/>
      <c r="KG148" s="1"/>
      <c r="KH148" s="1"/>
      <c r="KI148" s="1"/>
      <c r="KJ148" s="1"/>
      <c r="KK148" s="1"/>
      <c r="KL148" s="1"/>
      <c r="KM148" s="1"/>
      <c r="KN148" s="1"/>
      <c r="KO148" s="1"/>
      <c r="KP148" s="1"/>
      <c r="KQ148" s="1"/>
      <c r="KR148" s="1"/>
      <c r="KS148" s="1"/>
      <c r="KT148" s="1"/>
      <c r="KU148" s="1"/>
      <c r="KV148" s="1"/>
      <c r="KW148" s="1"/>
      <c r="KX148" s="1"/>
      <c r="KY148" s="1"/>
      <c r="KZ148" s="1"/>
      <c r="LA148" s="1"/>
      <c r="LB148" s="1"/>
      <c r="LC148" s="1"/>
      <c r="LD148" s="1"/>
      <c r="LE148" s="1"/>
      <c r="LF148" s="1"/>
      <c r="LG148" s="1"/>
      <c r="LH148" s="1"/>
      <c r="LI148" s="1"/>
      <c r="LJ148" s="1"/>
      <c r="LK148" s="1"/>
      <c r="LL148" s="1"/>
      <c r="LM148" s="1"/>
      <c r="LN148" s="1"/>
      <c r="LO148" s="1"/>
      <c r="LP148" s="1"/>
    </row>
    <row r="149" spans="1:328" ht="15" customHeight="1">
      <c r="A149" s="867"/>
      <c r="B149" s="868"/>
      <c r="C149" s="868"/>
      <c r="D149" s="868"/>
      <c r="E149" s="868"/>
      <c r="F149" s="868"/>
      <c r="G149" s="868"/>
      <c r="H149" s="868"/>
      <c r="I149" s="868"/>
      <c r="J149" s="868"/>
      <c r="K149" s="868"/>
      <c r="L149" s="868"/>
      <c r="M149" s="868"/>
      <c r="N149" s="868"/>
      <c r="O149" s="868"/>
      <c r="P149" s="868"/>
      <c r="Q149" s="868"/>
      <c r="R149" s="868"/>
      <c r="S149" s="868"/>
      <c r="T149" s="868"/>
      <c r="U149" s="868"/>
      <c r="V149" s="868"/>
      <c r="W149" s="868"/>
      <c r="X149" s="868"/>
      <c r="Y149" s="868"/>
      <c r="Z149" s="868"/>
      <c r="AA149" s="868"/>
      <c r="AB149" s="868"/>
      <c r="AC149" s="868"/>
      <c r="AD149" s="868"/>
      <c r="AE149" s="868"/>
      <c r="AF149" s="868"/>
      <c r="AG149" s="868"/>
      <c r="AH149" s="868"/>
      <c r="AI149" s="868"/>
      <c r="AJ149" s="868"/>
      <c r="AK149" s="868"/>
      <c r="AL149" s="868"/>
      <c r="AM149" s="868"/>
      <c r="AN149" s="868"/>
      <c r="AO149" s="868"/>
      <c r="AP149" s="868"/>
      <c r="AQ149" s="868"/>
      <c r="AR149" s="869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  <c r="IZ149" s="1"/>
      <c r="JA149" s="1"/>
      <c r="JB149" s="1"/>
      <c r="JC149" s="1"/>
      <c r="JD149" s="1"/>
      <c r="JE149" s="1"/>
      <c r="JF149" s="1"/>
      <c r="JG149" s="1"/>
      <c r="JH149" s="1"/>
      <c r="JI149" s="1"/>
      <c r="JJ149" s="1"/>
      <c r="JK149" s="1"/>
      <c r="JL149" s="1"/>
      <c r="JM149" s="1"/>
      <c r="JN149" s="1"/>
      <c r="JO149" s="1"/>
      <c r="JP149" s="1"/>
      <c r="JQ149" s="1"/>
      <c r="JR149" s="1"/>
      <c r="JS149" s="1"/>
      <c r="JT149" s="1"/>
      <c r="JU149" s="1"/>
      <c r="JV149" s="1"/>
      <c r="JW149" s="1"/>
      <c r="JX149" s="1"/>
      <c r="JY149" s="1"/>
      <c r="JZ149" s="1"/>
      <c r="KA149" s="1"/>
      <c r="KB149" s="1"/>
      <c r="KC149" s="1"/>
      <c r="KD149" s="1"/>
      <c r="KE149" s="1"/>
      <c r="KF149" s="1"/>
      <c r="KG149" s="1"/>
      <c r="KH149" s="1"/>
      <c r="KI149" s="1"/>
      <c r="KJ149" s="1"/>
      <c r="KK149" s="1"/>
      <c r="KL149" s="1"/>
      <c r="KM149" s="1"/>
      <c r="KN149" s="1"/>
      <c r="KO149" s="1"/>
      <c r="KP149" s="1"/>
      <c r="KQ149" s="1"/>
      <c r="KR149" s="1"/>
      <c r="KS149" s="1"/>
      <c r="KT149" s="1"/>
      <c r="KU149" s="1"/>
      <c r="KV149" s="1"/>
      <c r="KW149" s="1"/>
      <c r="KX149" s="1"/>
      <c r="KY149" s="1"/>
      <c r="KZ149" s="1"/>
      <c r="LA149" s="1"/>
      <c r="LB149" s="1"/>
      <c r="LC149" s="1"/>
      <c r="LD149" s="1"/>
      <c r="LE149" s="1"/>
      <c r="LF149" s="1"/>
      <c r="LG149" s="1"/>
      <c r="LH149" s="1"/>
      <c r="LI149" s="1"/>
      <c r="LJ149" s="1"/>
      <c r="LK149" s="1"/>
      <c r="LL149" s="1"/>
      <c r="LM149" s="1"/>
      <c r="LN149" s="1"/>
      <c r="LO149" s="1"/>
      <c r="LP149" s="1"/>
    </row>
    <row r="150" spans="1:328" ht="15" customHeight="1">
      <c r="A150" s="867"/>
      <c r="B150" s="868"/>
      <c r="C150" s="868"/>
      <c r="D150" s="868"/>
      <c r="E150" s="868"/>
      <c r="F150" s="868"/>
      <c r="G150" s="868"/>
      <c r="H150" s="868"/>
      <c r="I150" s="868"/>
      <c r="J150" s="868"/>
      <c r="K150" s="868"/>
      <c r="L150" s="868"/>
      <c r="M150" s="868"/>
      <c r="N150" s="868"/>
      <c r="O150" s="868"/>
      <c r="P150" s="868"/>
      <c r="Q150" s="868"/>
      <c r="R150" s="868"/>
      <c r="S150" s="868"/>
      <c r="T150" s="868"/>
      <c r="U150" s="868"/>
      <c r="V150" s="868"/>
      <c r="W150" s="868"/>
      <c r="X150" s="868"/>
      <c r="Y150" s="868"/>
      <c r="Z150" s="868"/>
      <c r="AA150" s="868"/>
      <c r="AB150" s="868"/>
      <c r="AC150" s="868"/>
      <c r="AD150" s="868"/>
      <c r="AE150" s="868"/>
      <c r="AF150" s="868"/>
      <c r="AG150" s="868"/>
      <c r="AH150" s="868"/>
      <c r="AI150" s="868"/>
      <c r="AJ150" s="868"/>
      <c r="AK150" s="868"/>
      <c r="AL150" s="868"/>
      <c r="AM150" s="868"/>
      <c r="AN150" s="868"/>
      <c r="AO150" s="868"/>
      <c r="AP150" s="868"/>
      <c r="AQ150" s="868"/>
      <c r="AR150" s="869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  <c r="JA150" s="1"/>
      <c r="JB150" s="1"/>
      <c r="JC150" s="1"/>
      <c r="JD150" s="1"/>
      <c r="JE150" s="1"/>
      <c r="JF150" s="1"/>
      <c r="JG150" s="1"/>
      <c r="JH150" s="1"/>
      <c r="JI150" s="1"/>
      <c r="JJ150" s="1"/>
      <c r="JK150" s="1"/>
      <c r="JL150" s="1"/>
      <c r="JM150" s="1"/>
      <c r="JN150" s="1"/>
      <c r="JO150" s="1"/>
      <c r="JP150" s="1"/>
      <c r="JQ150" s="1"/>
      <c r="JR150" s="1"/>
      <c r="JS150" s="1"/>
      <c r="JT150" s="1"/>
      <c r="JU150" s="1"/>
      <c r="JV150" s="1"/>
      <c r="JW150" s="1"/>
      <c r="JX150" s="1"/>
      <c r="JY150" s="1"/>
      <c r="JZ150" s="1"/>
      <c r="KA150" s="1"/>
      <c r="KB150" s="1"/>
      <c r="KC150" s="1"/>
      <c r="KD150" s="1"/>
      <c r="KE150" s="1"/>
      <c r="KF150" s="1"/>
      <c r="KG150" s="1"/>
      <c r="KH150" s="1"/>
      <c r="KI150" s="1"/>
      <c r="KJ150" s="1"/>
      <c r="KK150" s="1"/>
      <c r="KL150" s="1"/>
      <c r="KM150" s="1"/>
      <c r="KN150" s="1"/>
      <c r="KO150" s="1"/>
      <c r="KP150" s="1"/>
      <c r="KQ150" s="1"/>
      <c r="KR150" s="1"/>
      <c r="KS150" s="1"/>
      <c r="KT150" s="1"/>
      <c r="KU150" s="1"/>
      <c r="KV150" s="1"/>
      <c r="KW150" s="1"/>
      <c r="KX150" s="1"/>
      <c r="KY150" s="1"/>
      <c r="KZ150" s="1"/>
      <c r="LA150" s="1"/>
      <c r="LB150" s="1"/>
      <c r="LC150" s="1"/>
      <c r="LD150" s="1"/>
      <c r="LE150" s="1"/>
      <c r="LF150" s="1"/>
      <c r="LG150" s="1"/>
      <c r="LH150" s="1"/>
      <c r="LI150" s="1"/>
      <c r="LJ150" s="1"/>
      <c r="LK150" s="1"/>
      <c r="LL150" s="1"/>
      <c r="LM150" s="1"/>
      <c r="LN150" s="1"/>
      <c r="LO150" s="1"/>
      <c r="LP150" s="1"/>
    </row>
    <row r="151" spans="1:328" ht="15" customHeight="1">
      <c r="A151" s="867"/>
      <c r="B151" s="868"/>
      <c r="C151" s="868"/>
      <c r="D151" s="868"/>
      <c r="E151" s="868"/>
      <c r="F151" s="868"/>
      <c r="G151" s="868"/>
      <c r="H151" s="868"/>
      <c r="I151" s="868"/>
      <c r="J151" s="868"/>
      <c r="K151" s="868"/>
      <c r="L151" s="868"/>
      <c r="M151" s="868"/>
      <c r="N151" s="868"/>
      <c r="O151" s="868"/>
      <c r="P151" s="868"/>
      <c r="Q151" s="868"/>
      <c r="R151" s="868"/>
      <c r="S151" s="868"/>
      <c r="T151" s="868"/>
      <c r="U151" s="868"/>
      <c r="V151" s="868"/>
      <c r="W151" s="868"/>
      <c r="X151" s="868"/>
      <c r="Y151" s="868"/>
      <c r="Z151" s="868"/>
      <c r="AA151" s="868"/>
      <c r="AB151" s="868"/>
      <c r="AC151" s="868"/>
      <c r="AD151" s="868"/>
      <c r="AE151" s="868"/>
      <c r="AF151" s="868"/>
      <c r="AG151" s="868"/>
      <c r="AH151" s="868"/>
      <c r="AI151" s="868"/>
      <c r="AJ151" s="868"/>
      <c r="AK151" s="868"/>
      <c r="AL151" s="868"/>
      <c r="AM151" s="868"/>
      <c r="AN151" s="868"/>
      <c r="AO151" s="868"/>
      <c r="AP151" s="868"/>
      <c r="AQ151" s="868"/>
      <c r="AR151" s="869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  <c r="JA151" s="1"/>
      <c r="JB151" s="1"/>
      <c r="JC151" s="1"/>
      <c r="JD151" s="1"/>
      <c r="JE151" s="1"/>
      <c r="JF151" s="1"/>
      <c r="JG151" s="1"/>
      <c r="JH151" s="1"/>
      <c r="JI151" s="1"/>
      <c r="JJ151" s="1"/>
      <c r="JK151" s="1"/>
      <c r="JL151" s="1"/>
      <c r="JM151" s="1"/>
      <c r="JN151" s="1"/>
      <c r="JO151" s="1"/>
      <c r="JP151" s="1"/>
      <c r="JQ151" s="1"/>
      <c r="JR151" s="1"/>
      <c r="JS151" s="1"/>
      <c r="JT151" s="1"/>
      <c r="JU151" s="1"/>
      <c r="JV151" s="1"/>
      <c r="JW151" s="1"/>
      <c r="JX151" s="1"/>
      <c r="JY151" s="1"/>
      <c r="JZ151" s="1"/>
      <c r="KA151" s="1"/>
      <c r="KB151" s="1"/>
      <c r="KC151" s="1"/>
      <c r="KD151" s="1"/>
      <c r="KE151" s="1"/>
      <c r="KF151" s="1"/>
      <c r="KG151" s="1"/>
      <c r="KH151" s="1"/>
      <c r="KI151" s="1"/>
      <c r="KJ151" s="1"/>
      <c r="KK151" s="1"/>
      <c r="KL151" s="1"/>
      <c r="KM151" s="1"/>
      <c r="KN151" s="1"/>
      <c r="KO151" s="1"/>
      <c r="KP151" s="1"/>
      <c r="KQ151" s="1"/>
      <c r="KR151" s="1"/>
      <c r="KS151" s="1"/>
      <c r="KT151" s="1"/>
      <c r="KU151" s="1"/>
      <c r="KV151" s="1"/>
      <c r="KW151" s="1"/>
      <c r="KX151" s="1"/>
      <c r="KY151" s="1"/>
      <c r="KZ151" s="1"/>
      <c r="LA151" s="1"/>
      <c r="LB151" s="1"/>
      <c r="LC151" s="1"/>
      <c r="LD151" s="1"/>
      <c r="LE151" s="1"/>
      <c r="LF151" s="1"/>
      <c r="LG151" s="1"/>
      <c r="LH151" s="1"/>
      <c r="LI151" s="1"/>
      <c r="LJ151" s="1"/>
      <c r="LK151" s="1"/>
      <c r="LL151" s="1"/>
      <c r="LM151" s="1"/>
      <c r="LN151" s="1"/>
      <c r="LO151" s="1"/>
      <c r="LP151" s="1"/>
    </row>
    <row r="152" spans="1:328" ht="15" customHeight="1">
      <c r="A152" s="867"/>
      <c r="B152" s="868"/>
      <c r="C152" s="868"/>
      <c r="D152" s="868"/>
      <c r="E152" s="868"/>
      <c r="F152" s="868"/>
      <c r="G152" s="868"/>
      <c r="H152" s="868"/>
      <c r="I152" s="868"/>
      <c r="J152" s="868"/>
      <c r="K152" s="868"/>
      <c r="L152" s="868"/>
      <c r="M152" s="868"/>
      <c r="N152" s="868"/>
      <c r="O152" s="868"/>
      <c r="P152" s="868"/>
      <c r="Q152" s="868"/>
      <c r="R152" s="868"/>
      <c r="S152" s="868"/>
      <c r="T152" s="868"/>
      <c r="U152" s="868"/>
      <c r="V152" s="868"/>
      <c r="W152" s="868"/>
      <c r="X152" s="868"/>
      <c r="Y152" s="868"/>
      <c r="Z152" s="868"/>
      <c r="AA152" s="868"/>
      <c r="AB152" s="868"/>
      <c r="AC152" s="868"/>
      <c r="AD152" s="868"/>
      <c r="AE152" s="868"/>
      <c r="AF152" s="868"/>
      <c r="AG152" s="868"/>
      <c r="AH152" s="868"/>
      <c r="AI152" s="868"/>
      <c r="AJ152" s="868"/>
      <c r="AK152" s="868"/>
      <c r="AL152" s="868"/>
      <c r="AM152" s="868"/>
      <c r="AN152" s="868"/>
      <c r="AO152" s="868"/>
      <c r="AP152" s="868"/>
      <c r="AQ152" s="868"/>
      <c r="AR152" s="869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</row>
    <row r="153" spans="1:328" ht="15" customHeight="1">
      <c r="A153" s="867"/>
      <c r="B153" s="868"/>
      <c r="C153" s="868"/>
      <c r="D153" s="868"/>
      <c r="E153" s="868"/>
      <c r="F153" s="868"/>
      <c r="G153" s="868"/>
      <c r="H153" s="868"/>
      <c r="I153" s="868"/>
      <c r="J153" s="868"/>
      <c r="K153" s="868"/>
      <c r="L153" s="868"/>
      <c r="M153" s="868"/>
      <c r="N153" s="868"/>
      <c r="O153" s="868"/>
      <c r="P153" s="868"/>
      <c r="Q153" s="868"/>
      <c r="R153" s="868"/>
      <c r="S153" s="868"/>
      <c r="T153" s="868"/>
      <c r="U153" s="868"/>
      <c r="V153" s="868"/>
      <c r="W153" s="868"/>
      <c r="X153" s="868"/>
      <c r="Y153" s="868"/>
      <c r="Z153" s="868"/>
      <c r="AA153" s="868"/>
      <c r="AB153" s="868"/>
      <c r="AC153" s="868"/>
      <c r="AD153" s="868"/>
      <c r="AE153" s="868"/>
      <c r="AF153" s="868"/>
      <c r="AG153" s="868"/>
      <c r="AH153" s="868"/>
      <c r="AI153" s="868"/>
      <c r="AJ153" s="868"/>
      <c r="AK153" s="868"/>
      <c r="AL153" s="868"/>
      <c r="AM153" s="868"/>
      <c r="AN153" s="868"/>
      <c r="AO153" s="868"/>
      <c r="AP153" s="868"/>
      <c r="AQ153" s="868"/>
      <c r="AR153" s="869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  <c r="JA153" s="1"/>
      <c r="JB153" s="1"/>
      <c r="JC153" s="1"/>
      <c r="JD153" s="1"/>
      <c r="JE153" s="1"/>
      <c r="JF153" s="1"/>
      <c r="JG153" s="1"/>
      <c r="JH153" s="1"/>
      <c r="JI153" s="1"/>
      <c r="JJ153" s="1"/>
      <c r="JK153" s="1"/>
      <c r="JL153" s="1"/>
      <c r="JM153" s="1"/>
      <c r="JN153" s="1"/>
      <c r="JO153" s="1"/>
      <c r="JP153" s="1"/>
      <c r="JQ153" s="1"/>
      <c r="JR153" s="1"/>
      <c r="JS153" s="1"/>
      <c r="JT153" s="1"/>
      <c r="JU153" s="1"/>
      <c r="JV153" s="1"/>
      <c r="JW153" s="1"/>
      <c r="JX153" s="1"/>
      <c r="JY153" s="1"/>
      <c r="JZ153" s="1"/>
      <c r="KA153" s="1"/>
      <c r="KB153" s="1"/>
      <c r="KC153" s="1"/>
      <c r="KD153" s="1"/>
      <c r="KE153" s="1"/>
      <c r="KF153" s="1"/>
      <c r="KG153" s="1"/>
      <c r="KH153" s="1"/>
      <c r="KI153" s="1"/>
      <c r="KJ153" s="1"/>
      <c r="KK153" s="1"/>
      <c r="KL153" s="1"/>
      <c r="KM153" s="1"/>
      <c r="KN153" s="1"/>
      <c r="KO153" s="1"/>
      <c r="KP153" s="1"/>
      <c r="KQ153" s="1"/>
      <c r="KR153" s="1"/>
      <c r="KS153" s="1"/>
      <c r="KT153" s="1"/>
      <c r="KU153" s="1"/>
      <c r="KV153" s="1"/>
      <c r="KW153" s="1"/>
      <c r="KX153" s="1"/>
      <c r="KY153" s="1"/>
      <c r="KZ153" s="1"/>
      <c r="LA153" s="1"/>
      <c r="LB153" s="1"/>
      <c r="LC153" s="1"/>
      <c r="LD153" s="1"/>
      <c r="LE153" s="1"/>
      <c r="LF153" s="1"/>
      <c r="LG153" s="1"/>
      <c r="LH153" s="1"/>
      <c r="LI153" s="1"/>
      <c r="LJ153" s="1"/>
      <c r="LK153" s="1"/>
      <c r="LL153" s="1"/>
      <c r="LM153" s="1"/>
      <c r="LN153" s="1"/>
      <c r="LO153" s="1"/>
      <c r="LP153" s="1"/>
    </row>
    <row r="154" spans="1:328" ht="15" customHeight="1">
      <c r="A154" s="867"/>
      <c r="B154" s="868"/>
      <c r="C154" s="868"/>
      <c r="D154" s="868"/>
      <c r="E154" s="868"/>
      <c r="F154" s="868"/>
      <c r="G154" s="868"/>
      <c r="H154" s="868"/>
      <c r="I154" s="868"/>
      <c r="J154" s="868"/>
      <c r="K154" s="868"/>
      <c r="L154" s="868"/>
      <c r="M154" s="868"/>
      <c r="N154" s="868"/>
      <c r="O154" s="868"/>
      <c r="P154" s="868"/>
      <c r="Q154" s="868"/>
      <c r="R154" s="868"/>
      <c r="S154" s="868"/>
      <c r="T154" s="868"/>
      <c r="U154" s="868"/>
      <c r="V154" s="868"/>
      <c r="W154" s="868"/>
      <c r="X154" s="868"/>
      <c r="Y154" s="868"/>
      <c r="Z154" s="868"/>
      <c r="AA154" s="868"/>
      <c r="AB154" s="868"/>
      <c r="AC154" s="868"/>
      <c r="AD154" s="868"/>
      <c r="AE154" s="868"/>
      <c r="AF154" s="868"/>
      <c r="AG154" s="868"/>
      <c r="AH154" s="868"/>
      <c r="AI154" s="868"/>
      <c r="AJ154" s="868"/>
      <c r="AK154" s="868"/>
      <c r="AL154" s="868"/>
      <c r="AM154" s="868"/>
      <c r="AN154" s="868"/>
      <c r="AO154" s="868"/>
      <c r="AP154" s="868"/>
      <c r="AQ154" s="868"/>
      <c r="AR154" s="869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  <c r="IZ154" s="1"/>
      <c r="JA154" s="1"/>
      <c r="JB154" s="1"/>
      <c r="JC154" s="1"/>
      <c r="JD154" s="1"/>
      <c r="JE154" s="1"/>
      <c r="JF154" s="1"/>
      <c r="JG154" s="1"/>
      <c r="JH154" s="1"/>
      <c r="JI154" s="1"/>
      <c r="JJ154" s="1"/>
      <c r="JK154" s="1"/>
      <c r="JL154" s="1"/>
      <c r="JM154" s="1"/>
      <c r="JN154" s="1"/>
      <c r="JO154" s="1"/>
      <c r="JP154" s="1"/>
      <c r="JQ154" s="1"/>
      <c r="JR154" s="1"/>
      <c r="JS154" s="1"/>
      <c r="JT154" s="1"/>
      <c r="JU154" s="1"/>
      <c r="JV154" s="1"/>
      <c r="JW154" s="1"/>
      <c r="JX154" s="1"/>
      <c r="JY154" s="1"/>
      <c r="JZ154" s="1"/>
      <c r="KA154" s="1"/>
      <c r="KB154" s="1"/>
      <c r="KC154" s="1"/>
      <c r="KD154" s="1"/>
      <c r="KE154" s="1"/>
      <c r="KF154" s="1"/>
      <c r="KG154" s="1"/>
      <c r="KH154" s="1"/>
      <c r="KI154" s="1"/>
      <c r="KJ154" s="1"/>
      <c r="KK154" s="1"/>
      <c r="KL154" s="1"/>
      <c r="KM154" s="1"/>
      <c r="KN154" s="1"/>
      <c r="KO154" s="1"/>
      <c r="KP154" s="1"/>
      <c r="KQ154" s="1"/>
      <c r="KR154" s="1"/>
      <c r="KS154" s="1"/>
      <c r="KT154" s="1"/>
      <c r="KU154" s="1"/>
      <c r="KV154" s="1"/>
      <c r="KW154" s="1"/>
      <c r="KX154" s="1"/>
      <c r="KY154" s="1"/>
      <c r="KZ154" s="1"/>
      <c r="LA154" s="1"/>
      <c r="LB154" s="1"/>
      <c r="LC154" s="1"/>
      <c r="LD154" s="1"/>
      <c r="LE154" s="1"/>
      <c r="LF154" s="1"/>
      <c r="LG154" s="1"/>
      <c r="LH154" s="1"/>
      <c r="LI154" s="1"/>
      <c r="LJ154" s="1"/>
      <c r="LK154" s="1"/>
      <c r="LL154" s="1"/>
      <c r="LM154" s="1"/>
      <c r="LN154" s="1"/>
      <c r="LO154" s="1"/>
      <c r="LP154" s="1"/>
    </row>
    <row r="155" spans="1:328" ht="15" customHeight="1">
      <c r="A155" s="867"/>
      <c r="B155" s="868"/>
      <c r="C155" s="868"/>
      <c r="D155" s="868"/>
      <c r="E155" s="868"/>
      <c r="F155" s="868"/>
      <c r="G155" s="868"/>
      <c r="H155" s="868"/>
      <c r="I155" s="868"/>
      <c r="J155" s="868"/>
      <c r="K155" s="868"/>
      <c r="L155" s="868"/>
      <c r="M155" s="868"/>
      <c r="N155" s="868"/>
      <c r="O155" s="868"/>
      <c r="P155" s="868"/>
      <c r="Q155" s="868"/>
      <c r="R155" s="868"/>
      <c r="S155" s="868"/>
      <c r="T155" s="868"/>
      <c r="U155" s="868"/>
      <c r="V155" s="868"/>
      <c r="W155" s="868"/>
      <c r="X155" s="868"/>
      <c r="Y155" s="868"/>
      <c r="Z155" s="868"/>
      <c r="AA155" s="868"/>
      <c r="AB155" s="868"/>
      <c r="AC155" s="868"/>
      <c r="AD155" s="868"/>
      <c r="AE155" s="868"/>
      <c r="AF155" s="868"/>
      <c r="AG155" s="868"/>
      <c r="AH155" s="868"/>
      <c r="AI155" s="868"/>
      <c r="AJ155" s="868"/>
      <c r="AK155" s="868"/>
      <c r="AL155" s="868"/>
      <c r="AM155" s="868"/>
      <c r="AN155" s="868"/>
      <c r="AO155" s="868"/>
      <c r="AP155" s="868"/>
      <c r="AQ155" s="868"/>
      <c r="AR155" s="869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  <c r="IZ155" s="1"/>
      <c r="JA155" s="1"/>
      <c r="JB155" s="1"/>
      <c r="JC155" s="1"/>
      <c r="JD155" s="1"/>
      <c r="JE155" s="1"/>
      <c r="JF155" s="1"/>
      <c r="JG155" s="1"/>
      <c r="JH155" s="1"/>
      <c r="JI155" s="1"/>
      <c r="JJ155" s="1"/>
      <c r="JK155" s="1"/>
      <c r="JL155" s="1"/>
      <c r="JM155" s="1"/>
      <c r="JN155" s="1"/>
      <c r="JO155" s="1"/>
      <c r="JP155" s="1"/>
      <c r="JQ155" s="1"/>
      <c r="JR155" s="1"/>
      <c r="JS155" s="1"/>
      <c r="JT155" s="1"/>
      <c r="JU155" s="1"/>
      <c r="JV155" s="1"/>
      <c r="JW155" s="1"/>
      <c r="JX155" s="1"/>
      <c r="JY155" s="1"/>
      <c r="JZ155" s="1"/>
      <c r="KA155" s="1"/>
      <c r="KB155" s="1"/>
      <c r="KC155" s="1"/>
      <c r="KD155" s="1"/>
      <c r="KE155" s="1"/>
      <c r="KF155" s="1"/>
      <c r="KG155" s="1"/>
      <c r="KH155" s="1"/>
      <c r="KI155" s="1"/>
      <c r="KJ155" s="1"/>
      <c r="KK155" s="1"/>
      <c r="KL155" s="1"/>
      <c r="KM155" s="1"/>
      <c r="KN155" s="1"/>
      <c r="KO155" s="1"/>
      <c r="KP155" s="1"/>
      <c r="KQ155" s="1"/>
      <c r="KR155" s="1"/>
      <c r="KS155" s="1"/>
      <c r="KT155" s="1"/>
      <c r="KU155" s="1"/>
      <c r="KV155" s="1"/>
      <c r="KW155" s="1"/>
      <c r="KX155" s="1"/>
      <c r="KY155" s="1"/>
      <c r="KZ155" s="1"/>
      <c r="LA155" s="1"/>
      <c r="LB155" s="1"/>
      <c r="LC155" s="1"/>
      <c r="LD155" s="1"/>
      <c r="LE155" s="1"/>
      <c r="LF155" s="1"/>
      <c r="LG155" s="1"/>
      <c r="LH155" s="1"/>
      <c r="LI155" s="1"/>
      <c r="LJ155" s="1"/>
      <c r="LK155" s="1"/>
      <c r="LL155" s="1"/>
      <c r="LM155" s="1"/>
      <c r="LN155" s="1"/>
      <c r="LO155" s="1"/>
      <c r="LP155" s="1"/>
    </row>
    <row r="156" spans="1:328" ht="15" customHeight="1">
      <c r="A156" s="867"/>
      <c r="B156" s="868"/>
      <c r="C156" s="868"/>
      <c r="D156" s="868"/>
      <c r="E156" s="868"/>
      <c r="F156" s="868"/>
      <c r="G156" s="868"/>
      <c r="H156" s="868"/>
      <c r="I156" s="868"/>
      <c r="J156" s="868"/>
      <c r="K156" s="868"/>
      <c r="L156" s="868"/>
      <c r="M156" s="868"/>
      <c r="N156" s="868"/>
      <c r="O156" s="868"/>
      <c r="P156" s="868"/>
      <c r="Q156" s="868"/>
      <c r="R156" s="868"/>
      <c r="S156" s="868"/>
      <c r="T156" s="868"/>
      <c r="U156" s="868"/>
      <c r="V156" s="868"/>
      <c r="W156" s="868"/>
      <c r="X156" s="868"/>
      <c r="Y156" s="868"/>
      <c r="Z156" s="868"/>
      <c r="AA156" s="868"/>
      <c r="AB156" s="868"/>
      <c r="AC156" s="868"/>
      <c r="AD156" s="868"/>
      <c r="AE156" s="868"/>
      <c r="AF156" s="868"/>
      <c r="AG156" s="868"/>
      <c r="AH156" s="868"/>
      <c r="AI156" s="868"/>
      <c r="AJ156" s="868"/>
      <c r="AK156" s="868"/>
      <c r="AL156" s="868"/>
      <c r="AM156" s="868"/>
      <c r="AN156" s="868"/>
      <c r="AO156" s="868"/>
      <c r="AP156" s="868"/>
      <c r="AQ156" s="868"/>
      <c r="AR156" s="869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  <c r="JA156" s="1"/>
      <c r="JB156" s="1"/>
      <c r="JC156" s="1"/>
      <c r="JD156" s="1"/>
      <c r="JE156" s="1"/>
      <c r="JF156" s="1"/>
      <c r="JG156" s="1"/>
      <c r="JH156" s="1"/>
      <c r="JI156" s="1"/>
      <c r="JJ156" s="1"/>
      <c r="JK156" s="1"/>
      <c r="JL156" s="1"/>
      <c r="JM156" s="1"/>
      <c r="JN156" s="1"/>
      <c r="JO156" s="1"/>
      <c r="JP156" s="1"/>
      <c r="JQ156" s="1"/>
      <c r="JR156" s="1"/>
      <c r="JS156" s="1"/>
      <c r="JT156" s="1"/>
      <c r="JU156" s="1"/>
      <c r="JV156" s="1"/>
      <c r="JW156" s="1"/>
      <c r="JX156" s="1"/>
      <c r="JY156" s="1"/>
      <c r="JZ156" s="1"/>
      <c r="KA156" s="1"/>
      <c r="KB156" s="1"/>
      <c r="KC156" s="1"/>
      <c r="KD156" s="1"/>
      <c r="KE156" s="1"/>
      <c r="KF156" s="1"/>
      <c r="KG156" s="1"/>
      <c r="KH156" s="1"/>
      <c r="KI156" s="1"/>
      <c r="KJ156" s="1"/>
      <c r="KK156" s="1"/>
      <c r="KL156" s="1"/>
      <c r="KM156" s="1"/>
      <c r="KN156" s="1"/>
      <c r="KO156" s="1"/>
      <c r="KP156" s="1"/>
      <c r="KQ156" s="1"/>
      <c r="KR156" s="1"/>
      <c r="KS156" s="1"/>
      <c r="KT156" s="1"/>
      <c r="KU156" s="1"/>
      <c r="KV156" s="1"/>
      <c r="KW156" s="1"/>
      <c r="KX156" s="1"/>
      <c r="KY156" s="1"/>
      <c r="KZ156" s="1"/>
      <c r="LA156" s="1"/>
      <c r="LB156" s="1"/>
      <c r="LC156" s="1"/>
      <c r="LD156" s="1"/>
      <c r="LE156" s="1"/>
      <c r="LF156" s="1"/>
      <c r="LG156" s="1"/>
      <c r="LH156" s="1"/>
      <c r="LI156" s="1"/>
      <c r="LJ156" s="1"/>
      <c r="LK156" s="1"/>
      <c r="LL156" s="1"/>
      <c r="LM156" s="1"/>
      <c r="LN156" s="1"/>
      <c r="LO156" s="1"/>
      <c r="LP156" s="1"/>
    </row>
    <row r="157" spans="1:328" ht="15" customHeight="1">
      <c r="A157" s="867"/>
      <c r="B157" s="868"/>
      <c r="C157" s="868"/>
      <c r="D157" s="868"/>
      <c r="E157" s="868"/>
      <c r="F157" s="868"/>
      <c r="G157" s="868"/>
      <c r="H157" s="868"/>
      <c r="I157" s="868"/>
      <c r="J157" s="868"/>
      <c r="K157" s="868"/>
      <c r="L157" s="868"/>
      <c r="M157" s="868"/>
      <c r="N157" s="868"/>
      <c r="O157" s="868"/>
      <c r="P157" s="868"/>
      <c r="Q157" s="868"/>
      <c r="R157" s="868"/>
      <c r="S157" s="868"/>
      <c r="T157" s="868"/>
      <c r="U157" s="868"/>
      <c r="V157" s="868"/>
      <c r="W157" s="868"/>
      <c r="X157" s="868"/>
      <c r="Y157" s="868"/>
      <c r="Z157" s="868"/>
      <c r="AA157" s="868"/>
      <c r="AB157" s="868"/>
      <c r="AC157" s="868"/>
      <c r="AD157" s="868"/>
      <c r="AE157" s="868"/>
      <c r="AF157" s="868"/>
      <c r="AG157" s="868"/>
      <c r="AH157" s="868"/>
      <c r="AI157" s="868"/>
      <c r="AJ157" s="868"/>
      <c r="AK157" s="868"/>
      <c r="AL157" s="868"/>
      <c r="AM157" s="868"/>
      <c r="AN157" s="868"/>
      <c r="AO157" s="868"/>
      <c r="AP157" s="868"/>
      <c r="AQ157" s="868"/>
      <c r="AR157" s="869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  <c r="JA157" s="1"/>
      <c r="JB157" s="1"/>
      <c r="JC157" s="1"/>
      <c r="JD157" s="1"/>
      <c r="JE157" s="1"/>
      <c r="JF157" s="1"/>
      <c r="JG157" s="1"/>
      <c r="JH157" s="1"/>
      <c r="JI157" s="1"/>
      <c r="JJ157" s="1"/>
      <c r="JK157" s="1"/>
      <c r="JL157" s="1"/>
      <c r="JM157" s="1"/>
      <c r="JN157" s="1"/>
      <c r="JO157" s="1"/>
      <c r="JP157" s="1"/>
      <c r="JQ157" s="1"/>
      <c r="JR157" s="1"/>
      <c r="JS157" s="1"/>
      <c r="JT157" s="1"/>
      <c r="JU157" s="1"/>
      <c r="JV157" s="1"/>
      <c r="JW157" s="1"/>
      <c r="JX157" s="1"/>
      <c r="JY157" s="1"/>
      <c r="JZ157" s="1"/>
      <c r="KA157" s="1"/>
      <c r="KB157" s="1"/>
      <c r="KC157" s="1"/>
      <c r="KD157" s="1"/>
      <c r="KE157" s="1"/>
      <c r="KF157" s="1"/>
      <c r="KG157" s="1"/>
      <c r="KH157" s="1"/>
      <c r="KI157" s="1"/>
      <c r="KJ157" s="1"/>
      <c r="KK157" s="1"/>
      <c r="KL157" s="1"/>
      <c r="KM157" s="1"/>
      <c r="KN157" s="1"/>
      <c r="KO157" s="1"/>
      <c r="KP157" s="1"/>
      <c r="KQ157" s="1"/>
      <c r="KR157" s="1"/>
      <c r="KS157" s="1"/>
      <c r="KT157" s="1"/>
      <c r="KU157" s="1"/>
      <c r="KV157" s="1"/>
      <c r="KW157" s="1"/>
      <c r="KX157" s="1"/>
      <c r="KY157" s="1"/>
      <c r="KZ157" s="1"/>
      <c r="LA157" s="1"/>
      <c r="LB157" s="1"/>
      <c r="LC157" s="1"/>
      <c r="LD157" s="1"/>
      <c r="LE157" s="1"/>
      <c r="LF157" s="1"/>
      <c r="LG157" s="1"/>
      <c r="LH157" s="1"/>
      <c r="LI157" s="1"/>
      <c r="LJ157" s="1"/>
      <c r="LK157" s="1"/>
      <c r="LL157" s="1"/>
      <c r="LM157" s="1"/>
      <c r="LN157" s="1"/>
      <c r="LO157" s="1"/>
      <c r="LP157" s="1"/>
    </row>
    <row r="158" spans="1:328" ht="15" customHeight="1">
      <c r="A158" s="867"/>
      <c r="B158" s="868"/>
      <c r="C158" s="868"/>
      <c r="D158" s="868"/>
      <c r="E158" s="868"/>
      <c r="F158" s="868"/>
      <c r="G158" s="868"/>
      <c r="H158" s="868"/>
      <c r="I158" s="868"/>
      <c r="J158" s="868"/>
      <c r="K158" s="868"/>
      <c r="L158" s="868"/>
      <c r="M158" s="868"/>
      <c r="N158" s="868"/>
      <c r="O158" s="868"/>
      <c r="P158" s="868"/>
      <c r="Q158" s="868"/>
      <c r="R158" s="868"/>
      <c r="S158" s="868"/>
      <c r="T158" s="868"/>
      <c r="U158" s="868"/>
      <c r="V158" s="868"/>
      <c r="W158" s="868"/>
      <c r="X158" s="868"/>
      <c r="Y158" s="868"/>
      <c r="Z158" s="868"/>
      <c r="AA158" s="868"/>
      <c r="AB158" s="868"/>
      <c r="AC158" s="868"/>
      <c r="AD158" s="868"/>
      <c r="AE158" s="868"/>
      <c r="AF158" s="868"/>
      <c r="AG158" s="868"/>
      <c r="AH158" s="868"/>
      <c r="AI158" s="868"/>
      <c r="AJ158" s="868"/>
      <c r="AK158" s="868"/>
      <c r="AL158" s="868"/>
      <c r="AM158" s="868"/>
      <c r="AN158" s="868"/>
      <c r="AO158" s="868"/>
      <c r="AP158" s="868"/>
      <c r="AQ158" s="868"/>
      <c r="AR158" s="869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  <c r="IZ158" s="1"/>
      <c r="JA158" s="1"/>
      <c r="JB158" s="1"/>
      <c r="JC158" s="1"/>
      <c r="JD158" s="1"/>
      <c r="JE158" s="1"/>
      <c r="JF158" s="1"/>
      <c r="JG158" s="1"/>
      <c r="JH158" s="1"/>
      <c r="JI158" s="1"/>
      <c r="JJ158" s="1"/>
      <c r="JK158" s="1"/>
      <c r="JL158" s="1"/>
      <c r="JM158" s="1"/>
      <c r="JN158" s="1"/>
      <c r="JO158" s="1"/>
      <c r="JP158" s="1"/>
      <c r="JQ158" s="1"/>
      <c r="JR158" s="1"/>
      <c r="JS158" s="1"/>
      <c r="JT158" s="1"/>
      <c r="JU158" s="1"/>
      <c r="JV158" s="1"/>
      <c r="JW158" s="1"/>
      <c r="JX158" s="1"/>
      <c r="JY158" s="1"/>
      <c r="JZ158" s="1"/>
      <c r="KA158" s="1"/>
      <c r="KB158" s="1"/>
      <c r="KC158" s="1"/>
      <c r="KD158" s="1"/>
      <c r="KE158" s="1"/>
      <c r="KF158" s="1"/>
      <c r="KG158" s="1"/>
      <c r="KH158" s="1"/>
      <c r="KI158" s="1"/>
      <c r="KJ158" s="1"/>
      <c r="KK158" s="1"/>
      <c r="KL158" s="1"/>
      <c r="KM158" s="1"/>
      <c r="KN158" s="1"/>
      <c r="KO158" s="1"/>
      <c r="KP158" s="1"/>
      <c r="KQ158" s="1"/>
      <c r="KR158" s="1"/>
      <c r="KS158" s="1"/>
      <c r="KT158" s="1"/>
      <c r="KU158" s="1"/>
      <c r="KV158" s="1"/>
      <c r="KW158" s="1"/>
      <c r="KX158" s="1"/>
      <c r="KY158" s="1"/>
      <c r="KZ158" s="1"/>
      <c r="LA158" s="1"/>
      <c r="LB158" s="1"/>
      <c r="LC158" s="1"/>
      <c r="LD158" s="1"/>
      <c r="LE158" s="1"/>
      <c r="LF158" s="1"/>
      <c r="LG158" s="1"/>
      <c r="LH158" s="1"/>
      <c r="LI158" s="1"/>
      <c r="LJ158" s="1"/>
      <c r="LK158" s="1"/>
      <c r="LL158" s="1"/>
      <c r="LM158" s="1"/>
      <c r="LN158" s="1"/>
      <c r="LO158" s="1"/>
      <c r="LP158" s="1"/>
    </row>
    <row r="159" spans="1:328" ht="15" customHeight="1">
      <c r="A159" s="867"/>
      <c r="B159" s="868"/>
      <c r="C159" s="868"/>
      <c r="D159" s="868"/>
      <c r="E159" s="868"/>
      <c r="F159" s="868"/>
      <c r="G159" s="868"/>
      <c r="H159" s="868"/>
      <c r="I159" s="868"/>
      <c r="J159" s="868"/>
      <c r="K159" s="868"/>
      <c r="L159" s="868"/>
      <c r="M159" s="868"/>
      <c r="N159" s="868"/>
      <c r="O159" s="868"/>
      <c r="P159" s="868"/>
      <c r="Q159" s="868"/>
      <c r="R159" s="868"/>
      <c r="S159" s="868"/>
      <c r="T159" s="868"/>
      <c r="U159" s="868"/>
      <c r="V159" s="868"/>
      <c r="W159" s="868"/>
      <c r="X159" s="868"/>
      <c r="Y159" s="868"/>
      <c r="Z159" s="868"/>
      <c r="AA159" s="868"/>
      <c r="AB159" s="868"/>
      <c r="AC159" s="868"/>
      <c r="AD159" s="868"/>
      <c r="AE159" s="868"/>
      <c r="AF159" s="868"/>
      <c r="AG159" s="868"/>
      <c r="AH159" s="868"/>
      <c r="AI159" s="868"/>
      <c r="AJ159" s="868"/>
      <c r="AK159" s="868"/>
      <c r="AL159" s="868"/>
      <c r="AM159" s="868"/>
      <c r="AN159" s="868"/>
      <c r="AO159" s="868"/>
      <c r="AP159" s="868"/>
      <c r="AQ159" s="868"/>
      <c r="AR159" s="869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  <c r="IX159" s="1"/>
      <c r="IY159" s="1"/>
      <c r="IZ159" s="1"/>
      <c r="JA159" s="1"/>
      <c r="JB159" s="1"/>
      <c r="JC159" s="1"/>
      <c r="JD159" s="1"/>
      <c r="JE159" s="1"/>
      <c r="JF159" s="1"/>
      <c r="JG159" s="1"/>
      <c r="JH159" s="1"/>
      <c r="JI159" s="1"/>
      <c r="JJ159" s="1"/>
      <c r="JK159" s="1"/>
      <c r="JL159" s="1"/>
      <c r="JM159" s="1"/>
      <c r="JN159" s="1"/>
      <c r="JO159" s="1"/>
      <c r="JP159" s="1"/>
      <c r="JQ159" s="1"/>
      <c r="JR159" s="1"/>
      <c r="JS159" s="1"/>
      <c r="JT159" s="1"/>
      <c r="JU159" s="1"/>
      <c r="JV159" s="1"/>
      <c r="JW159" s="1"/>
      <c r="JX159" s="1"/>
      <c r="JY159" s="1"/>
      <c r="JZ159" s="1"/>
      <c r="KA159" s="1"/>
      <c r="KB159" s="1"/>
      <c r="KC159" s="1"/>
      <c r="KD159" s="1"/>
      <c r="KE159" s="1"/>
      <c r="KF159" s="1"/>
      <c r="KG159" s="1"/>
      <c r="KH159" s="1"/>
      <c r="KI159" s="1"/>
      <c r="KJ159" s="1"/>
      <c r="KK159" s="1"/>
      <c r="KL159" s="1"/>
      <c r="KM159" s="1"/>
      <c r="KN159" s="1"/>
      <c r="KO159" s="1"/>
      <c r="KP159" s="1"/>
      <c r="KQ159" s="1"/>
      <c r="KR159" s="1"/>
      <c r="KS159" s="1"/>
      <c r="KT159" s="1"/>
      <c r="KU159" s="1"/>
      <c r="KV159" s="1"/>
      <c r="KW159" s="1"/>
      <c r="KX159" s="1"/>
      <c r="KY159" s="1"/>
      <c r="KZ159" s="1"/>
      <c r="LA159" s="1"/>
      <c r="LB159" s="1"/>
      <c r="LC159" s="1"/>
      <c r="LD159" s="1"/>
      <c r="LE159" s="1"/>
      <c r="LF159" s="1"/>
      <c r="LG159" s="1"/>
      <c r="LH159" s="1"/>
      <c r="LI159" s="1"/>
      <c r="LJ159" s="1"/>
      <c r="LK159" s="1"/>
      <c r="LL159" s="1"/>
      <c r="LM159" s="1"/>
      <c r="LN159" s="1"/>
      <c r="LO159" s="1"/>
      <c r="LP159" s="1"/>
    </row>
    <row r="160" spans="1:328" ht="15" customHeight="1">
      <c r="A160" s="867"/>
      <c r="B160" s="868"/>
      <c r="C160" s="868"/>
      <c r="D160" s="868"/>
      <c r="E160" s="868"/>
      <c r="F160" s="868"/>
      <c r="G160" s="868"/>
      <c r="H160" s="868"/>
      <c r="I160" s="868"/>
      <c r="J160" s="868"/>
      <c r="K160" s="868"/>
      <c r="L160" s="868"/>
      <c r="M160" s="868"/>
      <c r="N160" s="868"/>
      <c r="O160" s="868"/>
      <c r="P160" s="868"/>
      <c r="Q160" s="868"/>
      <c r="R160" s="868"/>
      <c r="S160" s="868"/>
      <c r="T160" s="868"/>
      <c r="U160" s="868"/>
      <c r="V160" s="868"/>
      <c r="W160" s="868"/>
      <c r="X160" s="868"/>
      <c r="Y160" s="868"/>
      <c r="Z160" s="868"/>
      <c r="AA160" s="868"/>
      <c r="AB160" s="868"/>
      <c r="AC160" s="868"/>
      <c r="AD160" s="868"/>
      <c r="AE160" s="868"/>
      <c r="AF160" s="868"/>
      <c r="AG160" s="868"/>
      <c r="AH160" s="868"/>
      <c r="AI160" s="868"/>
      <c r="AJ160" s="868"/>
      <c r="AK160" s="868"/>
      <c r="AL160" s="868"/>
      <c r="AM160" s="868"/>
      <c r="AN160" s="868"/>
      <c r="AO160" s="868"/>
      <c r="AP160" s="868"/>
      <c r="AQ160" s="868"/>
      <c r="AR160" s="869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  <c r="IX160" s="1"/>
      <c r="IY160" s="1"/>
      <c r="IZ160" s="1"/>
      <c r="JA160" s="1"/>
      <c r="JB160" s="1"/>
      <c r="JC160" s="1"/>
      <c r="JD160" s="1"/>
      <c r="JE160" s="1"/>
      <c r="JF160" s="1"/>
      <c r="JG160" s="1"/>
      <c r="JH160" s="1"/>
      <c r="JI160" s="1"/>
      <c r="JJ160" s="1"/>
      <c r="JK160" s="1"/>
      <c r="JL160" s="1"/>
      <c r="JM160" s="1"/>
      <c r="JN160" s="1"/>
      <c r="JO160" s="1"/>
      <c r="JP160" s="1"/>
      <c r="JQ160" s="1"/>
      <c r="JR160" s="1"/>
      <c r="JS160" s="1"/>
      <c r="JT160" s="1"/>
      <c r="JU160" s="1"/>
      <c r="JV160" s="1"/>
      <c r="JW160" s="1"/>
      <c r="JX160" s="1"/>
      <c r="JY160" s="1"/>
      <c r="JZ160" s="1"/>
      <c r="KA160" s="1"/>
      <c r="KB160" s="1"/>
      <c r="KC160" s="1"/>
      <c r="KD160" s="1"/>
      <c r="KE160" s="1"/>
      <c r="KF160" s="1"/>
      <c r="KG160" s="1"/>
      <c r="KH160" s="1"/>
      <c r="KI160" s="1"/>
      <c r="KJ160" s="1"/>
      <c r="KK160" s="1"/>
      <c r="KL160" s="1"/>
      <c r="KM160" s="1"/>
      <c r="KN160" s="1"/>
      <c r="KO160" s="1"/>
      <c r="KP160" s="1"/>
      <c r="KQ160" s="1"/>
      <c r="KR160" s="1"/>
      <c r="KS160" s="1"/>
      <c r="KT160" s="1"/>
      <c r="KU160" s="1"/>
      <c r="KV160" s="1"/>
      <c r="KW160" s="1"/>
      <c r="KX160" s="1"/>
      <c r="KY160" s="1"/>
      <c r="KZ160" s="1"/>
      <c r="LA160" s="1"/>
      <c r="LB160" s="1"/>
      <c r="LC160" s="1"/>
      <c r="LD160" s="1"/>
      <c r="LE160" s="1"/>
      <c r="LF160" s="1"/>
      <c r="LG160" s="1"/>
      <c r="LH160" s="1"/>
      <c r="LI160" s="1"/>
      <c r="LJ160" s="1"/>
      <c r="LK160" s="1"/>
      <c r="LL160" s="1"/>
      <c r="LM160" s="1"/>
      <c r="LN160" s="1"/>
      <c r="LO160" s="1"/>
      <c r="LP160" s="1"/>
    </row>
    <row r="161" spans="1:328" ht="15" customHeight="1">
      <c r="A161" s="867"/>
      <c r="B161" s="868"/>
      <c r="C161" s="868"/>
      <c r="D161" s="868"/>
      <c r="E161" s="868"/>
      <c r="F161" s="868"/>
      <c r="G161" s="868"/>
      <c r="H161" s="868"/>
      <c r="I161" s="868"/>
      <c r="J161" s="868"/>
      <c r="K161" s="868"/>
      <c r="L161" s="868"/>
      <c r="M161" s="868"/>
      <c r="N161" s="868"/>
      <c r="O161" s="868"/>
      <c r="P161" s="868"/>
      <c r="Q161" s="868"/>
      <c r="R161" s="868"/>
      <c r="S161" s="868"/>
      <c r="T161" s="868"/>
      <c r="U161" s="868"/>
      <c r="V161" s="868"/>
      <c r="W161" s="868"/>
      <c r="X161" s="868"/>
      <c r="Y161" s="868"/>
      <c r="Z161" s="868"/>
      <c r="AA161" s="868"/>
      <c r="AB161" s="868"/>
      <c r="AC161" s="868"/>
      <c r="AD161" s="868"/>
      <c r="AE161" s="868"/>
      <c r="AF161" s="868"/>
      <c r="AG161" s="868"/>
      <c r="AH161" s="868"/>
      <c r="AI161" s="868"/>
      <c r="AJ161" s="868"/>
      <c r="AK161" s="868"/>
      <c r="AL161" s="868"/>
      <c r="AM161" s="868"/>
      <c r="AN161" s="868"/>
      <c r="AO161" s="868"/>
      <c r="AP161" s="868"/>
      <c r="AQ161" s="868"/>
      <c r="AR161" s="869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  <c r="IX161" s="1"/>
      <c r="IY161" s="1"/>
      <c r="IZ161" s="1"/>
      <c r="JA161" s="1"/>
      <c r="JB161" s="1"/>
      <c r="JC161" s="1"/>
      <c r="JD161" s="1"/>
      <c r="JE161" s="1"/>
      <c r="JF161" s="1"/>
      <c r="JG161" s="1"/>
      <c r="JH161" s="1"/>
      <c r="JI161" s="1"/>
      <c r="JJ161" s="1"/>
      <c r="JK161" s="1"/>
      <c r="JL161" s="1"/>
      <c r="JM161" s="1"/>
      <c r="JN161" s="1"/>
      <c r="JO161" s="1"/>
      <c r="JP161" s="1"/>
      <c r="JQ161" s="1"/>
      <c r="JR161" s="1"/>
      <c r="JS161" s="1"/>
      <c r="JT161" s="1"/>
      <c r="JU161" s="1"/>
      <c r="JV161" s="1"/>
      <c r="JW161" s="1"/>
      <c r="JX161" s="1"/>
      <c r="JY161" s="1"/>
      <c r="JZ161" s="1"/>
      <c r="KA161" s="1"/>
      <c r="KB161" s="1"/>
      <c r="KC161" s="1"/>
      <c r="KD161" s="1"/>
      <c r="KE161" s="1"/>
      <c r="KF161" s="1"/>
      <c r="KG161" s="1"/>
      <c r="KH161" s="1"/>
      <c r="KI161" s="1"/>
      <c r="KJ161" s="1"/>
      <c r="KK161" s="1"/>
      <c r="KL161" s="1"/>
      <c r="KM161" s="1"/>
      <c r="KN161" s="1"/>
      <c r="KO161" s="1"/>
      <c r="KP161" s="1"/>
      <c r="KQ161" s="1"/>
      <c r="KR161" s="1"/>
      <c r="KS161" s="1"/>
      <c r="KT161" s="1"/>
      <c r="KU161" s="1"/>
      <c r="KV161" s="1"/>
      <c r="KW161" s="1"/>
      <c r="KX161" s="1"/>
      <c r="KY161" s="1"/>
      <c r="KZ161" s="1"/>
      <c r="LA161" s="1"/>
      <c r="LB161" s="1"/>
      <c r="LC161" s="1"/>
      <c r="LD161" s="1"/>
      <c r="LE161" s="1"/>
      <c r="LF161" s="1"/>
      <c r="LG161" s="1"/>
      <c r="LH161" s="1"/>
      <c r="LI161" s="1"/>
      <c r="LJ161" s="1"/>
      <c r="LK161" s="1"/>
      <c r="LL161" s="1"/>
      <c r="LM161" s="1"/>
      <c r="LN161" s="1"/>
      <c r="LO161" s="1"/>
      <c r="LP161" s="1"/>
    </row>
    <row r="162" spans="1:328" ht="15" customHeight="1">
      <c r="A162" s="867"/>
      <c r="B162" s="868"/>
      <c r="C162" s="868"/>
      <c r="D162" s="868"/>
      <c r="E162" s="868"/>
      <c r="F162" s="868"/>
      <c r="G162" s="868"/>
      <c r="H162" s="868"/>
      <c r="I162" s="868"/>
      <c r="J162" s="868"/>
      <c r="K162" s="868"/>
      <c r="L162" s="868"/>
      <c r="M162" s="868"/>
      <c r="N162" s="868"/>
      <c r="O162" s="868"/>
      <c r="P162" s="868"/>
      <c r="Q162" s="868"/>
      <c r="R162" s="868"/>
      <c r="S162" s="868"/>
      <c r="T162" s="868"/>
      <c r="U162" s="868"/>
      <c r="V162" s="868"/>
      <c r="W162" s="868"/>
      <c r="X162" s="868"/>
      <c r="Y162" s="868"/>
      <c r="Z162" s="868"/>
      <c r="AA162" s="868"/>
      <c r="AB162" s="868"/>
      <c r="AC162" s="868"/>
      <c r="AD162" s="868"/>
      <c r="AE162" s="868"/>
      <c r="AF162" s="868"/>
      <c r="AG162" s="868"/>
      <c r="AH162" s="868"/>
      <c r="AI162" s="868"/>
      <c r="AJ162" s="868"/>
      <c r="AK162" s="868"/>
      <c r="AL162" s="868"/>
      <c r="AM162" s="868"/>
      <c r="AN162" s="868"/>
      <c r="AO162" s="868"/>
      <c r="AP162" s="868"/>
      <c r="AQ162" s="868"/>
      <c r="AR162" s="869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  <c r="IY162" s="1"/>
      <c r="IZ162" s="1"/>
      <c r="JA162" s="1"/>
      <c r="JB162" s="1"/>
      <c r="JC162" s="1"/>
      <c r="JD162" s="1"/>
      <c r="JE162" s="1"/>
      <c r="JF162" s="1"/>
      <c r="JG162" s="1"/>
      <c r="JH162" s="1"/>
      <c r="JI162" s="1"/>
      <c r="JJ162" s="1"/>
      <c r="JK162" s="1"/>
      <c r="JL162" s="1"/>
      <c r="JM162" s="1"/>
      <c r="JN162" s="1"/>
      <c r="JO162" s="1"/>
      <c r="JP162" s="1"/>
      <c r="JQ162" s="1"/>
      <c r="JR162" s="1"/>
      <c r="JS162" s="1"/>
      <c r="JT162" s="1"/>
      <c r="JU162" s="1"/>
      <c r="JV162" s="1"/>
      <c r="JW162" s="1"/>
      <c r="JX162" s="1"/>
      <c r="JY162" s="1"/>
      <c r="JZ162" s="1"/>
      <c r="KA162" s="1"/>
      <c r="KB162" s="1"/>
      <c r="KC162" s="1"/>
      <c r="KD162" s="1"/>
      <c r="KE162" s="1"/>
      <c r="KF162" s="1"/>
      <c r="KG162" s="1"/>
      <c r="KH162" s="1"/>
      <c r="KI162" s="1"/>
      <c r="KJ162" s="1"/>
      <c r="KK162" s="1"/>
      <c r="KL162" s="1"/>
      <c r="KM162" s="1"/>
      <c r="KN162" s="1"/>
      <c r="KO162" s="1"/>
      <c r="KP162" s="1"/>
      <c r="KQ162" s="1"/>
      <c r="KR162" s="1"/>
      <c r="KS162" s="1"/>
      <c r="KT162" s="1"/>
      <c r="KU162" s="1"/>
      <c r="KV162" s="1"/>
      <c r="KW162" s="1"/>
      <c r="KX162" s="1"/>
      <c r="KY162" s="1"/>
      <c r="KZ162" s="1"/>
      <c r="LA162" s="1"/>
      <c r="LB162" s="1"/>
      <c r="LC162" s="1"/>
      <c r="LD162" s="1"/>
      <c r="LE162" s="1"/>
      <c r="LF162" s="1"/>
      <c r="LG162" s="1"/>
      <c r="LH162" s="1"/>
      <c r="LI162" s="1"/>
      <c r="LJ162" s="1"/>
      <c r="LK162" s="1"/>
      <c r="LL162" s="1"/>
      <c r="LM162" s="1"/>
      <c r="LN162" s="1"/>
      <c r="LO162" s="1"/>
      <c r="LP162" s="1"/>
    </row>
    <row r="163" spans="1:328" ht="15" customHeight="1">
      <c r="A163" s="867"/>
      <c r="B163" s="868"/>
      <c r="C163" s="868"/>
      <c r="D163" s="868"/>
      <c r="E163" s="868"/>
      <c r="F163" s="868"/>
      <c r="G163" s="868"/>
      <c r="H163" s="868"/>
      <c r="I163" s="868"/>
      <c r="J163" s="868"/>
      <c r="K163" s="868"/>
      <c r="L163" s="868"/>
      <c r="M163" s="868"/>
      <c r="N163" s="868"/>
      <c r="O163" s="868"/>
      <c r="P163" s="868"/>
      <c r="Q163" s="868"/>
      <c r="R163" s="868"/>
      <c r="S163" s="868"/>
      <c r="T163" s="868"/>
      <c r="U163" s="868"/>
      <c r="V163" s="868"/>
      <c r="W163" s="868"/>
      <c r="X163" s="868"/>
      <c r="Y163" s="868"/>
      <c r="Z163" s="868"/>
      <c r="AA163" s="868"/>
      <c r="AB163" s="868"/>
      <c r="AC163" s="868"/>
      <c r="AD163" s="868"/>
      <c r="AE163" s="868"/>
      <c r="AF163" s="868"/>
      <c r="AG163" s="868"/>
      <c r="AH163" s="868"/>
      <c r="AI163" s="868"/>
      <c r="AJ163" s="868"/>
      <c r="AK163" s="868"/>
      <c r="AL163" s="868"/>
      <c r="AM163" s="868"/>
      <c r="AN163" s="868"/>
      <c r="AO163" s="868"/>
      <c r="AP163" s="868"/>
      <c r="AQ163" s="868"/>
      <c r="AR163" s="869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  <c r="IX163" s="1"/>
      <c r="IY163" s="1"/>
      <c r="IZ163" s="1"/>
      <c r="JA163" s="1"/>
      <c r="JB163" s="1"/>
      <c r="JC163" s="1"/>
      <c r="JD163" s="1"/>
      <c r="JE163" s="1"/>
      <c r="JF163" s="1"/>
      <c r="JG163" s="1"/>
      <c r="JH163" s="1"/>
      <c r="JI163" s="1"/>
      <c r="JJ163" s="1"/>
      <c r="JK163" s="1"/>
      <c r="JL163" s="1"/>
      <c r="JM163" s="1"/>
      <c r="JN163" s="1"/>
      <c r="JO163" s="1"/>
      <c r="JP163" s="1"/>
      <c r="JQ163" s="1"/>
      <c r="JR163" s="1"/>
      <c r="JS163" s="1"/>
      <c r="JT163" s="1"/>
      <c r="JU163" s="1"/>
      <c r="JV163" s="1"/>
      <c r="JW163" s="1"/>
      <c r="JX163" s="1"/>
      <c r="JY163" s="1"/>
      <c r="JZ163" s="1"/>
      <c r="KA163" s="1"/>
      <c r="KB163" s="1"/>
      <c r="KC163" s="1"/>
      <c r="KD163" s="1"/>
      <c r="KE163" s="1"/>
      <c r="KF163" s="1"/>
      <c r="KG163" s="1"/>
      <c r="KH163" s="1"/>
      <c r="KI163" s="1"/>
      <c r="KJ163" s="1"/>
      <c r="KK163" s="1"/>
      <c r="KL163" s="1"/>
      <c r="KM163" s="1"/>
      <c r="KN163" s="1"/>
      <c r="KO163" s="1"/>
      <c r="KP163" s="1"/>
      <c r="KQ163" s="1"/>
      <c r="KR163" s="1"/>
      <c r="KS163" s="1"/>
      <c r="KT163" s="1"/>
      <c r="KU163" s="1"/>
      <c r="KV163" s="1"/>
      <c r="KW163" s="1"/>
      <c r="KX163" s="1"/>
      <c r="KY163" s="1"/>
      <c r="KZ163" s="1"/>
      <c r="LA163" s="1"/>
      <c r="LB163" s="1"/>
      <c r="LC163" s="1"/>
      <c r="LD163" s="1"/>
      <c r="LE163" s="1"/>
      <c r="LF163" s="1"/>
      <c r="LG163" s="1"/>
      <c r="LH163" s="1"/>
      <c r="LI163" s="1"/>
      <c r="LJ163" s="1"/>
      <c r="LK163" s="1"/>
      <c r="LL163" s="1"/>
      <c r="LM163" s="1"/>
      <c r="LN163" s="1"/>
      <c r="LO163" s="1"/>
      <c r="LP163" s="1"/>
    </row>
    <row r="164" spans="1:328" ht="15" customHeight="1">
      <c r="A164" s="867"/>
      <c r="B164" s="868"/>
      <c r="C164" s="868"/>
      <c r="D164" s="868"/>
      <c r="E164" s="868"/>
      <c r="F164" s="868"/>
      <c r="G164" s="868"/>
      <c r="H164" s="868"/>
      <c r="I164" s="868"/>
      <c r="J164" s="868"/>
      <c r="K164" s="868"/>
      <c r="L164" s="868"/>
      <c r="M164" s="868"/>
      <c r="N164" s="868"/>
      <c r="O164" s="868"/>
      <c r="P164" s="868"/>
      <c r="Q164" s="868"/>
      <c r="R164" s="868"/>
      <c r="S164" s="868"/>
      <c r="T164" s="868"/>
      <c r="U164" s="868"/>
      <c r="V164" s="868"/>
      <c r="W164" s="868"/>
      <c r="X164" s="868"/>
      <c r="Y164" s="868"/>
      <c r="Z164" s="868"/>
      <c r="AA164" s="868"/>
      <c r="AB164" s="868"/>
      <c r="AC164" s="868"/>
      <c r="AD164" s="868"/>
      <c r="AE164" s="868"/>
      <c r="AF164" s="868"/>
      <c r="AG164" s="868"/>
      <c r="AH164" s="868"/>
      <c r="AI164" s="868"/>
      <c r="AJ164" s="868"/>
      <c r="AK164" s="868"/>
      <c r="AL164" s="868"/>
      <c r="AM164" s="868"/>
      <c r="AN164" s="868"/>
      <c r="AO164" s="868"/>
      <c r="AP164" s="868"/>
      <c r="AQ164" s="868"/>
      <c r="AR164" s="869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  <c r="IX164" s="1"/>
      <c r="IY164" s="1"/>
      <c r="IZ164" s="1"/>
      <c r="JA164" s="1"/>
      <c r="JB164" s="1"/>
      <c r="JC164" s="1"/>
      <c r="JD164" s="1"/>
      <c r="JE164" s="1"/>
      <c r="JF164" s="1"/>
      <c r="JG164" s="1"/>
      <c r="JH164" s="1"/>
      <c r="JI164" s="1"/>
      <c r="JJ164" s="1"/>
      <c r="JK164" s="1"/>
      <c r="JL164" s="1"/>
      <c r="JM164" s="1"/>
      <c r="JN164" s="1"/>
      <c r="JO164" s="1"/>
      <c r="JP164" s="1"/>
      <c r="JQ164" s="1"/>
      <c r="JR164" s="1"/>
      <c r="JS164" s="1"/>
      <c r="JT164" s="1"/>
      <c r="JU164" s="1"/>
      <c r="JV164" s="1"/>
      <c r="JW164" s="1"/>
      <c r="JX164" s="1"/>
      <c r="JY164" s="1"/>
      <c r="JZ164" s="1"/>
      <c r="KA164" s="1"/>
      <c r="KB164" s="1"/>
      <c r="KC164" s="1"/>
      <c r="KD164" s="1"/>
      <c r="KE164" s="1"/>
      <c r="KF164" s="1"/>
      <c r="KG164" s="1"/>
      <c r="KH164" s="1"/>
      <c r="KI164" s="1"/>
      <c r="KJ164" s="1"/>
      <c r="KK164" s="1"/>
      <c r="KL164" s="1"/>
      <c r="KM164" s="1"/>
      <c r="KN164" s="1"/>
      <c r="KO164" s="1"/>
      <c r="KP164" s="1"/>
      <c r="KQ164" s="1"/>
      <c r="KR164" s="1"/>
      <c r="KS164" s="1"/>
      <c r="KT164" s="1"/>
      <c r="KU164" s="1"/>
      <c r="KV164" s="1"/>
      <c r="KW164" s="1"/>
      <c r="KX164" s="1"/>
      <c r="KY164" s="1"/>
      <c r="KZ164" s="1"/>
      <c r="LA164" s="1"/>
      <c r="LB164" s="1"/>
      <c r="LC164" s="1"/>
      <c r="LD164" s="1"/>
      <c r="LE164" s="1"/>
      <c r="LF164" s="1"/>
      <c r="LG164" s="1"/>
      <c r="LH164" s="1"/>
      <c r="LI164" s="1"/>
      <c r="LJ164" s="1"/>
      <c r="LK164" s="1"/>
      <c r="LL164" s="1"/>
      <c r="LM164" s="1"/>
      <c r="LN164" s="1"/>
      <c r="LO164" s="1"/>
      <c r="LP164" s="1"/>
    </row>
    <row r="165" spans="1:328" ht="15" customHeight="1">
      <c r="A165" s="867"/>
      <c r="B165" s="868"/>
      <c r="C165" s="868"/>
      <c r="D165" s="868"/>
      <c r="E165" s="868"/>
      <c r="F165" s="868"/>
      <c r="G165" s="868"/>
      <c r="H165" s="868"/>
      <c r="I165" s="868"/>
      <c r="J165" s="868"/>
      <c r="K165" s="868"/>
      <c r="L165" s="868"/>
      <c r="M165" s="868"/>
      <c r="N165" s="868"/>
      <c r="O165" s="868"/>
      <c r="P165" s="868"/>
      <c r="Q165" s="868"/>
      <c r="R165" s="868"/>
      <c r="S165" s="868"/>
      <c r="T165" s="868"/>
      <c r="U165" s="868"/>
      <c r="V165" s="868"/>
      <c r="W165" s="868"/>
      <c r="X165" s="868"/>
      <c r="Y165" s="868"/>
      <c r="Z165" s="868"/>
      <c r="AA165" s="868"/>
      <c r="AB165" s="868"/>
      <c r="AC165" s="868"/>
      <c r="AD165" s="868"/>
      <c r="AE165" s="868"/>
      <c r="AF165" s="868"/>
      <c r="AG165" s="868"/>
      <c r="AH165" s="868"/>
      <c r="AI165" s="868"/>
      <c r="AJ165" s="868"/>
      <c r="AK165" s="868"/>
      <c r="AL165" s="868"/>
      <c r="AM165" s="868"/>
      <c r="AN165" s="868"/>
      <c r="AO165" s="868"/>
      <c r="AP165" s="868"/>
      <c r="AQ165" s="868"/>
      <c r="AR165" s="869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  <c r="IX165" s="1"/>
      <c r="IY165" s="1"/>
      <c r="IZ165" s="1"/>
      <c r="JA165" s="1"/>
      <c r="JB165" s="1"/>
      <c r="JC165" s="1"/>
      <c r="JD165" s="1"/>
      <c r="JE165" s="1"/>
      <c r="JF165" s="1"/>
      <c r="JG165" s="1"/>
      <c r="JH165" s="1"/>
      <c r="JI165" s="1"/>
      <c r="JJ165" s="1"/>
      <c r="JK165" s="1"/>
      <c r="JL165" s="1"/>
      <c r="JM165" s="1"/>
      <c r="JN165" s="1"/>
      <c r="JO165" s="1"/>
      <c r="JP165" s="1"/>
      <c r="JQ165" s="1"/>
      <c r="JR165" s="1"/>
      <c r="JS165" s="1"/>
      <c r="JT165" s="1"/>
      <c r="JU165" s="1"/>
      <c r="JV165" s="1"/>
      <c r="JW165" s="1"/>
      <c r="JX165" s="1"/>
      <c r="JY165" s="1"/>
      <c r="JZ165" s="1"/>
      <c r="KA165" s="1"/>
      <c r="KB165" s="1"/>
      <c r="KC165" s="1"/>
      <c r="KD165" s="1"/>
      <c r="KE165" s="1"/>
      <c r="KF165" s="1"/>
      <c r="KG165" s="1"/>
      <c r="KH165" s="1"/>
      <c r="KI165" s="1"/>
      <c r="KJ165" s="1"/>
      <c r="KK165" s="1"/>
      <c r="KL165" s="1"/>
      <c r="KM165" s="1"/>
      <c r="KN165" s="1"/>
      <c r="KO165" s="1"/>
      <c r="KP165" s="1"/>
      <c r="KQ165" s="1"/>
      <c r="KR165" s="1"/>
      <c r="KS165" s="1"/>
      <c r="KT165" s="1"/>
      <c r="KU165" s="1"/>
      <c r="KV165" s="1"/>
      <c r="KW165" s="1"/>
      <c r="KX165" s="1"/>
      <c r="KY165" s="1"/>
      <c r="KZ165" s="1"/>
      <c r="LA165" s="1"/>
      <c r="LB165" s="1"/>
      <c r="LC165" s="1"/>
      <c r="LD165" s="1"/>
      <c r="LE165" s="1"/>
      <c r="LF165" s="1"/>
      <c r="LG165" s="1"/>
      <c r="LH165" s="1"/>
      <c r="LI165" s="1"/>
      <c r="LJ165" s="1"/>
      <c r="LK165" s="1"/>
      <c r="LL165" s="1"/>
      <c r="LM165" s="1"/>
      <c r="LN165" s="1"/>
      <c r="LO165" s="1"/>
      <c r="LP165" s="1"/>
    </row>
    <row r="166" spans="1:328" ht="15" customHeight="1">
      <c r="A166" s="867"/>
      <c r="B166" s="868"/>
      <c r="C166" s="868"/>
      <c r="D166" s="868"/>
      <c r="E166" s="868"/>
      <c r="F166" s="868"/>
      <c r="G166" s="868"/>
      <c r="H166" s="868"/>
      <c r="I166" s="868"/>
      <c r="J166" s="868"/>
      <c r="K166" s="868"/>
      <c r="L166" s="868"/>
      <c r="M166" s="868"/>
      <c r="N166" s="868"/>
      <c r="O166" s="868"/>
      <c r="P166" s="868"/>
      <c r="Q166" s="868"/>
      <c r="R166" s="868"/>
      <c r="S166" s="868"/>
      <c r="T166" s="868"/>
      <c r="U166" s="868"/>
      <c r="V166" s="868"/>
      <c r="W166" s="868"/>
      <c r="X166" s="868"/>
      <c r="Y166" s="868"/>
      <c r="Z166" s="868"/>
      <c r="AA166" s="868"/>
      <c r="AB166" s="868"/>
      <c r="AC166" s="868"/>
      <c r="AD166" s="868"/>
      <c r="AE166" s="868"/>
      <c r="AF166" s="868"/>
      <c r="AG166" s="868"/>
      <c r="AH166" s="868"/>
      <c r="AI166" s="868"/>
      <c r="AJ166" s="868"/>
      <c r="AK166" s="868"/>
      <c r="AL166" s="868"/>
      <c r="AM166" s="868"/>
      <c r="AN166" s="868"/>
      <c r="AO166" s="868"/>
      <c r="AP166" s="868"/>
      <c r="AQ166" s="868"/>
      <c r="AR166" s="869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2"/>
      <c r="BH166" s="2"/>
      <c r="BI166" s="2"/>
      <c r="BJ166" s="2"/>
      <c r="BK166" s="2"/>
      <c r="BL166" s="2"/>
      <c r="BM166" s="2"/>
      <c r="BN166" s="2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  <c r="IX166" s="1"/>
      <c r="IY166" s="1"/>
      <c r="IZ166" s="1"/>
      <c r="JA166" s="1"/>
      <c r="JB166" s="1"/>
      <c r="JC166" s="1"/>
      <c r="JD166" s="1"/>
      <c r="JE166" s="1"/>
      <c r="JF166" s="1"/>
      <c r="JG166" s="1"/>
      <c r="JH166" s="1"/>
      <c r="JI166" s="1"/>
      <c r="JJ166" s="1"/>
      <c r="JK166" s="1"/>
      <c r="JL166" s="1"/>
      <c r="JM166" s="1"/>
      <c r="JN166" s="1"/>
      <c r="JO166" s="1"/>
      <c r="JP166" s="1"/>
      <c r="JQ166" s="1"/>
      <c r="JR166" s="1"/>
      <c r="JS166" s="1"/>
      <c r="JT166" s="1"/>
      <c r="JU166" s="1"/>
      <c r="JV166" s="1"/>
      <c r="JW166" s="1"/>
      <c r="JX166" s="1"/>
      <c r="JY166" s="1"/>
      <c r="JZ166" s="1"/>
      <c r="KA166" s="1"/>
      <c r="KB166" s="1"/>
      <c r="KC166" s="1"/>
      <c r="KD166" s="1"/>
      <c r="KE166" s="1"/>
      <c r="KF166" s="1"/>
      <c r="KG166" s="1"/>
      <c r="KH166" s="1"/>
      <c r="KI166" s="1"/>
      <c r="KJ166" s="1"/>
      <c r="KK166" s="1"/>
      <c r="KL166" s="1"/>
      <c r="KM166" s="1"/>
      <c r="KN166" s="1"/>
      <c r="KO166" s="1"/>
      <c r="KP166" s="1"/>
      <c r="KQ166" s="1"/>
      <c r="KR166" s="1"/>
      <c r="KS166" s="1"/>
      <c r="KT166" s="1"/>
      <c r="KU166" s="1"/>
      <c r="KV166" s="1"/>
      <c r="KW166" s="1"/>
      <c r="KX166" s="1"/>
      <c r="KY166" s="1"/>
      <c r="KZ166" s="1"/>
      <c r="LA166" s="1"/>
      <c r="LB166" s="1"/>
      <c r="LC166" s="1"/>
      <c r="LD166" s="1"/>
      <c r="LE166" s="1"/>
      <c r="LF166" s="1"/>
      <c r="LG166" s="1"/>
      <c r="LH166" s="1"/>
      <c r="LI166" s="1"/>
      <c r="LJ166" s="1"/>
      <c r="LK166" s="1"/>
      <c r="LL166" s="1"/>
      <c r="LM166" s="1"/>
      <c r="LN166" s="1"/>
      <c r="LO166" s="1"/>
      <c r="LP166" s="1"/>
    </row>
    <row r="167" spans="1:328" ht="15" customHeight="1">
      <c r="A167" s="867"/>
      <c r="B167" s="868"/>
      <c r="C167" s="868"/>
      <c r="D167" s="868"/>
      <c r="E167" s="868"/>
      <c r="F167" s="868"/>
      <c r="G167" s="868"/>
      <c r="H167" s="868"/>
      <c r="I167" s="868"/>
      <c r="J167" s="868"/>
      <c r="K167" s="868"/>
      <c r="L167" s="868"/>
      <c r="M167" s="868"/>
      <c r="N167" s="868"/>
      <c r="O167" s="868"/>
      <c r="P167" s="868"/>
      <c r="Q167" s="868"/>
      <c r="R167" s="868"/>
      <c r="S167" s="868"/>
      <c r="T167" s="868"/>
      <c r="U167" s="868"/>
      <c r="V167" s="868"/>
      <c r="W167" s="868"/>
      <c r="X167" s="868"/>
      <c r="Y167" s="868"/>
      <c r="Z167" s="868"/>
      <c r="AA167" s="868"/>
      <c r="AB167" s="868"/>
      <c r="AC167" s="868"/>
      <c r="AD167" s="868"/>
      <c r="AE167" s="868"/>
      <c r="AF167" s="868"/>
      <c r="AG167" s="868"/>
      <c r="AH167" s="868"/>
      <c r="AI167" s="868"/>
      <c r="AJ167" s="868"/>
      <c r="AK167" s="868"/>
      <c r="AL167" s="868"/>
      <c r="AM167" s="868"/>
      <c r="AN167" s="868"/>
      <c r="AO167" s="868"/>
      <c r="AP167" s="868"/>
      <c r="AQ167" s="868"/>
      <c r="AR167" s="869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2"/>
      <c r="BH167" s="2"/>
      <c r="BI167" s="2"/>
      <c r="BJ167" s="2"/>
      <c r="BK167" s="2"/>
      <c r="BL167" s="2"/>
      <c r="BM167" s="2"/>
      <c r="BN167" s="2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  <c r="KD167" s="1"/>
      <c r="KE167" s="1"/>
      <c r="KF167" s="1"/>
      <c r="KG167" s="1"/>
      <c r="KH167" s="1"/>
      <c r="KI167" s="1"/>
      <c r="KJ167" s="1"/>
      <c r="KK167" s="1"/>
      <c r="KL167" s="1"/>
      <c r="KM167" s="1"/>
      <c r="KN167" s="1"/>
      <c r="KO167" s="1"/>
      <c r="KP167" s="1"/>
      <c r="KQ167" s="1"/>
      <c r="KR167" s="1"/>
      <c r="KS167" s="1"/>
      <c r="KT167" s="1"/>
      <c r="KU167" s="1"/>
      <c r="KV167" s="1"/>
      <c r="KW167" s="1"/>
      <c r="KX167" s="1"/>
      <c r="KY167" s="1"/>
      <c r="KZ167" s="1"/>
      <c r="LA167" s="1"/>
      <c r="LB167" s="1"/>
      <c r="LC167" s="1"/>
      <c r="LD167" s="1"/>
      <c r="LE167" s="1"/>
      <c r="LF167" s="1"/>
      <c r="LG167" s="1"/>
      <c r="LH167" s="1"/>
      <c r="LI167" s="1"/>
      <c r="LJ167" s="1"/>
      <c r="LK167" s="1"/>
      <c r="LL167" s="1"/>
      <c r="LM167" s="1"/>
      <c r="LN167" s="1"/>
      <c r="LO167" s="1"/>
      <c r="LP167" s="1"/>
    </row>
    <row r="168" spans="1:328" ht="15" customHeight="1">
      <c r="A168" s="867"/>
      <c r="B168" s="868"/>
      <c r="C168" s="868"/>
      <c r="D168" s="868"/>
      <c r="E168" s="868"/>
      <c r="F168" s="868"/>
      <c r="G168" s="868"/>
      <c r="H168" s="868"/>
      <c r="I168" s="868"/>
      <c r="J168" s="868"/>
      <c r="K168" s="868"/>
      <c r="L168" s="868"/>
      <c r="M168" s="868"/>
      <c r="N168" s="868"/>
      <c r="O168" s="868"/>
      <c r="P168" s="868"/>
      <c r="Q168" s="868"/>
      <c r="R168" s="868"/>
      <c r="S168" s="868"/>
      <c r="T168" s="868"/>
      <c r="U168" s="868"/>
      <c r="V168" s="868"/>
      <c r="W168" s="868"/>
      <c r="X168" s="868"/>
      <c r="Y168" s="868"/>
      <c r="Z168" s="868"/>
      <c r="AA168" s="868"/>
      <c r="AB168" s="868"/>
      <c r="AC168" s="868"/>
      <c r="AD168" s="868"/>
      <c r="AE168" s="868"/>
      <c r="AF168" s="868"/>
      <c r="AG168" s="868"/>
      <c r="AH168" s="868"/>
      <c r="AI168" s="868"/>
      <c r="AJ168" s="868"/>
      <c r="AK168" s="868"/>
      <c r="AL168" s="868"/>
      <c r="AM168" s="868"/>
      <c r="AN168" s="868"/>
      <c r="AO168" s="868"/>
      <c r="AP168" s="868"/>
      <c r="AQ168" s="868"/>
      <c r="AR168" s="869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2"/>
      <c r="BH168" s="2"/>
      <c r="BI168" s="2"/>
      <c r="BJ168" s="2"/>
      <c r="BK168" s="2"/>
      <c r="BL168" s="2"/>
      <c r="BM168" s="2"/>
      <c r="BN168" s="2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  <c r="IX168" s="1"/>
      <c r="IY168" s="1"/>
      <c r="IZ168" s="1"/>
      <c r="JA168" s="1"/>
      <c r="JB168" s="1"/>
      <c r="JC168" s="1"/>
      <c r="JD168" s="1"/>
      <c r="JE168" s="1"/>
      <c r="JF168" s="1"/>
      <c r="JG168" s="1"/>
      <c r="JH168" s="1"/>
      <c r="JI168" s="1"/>
      <c r="JJ168" s="1"/>
      <c r="JK168" s="1"/>
      <c r="JL168" s="1"/>
      <c r="JM168" s="1"/>
      <c r="JN168" s="1"/>
      <c r="JO168" s="1"/>
      <c r="JP168" s="1"/>
      <c r="JQ168" s="1"/>
      <c r="JR168" s="1"/>
      <c r="JS168" s="1"/>
      <c r="JT168" s="1"/>
      <c r="JU168" s="1"/>
      <c r="JV168" s="1"/>
      <c r="JW168" s="1"/>
      <c r="JX168" s="1"/>
      <c r="JY168" s="1"/>
      <c r="JZ168" s="1"/>
      <c r="KA168" s="1"/>
      <c r="KB168" s="1"/>
      <c r="KC168" s="1"/>
      <c r="KD168" s="1"/>
      <c r="KE168" s="1"/>
      <c r="KF168" s="1"/>
      <c r="KG168" s="1"/>
      <c r="KH168" s="1"/>
      <c r="KI168" s="1"/>
      <c r="KJ168" s="1"/>
      <c r="KK168" s="1"/>
      <c r="KL168" s="1"/>
      <c r="KM168" s="1"/>
      <c r="KN168" s="1"/>
      <c r="KO168" s="1"/>
      <c r="KP168" s="1"/>
      <c r="KQ168" s="1"/>
      <c r="KR168" s="1"/>
      <c r="KS168" s="1"/>
      <c r="KT168" s="1"/>
      <c r="KU168" s="1"/>
      <c r="KV168" s="1"/>
      <c r="KW168" s="1"/>
      <c r="KX168" s="1"/>
      <c r="KY168" s="1"/>
      <c r="KZ168" s="1"/>
      <c r="LA168" s="1"/>
      <c r="LB168" s="1"/>
      <c r="LC168" s="1"/>
      <c r="LD168" s="1"/>
      <c r="LE168" s="1"/>
      <c r="LF168" s="1"/>
      <c r="LG168" s="1"/>
      <c r="LH168" s="1"/>
      <c r="LI168" s="1"/>
      <c r="LJ168" s="1"/>
      <c r="LK168" s="1"/>
      <c r="LL168" s="1"/>
      <c r="LM168" s="1"/>
      <c r="LN168" s="1"/>
      <c r="LO168" s="1"/>
      <c r="LP168" s="1"/>
    </row>
    <row r="169" spans="1:328" ht="15" customHeight="1">
      <c r="A169" s="867"/>
      <c r="B169" s="868"/>
      <c r="C169" s="868"/>
      <c r="D169" s="868"/>
      <c r="E169" s="868"/>
      <c r="F169" s="868"/>
      <c r="G169" s="868"/>
      <c r="H169" s="868"/>
      <c r="I169" s="868"/>
      <c r="J169" s="868"/>
      <c r="K169" s="868"/>
      <c r="L169" s="868"/>
      <c r="M169" s="868"/>
      <c r="N169" s="868"/>
      <c r="O169" s="868"/>
      <c r="P169" s="868"/>
      <c r="Q169" s="868"/>
      <c r="R169" s="868"/>
      <c r="S169" s="868"/>
      <c r="T169" s="868"/>
      <c r="U169" s="868"/>
      <c r="V169" s="868"/>
      <c r="W169" s="868"/>
      <c r="X169" s="868"/>
      <c r="Y169" s="868"/>
      <c r="Z169" s="868"/>
      <c r="AA169" s="868"/>
      <c r="AB169" s="868"/>
      <c r="AC169" s="868"/>
      <c r="AD169" s="868"/>
      <c r="AE169" s="868"/>
      <c r="AF169" s="868"/>
      <c r="AG169" s="868"/>
      <c r="AH169" s="868"/>
      <c r="AI169" s="868"/>
      <c r="AJ169" s="868"/>
      <c r="AK169" s="868"/>
      <c r="AL169" s="868"/>
      <c r="AM169" s="868"/>
      <c r="AN169" s="868"/>
      <c r="AO169" s="868"/>
      <c r="AP169" s="868"/>
      <c r="AQ169" s="868"/>
      <c r="AR169" s="869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2"/>
      <c r="BH169" s="2"/>
      <c r="BI169" s="2"/>
      <c r="BJ169" s="2"/>
      <c r="BK169" s="2"/>
      <c r="BL169" s="2"/>
      <c r="BM169" s="2"/>
      <c r="BN169" s="2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  <c r="JA169" s="1"/>
      <c r="JB169" s="1"/>
      <c r="JC169" s="1"/>
      <c r="JD169" s="1"/>
      <c r="JE169" s="1"/>
      <c r="JF169" s="1"/>
      <c r="JG169" s="1"/>
      <c r="JH169" s="1"/>
      <c r="JI169" s="1"/>
      <c r="JJ169" s="1"/>
      <c r="JK169" s="1"/>
      <c r="JL169" s="1"/>
      <c r="JM169" s="1"/>
      <c r="JN169" s="1"/>
      <c r="JO169" s="1"/>
      <c r="JP169" s="1"/>
      <c r="JQ169" s="1"/>
      <c r="JR169" s="1"/>
      <c r="JS169" s="1"/>
      <c r="JT169" s="1"/>
      <c r="JU169" s="1"/>
      <c r="JV169" s="1"/>
      <c r="JW169" s="1"/>
      <c r="JX169" s="1"/>
      <c r="JY169" s="1"/>
      <c r="JZ169" s="1"/>
      <c r="KA169" s="1"/>
      <c r="KB169" s="1"/>
      <c r="KC169" s="1"/>
      <c r="KD169" s="1"/>
      <c r="KE169" s="1"/>
      <c r="KF169" s="1"/>
      <c r="KG169" s="1"/>
      <c r="KH169" s="1"/>
      <c r="KI169" s="1"/>
      <c r="KJ169" s="1"/>
      <c r="KK169" s="1"/>
      <c r="KL169" s="1"/>
      <c r="KM169" s="1"/>
      <c r="KN169" s="1"/>
      <c r="KO169" s="1"/>
      <c r="KP169" s="1"/>
      <c r="KQ169" s="1"/>
      <c r="KR169" s="1"/>
      <c r="KS169" s="1"/>
      <c r="KT169" s="1"/>
      <c r="KU169" s="1"/>
      <c r="KV169" s="1"/>
      <c r="KW169" s="1"/>
      <c r="KX169" s="1"/>
      <c r="KY169" s="1"/>
      <c r="KZ169" s="1"/>
      <c r="LA169" s="1"/>
      <c r="LB169" s="1"/>
      <c r="LC169" s="1"/>
      <c r="LD169" s="1"/>
      <c r="LE169" s="1"/>
      <c r="LF169" s="1"/>
      <c r="LG169" s="1"/>
      <c r="LH169" s="1"/>
      <c r="LI169" s="1"/>
      <c r="LJ169" s="1"/>
      <c r="LK169" s="1"/>
      <c r="LL169" s="1"/>
      <c r="LM169" s="1"/>
      <c r="LN169" s="1"/>
      <c r="LO169" s="1"/>
      <c r="LP169" s="1"/>
    </row>
    <row r="170" spans="1:328" ht="15" customHeight="1">
      <c r="A170" s="867"/>
      <c r="B170" s="868"/>
      <c r="C170" s="868"/>
      <c r="D170" s="868"/>
      <c r="E170" s="868"/>
      <c r="F170" s="868"/>
      <c r="G170" s="868"/>
      <c r="H170" s="868"/>
      <c r="I170" s="868"/>
      <c r="J170" s="868"/>
      <c r="K170" s="868"/>
      <c r="L170" s="868"/>
      <c r="M170" s="868"/>
      <c r="N170" s="868"/>
      <c r="O170" s="868"/>
      <c r="P170" s="868"/>
      <c r="Q170" s="868"/>
      <c r="R170" s="868"/>
      <c r="S170" s="868"/>
      <c r="T170" s="868"/>
      <c r="U170" s="868"/>
      <c r="V170" s="868"/>
      <c r="W170" s="868"/>
      <c r="X170" s="868"/>
      <c r="Y170" s="868"/>
      <c r="Z170" s="868"/>
      <c r="AA170" s="868"/>
      <c r="AB170" s="868"/>
      <c r="AC170" s="868"/>
      <c r="AD170" s="868"/>
      <c r="AE170" s="868"/>
      <c r="AF170" s="868"/>
      <c r="AG170" s="868"/>
      <c r="AH170" s="868"/>
      <c r="AI170" s="868"/>
      <c r="AJ170" s="868"/>
      <c r="AK170" s="868"/>
      <c r="AL170" s="868"/>
      <c r="AM170" s="868"/>
      <c r="AN170" s="868"/>
      <c r="AO170" s="868"/>
      <c r="AP170" s="868"/>
      <c r="AQ170" s="868"/>
      <c r="AR170" s="869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2"/>
      <c r="BH170" s="2"/>
      <c r="BI170" s="2"/>
      <c r="BJ170" s="2"/>
      <c r="BK170" s="2"/>
      <c r="BL170" s="2"/>
      <c r="BM170" s="2"/>
      <c r="BN170" s="2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  <c r="IX170" s="1"/>
      <c r="IY170" s="1"/>
      <c r="IZ170" s="1"/>
      <c r="JA170" s="1"/>
      <c r="JB170" s="1"/>
      <c r="JC170" s="1"/>
      <c r="JD170" s="1"/>
      <c r="JE170" s="1"/>
      <c r="JF170" s="1"/>
      <c r="JG170" s="1"/>
      <c r="JH170" s="1"/>
      <c r="JI170" s="1"/>
      <c r="JJ170" s="1"/>
      <c r="JK170" s="1"/>
      <c r="JL170" s="1"/>
      <c r="JM170" s="1"/>
      <c r="JN170" s="1"/>
      <c r="JO170" s="1"/>
      <c r="JP170" s="1"/>
      <c r="JQ170" s="1"/>
      <c r="JR170" s="1"/>
      <c r="JS170" s="1"/>
      <c r="JT170" s="1"/>
      <c r="JU170" s="1"/>
      <c r="JV170" s="1"/>
      <c r="JW170" s="1"/>
      <c r="JX170" s="1"/>
      <c r="JY170" s="1"/>
      <c r="JZ170" s="1"/>
      <c r="KA170" s="1"/>
      <c r="KB170" s="1"/>
      <c r="KC170" s="1"/>
      <c r="KD170" s="1"/>
      <c r="KE170" s="1"/>
      <c r="KF170" s="1"/>
      <c r="KG170" s="1"/>
      <c r="KH170" s="1"/>
      <c r="KI170" s="1"/>
      <c r="KJ170" s="1"/>
      <c r="KK170" s="1"/>
      <c r="KL170" s="1"/>
      <c r="KM170" s="1"/>
      <c r="KN170" s="1"/>
      <c r="KO170" s="1"/>
      <c r="KP170" s="1"/>
      <c r="KQ170" s="1"/>
      <c r="KR170" s="1"/>
      <c r="KS170" s="1"/>
      <c r="KT170" s="1"/>
      <c r="KU170" s="1"/>
      <c r="KV170" s="1"/>
      <c r="KW170" s="1"/>
      <c r="KX170" s="1"/>
      <c r="KY170" s="1"/>
      <c r="KZ170" s="1"/>
      <c r="LA170" s="1"/>
      <c r="LB170" s="1"/>
      <c r="LC170" s="1"/>
      <c r="LD170" s="1"/>
      <c r="LE170" s="1"/>
      <c r="LF170" s="1"/>
      <c r="LG170" s="1"/>
      <c r="LH170" s="1"/>
      <c r="LI170" s="1"/>
      <c r="LJ170" s="1"/>
      <c r="LK170" s="1"/>
      <c r="LL170" s="1"/>
      <c r="LM170" s="1"/>
      <c r="LN170" s="1"/>
      <c r="LO170" s="1"/>
      <c r="LP170" s="1"/>
    </row>
    <row r="171" spans="1:328" ht="15" customHeight="1">
      <c r="A171" s="867"/>
      <c r="B171" s="868"/>
      <c r="C171" s="868"/>
      <c r="D171" s="868"/>
      <c r="E171" s="868"/>
      <c r="F171" s="868"/>
      <c r="G171" s="868"/>
      <c r="H171" s="868"/>
      <c r="I171" s="868"/>
      <c r="J171" s="868"/>
      <c r="K171" s="868"/>
      <c r="L171" s="868"/>
      <c r="M171" s="868"/>
      <c r="N171" s="868"/>
      <c r="O171" s="868"/>
      <c r="P171" s="868"/>
      <c r="Q171" s="868"/>
      <c r="R171" s="868"/>
      <c r="S171" s="868"/>
      <c r="T171" s="868"/>
      <c r="U171" s="868"/>
      <c r="V171" s="868"/>
      <c r="W171" s="868"/>
      <c r="X171" s="868"/>
      <c r="Y171" s="868"/>
      <c r="Z171" s="868"/>
      <c r="AA171" s="868"/>
      <c r="AB171" s="868"/>
      <c r="AC171" s="868"/>
      <c r="AD171" s="868"/>
      <c r="AE171" s="868"/>
      <c r="AF171" s="868"/>
      <c r="AG171" s="868"/>
      <c r="AH171" s="868"/>
      <c r="AI171" s="868"/>
      <c r="AJ171" s="868"/>
      <c r="AK171" s="868"/>
      <c r="AL171" s="868"/>
      <c r="AM171" s="868"/>
      <c r="AN171" s="868"/>
      <c r="AO171" s="868"/>
      <c r="AP171" s="868"/>
      <c r="AQ171" s="868"/>
      <c r="AR171" s="869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2"/>
      <c r="BH171" s="2"/>
      <c r="BI171" s="2"/>
      <c r="BJ171" s="2"/>
      <c r="BK171" s="2"/>
      <c r="BL171" s="2"/>
      <c r="BM171" s="2"/>
      <c r="BN171" s="2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  <c r="IX171" s="1"/>
      <c r="IY171" s="1"/>
      <c r="IZ171" s="1"/>
      <c r="JA171" s="1"/>
      <c r="JB171" s="1"/>
      <c r="JC171" s="1"/>
      <c r="JD171" s="1"/>
      <c r="JE171" s="1"/>
      <c r="JF171" s="1"/>
      <c r="JG171" s="1"/>
      <c r="JH171" s="1"/>
      <c r="JI171" s="1"/>
      <c r="JJ171" s="1"/>
      <c r="JK171" s="1"/>
      <c r="JL171" s="1"/>
      <c r="JM171" s="1"/>
      <c r="JN171" s="1"/>
      <c r="JO171" s="1"/>
      <c r="JP171" s="1"/>
      <c r="JQ171" s="1"/>
      <c r="JR171" s="1"/>
      <c r="JS171" s="1"/>
      <c r="JT171" s="1"/>
      <c r="JU171" s="1"/>
      <c r="JV171" s="1"/>
      <c r="JW171" s="1"/>
      <c r="JX171" s="1"/>
      <c r="JY171" s="1"/>
      <c r="JZ171" s="1"/>
      <c r="KA171" s="1"/>
      <c r="KB171" s="1"/>
      <c r="KC171" s="1"/>
      <c r="KD171" s="1"/>
      <c r="KE171" s="1"/>
      <c r="KF171" s="1"/>
      <c r="KG171" s="1"/>
      <c r="KH171" s="1"/>
      <c r="KI171" s="1"/>
      <c r="KJ171" s="1"/>
      <c r="KK171" s="1"/>
      <c r="KL171" s="1"/>
      <c r="KM171" s="1"/>
      <c r="KN171" s="1"/>
      <c r="KO171" s="1"/>
      <c r="KP171" s="1"/>
      <c r="KQ171" s="1"/>
      <c r="KR171" s="1"/>
      <c r="KS171" s="1"/>
      <c r="KT171" s="1"/>
      <c r="KU171" s="1"/>
      <c r="KV171" s="1"/>
      <c r="KW171" s="1"/>
      <c r="KX171" s="1"/>
      <c r="KY171" s="1"/>
      <c r="KZ171" s="1"/>
      <c r="LA171" s="1"/>
      <c r="LB171" s="1"/>
      <c r="LC171" s="1"/>
      <c r="LD171" s="1"/>
      <c r="LE171" s="1"/>
      <c r="LF171" s="1"/>
      <c r="LG171" s="1"/>
      <c r="LH171" s="1"/>
      <c r="LI171" s="1"/>
      <c r="LJ171" s="1"/>
      <c r="LK171" s="1"/>
      <c r="LL171" s="1"/>
      <c r="LM171" s="1"/>
      <c r="LN171" s="1"/>
      <c r="LO171" s="1"/>
      <c r="LP171" s="1"/>
    </row>
    <row r="172" spans="1:328" ht="15" customHeight="1">
      <c r="A172" s="867"/>
      <c r="B172" s="868"/>
      <c r="C172" s="868"/>
      <c r="D172" s="868"/>
      <c r="E172" s="868"/>
      <c r="F172" s="868"/>
      <c r="G172" s="868"/>
      <c r="H172" s="868"/>
      <c r="I172" s="868"/>
      <c r="J172" s="868"/>
      <c r="K172" s="868"/>
      <c r="L172" s="868"/>
      <c r="M172" s="868"/>
      <c r="N172" s="868"/>
      <c r="O172" s="868"/>
      <c r="P172" s="868"/>
      <c r="Q172" s="868"/>
      <c r="R172" s="868"/>
      <c r="S172" s="868"/>
      <c r="T172" s="868"/>
      <c r="U172" s="868"/>
      <c r="V172" s="868"/>
      <c r="W172" s="868"/>
      <c r="X172" s="868"/>
      <c r="Y172" s="868"/>
      <c r="Z172" s="868"/>
      <c r="AA172" s="868"/>
      <c r="AB172" s="868"/>
      <c r="AC172" s="868"/>
      <c r="AD172" s="868"/>
      <c r="AE172" s="868"/>
      <c r="AF172" s="868"/>
      <c r="AG172" s="868"/>
      <c r="AH172" s="868"/>
      <c r="AI172" s="868"/>
      <c r="AJ172" s="868"/>
      <c r="AK172" s="868"/>
      <c r="AL172" s="868"/>
      <c r="AM172" s="868"/>
      <c r="AN172" s="868"/>
      <c r="AO172" s="868"/>
      <c r="AP172" s="868"/>
      <c r="AQ172" s="868"/>
      <c r="AR172" s="869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2"/>
      <c r="BH172" s="2"/>
      <c r="BI172" s="2"/>
      <c r="BJ172" s="2"/>
      <c r="BK172" s="2"/>
      <c r="BL172" s="2"/>
      <c r="BM172" s="2"/>
      <c r="BN172" s="2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  <c r="IX172" s="1"/>
      <c r="IY172" s="1"/>
      <c r="IZ172" s="1"/>
      <c r="JA172" s="1"/>
      <c r="JB172" s="1"/>
      <c r="JC172" s="1"/>
      <c r="JD172" s="1"/>
      <c r="JE172" s="1"/>
      <c r="JF172" s="1"/>
      <c r="JG172" s="1"/>
      <c r="JH172" s="1"/>
      <c r="JI172" s="1"/>
      <c r="JJ172" s="1"/>
      <c r="JK172" s="1"/>
      <c r="JL172" s="1"/>
      <c r="JM172" s="1"/>
      <c r="JN172" s="1"/>
      <c r="JO172" s="1"/>
      <c r="JP172" s="1"/>
      <c r="JQ172" s="1"/>
      <c r="JR172" s="1"/>
      <c r="JS172" s="1"/>
      <c r="JT172" s="1"/>
      <c r="JU172" s="1"/>
      <c r="JV172" s="1"/>
      <c r="JW172" s="1"/>
      <c r="JX172" s="1"/>
      <c r="JY172" s="1"/>
      <c r="JZ172" s="1"/>
      <c r="KA172" s="1"/>
      <c r="KB172" s="1"/>
      <c r="KC172" s="1"/>
      <c r="KD172" s="1"/>
      <c r="KE172" s="1"/>
      <c r="KF172" s="1"/>
      <c r="KG172" s="1"/>
      <c r="KH172" s="1"/>
      <c r="KI172" s="1"/>
      <c r="KJ172" s="1"/>
      <c r="KK172" s="1"/>
      <c r="KL172" s="1"/>
      <c r="KM172" s="1"/>
      <c r="KN172" s="1"/>
      <c r="KO172" s="1"/>
      <c r="KP172" s="1"/>
      <c r="KQ172" s="1"/>
      <c r="KR172" s="1"/>
      <c r="KS172" s="1"/>
      <c r="KT172" s="1"/>
      <c r="KU172" s="1"/>
      <c r="KV172" s="1"/>
      <c r="KW172" s="1"/>
      <c r="KX172" s="1"/>
      <c r="KY172" s="1"/>
      <c r="KZ172" s="1"/>
      <c r="LA172" s="1"/>
      <c r="LB172" s="1"/>
      <c r="LC172" s="1"/>
      <c r="LD172" s="1"/>
      <c r="LE172" s="1"/>
      <c r="LF172" s="1"/>
      <c r="LG172" s="1"/>
      <c r="LH172" s="1"/>
      <c r="LI172" s="1"/>
      <c r="LJ172" s="1"/>
      <c r="LK172" s="1"/>
      <c r="LL172" s="1"/>
      <c r="LM172" s="1"/>
      <c r="LN172" s="1"/>
      <c r="LO172" s="1"/>
      <c r="LP172" s="1"/>
    </row>
    <row r="173" spans="1:328" ht="15" customHeight="1">
      <c r="A173" s="867"/>
      <c r="B173" s="868"/>
      <c r="C173" s="868"/>
      <c r="D173" s="868"/>
      <c r="E173" s="868"/>
      <c r="F173" s="868"/>
      <c r="G173" s="868"/>
      <c r="H173" s="868"/>
      <c r="I173" s="868"/>
      <c r="J173" s="868"/>
      <c r="K173" s="868"/>
      <c r="L173" s="868"/>
      <c r="M173" s="868"/>
      <c r="N173" s="868"/>
      <c r="O173" s="868"/>
      <c r="P173" s="868"/>
      <c r="Q173" s="868"/>
      <c r="R173" s="868"/>
      <c r="S173" s="868"/>
      <c r="T173" s="868"/>
      <c r="U173" s="868"/>
      <c r="V173" s="868"/>
      <c r="W173" s="868"/>
      <c r="X173" s="868"/>
      <c r="Y173" s="868"/>
      <c r="Z173" s="868"/>
      <c r="AA173" s="868"/>
      <c r="AB173" s="868"/>
      <c r="AC173" s="868"/>
      <c r="AD173" s="868"/>
      <c r="AE173" s="868"/>
      <c r="AF173" s="868"/>
      <c r="AG173" s="868"/>
      <c r="AH173" s="868"/>
      <c r="AI173" s="868"/>
      <c r="AJ173" s="868"/>
      <c r="AK173" s="868"/>
      <c r="AL173" s="868"/>
      <c r="AM173" s="868"/>
      <c r="AN173" s="868"/>
      <c r="AO173" s="868"/>
      <c r="AP173" s="868"/>
      <c r="AQ173" s="868"/>
      <c r="AR173" s="869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2"/>
      <c r="BH173" s="2"/>
      <c r="BI173" s="2"/>
      <c r="BJ173" s="2"/>
      <c r="BK173" s="2"/>
      <c r="BL173" s="2"/>
      <c r="BM173" s="2"/>
      <c r="BN173" s="2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  <c r="IX173" s="1"/>
      <c r="IY173" s="1"/>
      <c r="IZ173" s="1"/>
      <c r="JA173" s="1"/>
      <c r="JB173" s="1"/>
      <c r="JC173" s="1"/>
      <c r="JD173" s="1"/>
      <c r="JE173" s="1"/>
      <c r="JF173" s="1"/>
      <c r="JG173" s="1"/>
      <c r="JH173" s="1"/>
      <c r="JI173" s="1"/>
      <c r="JJ173" s="1"/>
      <c r="JK173" s="1"/>
      <c r="JL173" s="1"/>
      <c r="JM173" s="1"/>
      <c r="JN173" s="1"/>
      <c r="JO173" s="1"/>
      <c r="JP173" s="1"/>
      <c r="JQ173" s="1"/>
      <c r="JR173" s="1"/>
      <c r="JS173" s="1"/>
      <c r="JT173" s="1"/>
      <c r="JU173" s="1"/>
      <c r="JV173" s="1"/>
      <c r="JW173" s="1"/>
      <c r="JX173" s="1"/>
      <c r="JY173" s="1"/>
      <c r="JZ173" s="1"/>
      <c r="KA173" s="1"/>
      <c r="KB173" s="1"/>
      <c r="KC173" s="1"/>
      <c r="KD173" s="1"/>
      <c r="KE173" s="1"/>
      <c r="KF173" s="1"/>
      <c r="KG173" s="1"/>
      <c r="KH173" s="1"/>
      <c r="KI173" s="1"/>
      <c r="KJ173" s="1"/>
      <c r="KK173" s="1"/>
      <c r="KL173" s="1"/>
      <c r="KM173" s="1"/>
      <c r="KN173" s="1"/>
      <c r="KO173" s="1"/>
      <c r="KP173" s="1"/>
      <c r="KQ173" s="1"/>
      <c r="KR173" s="1"/>
      <c r="KS173" s="1"/>
      <c r="KT173" s="1"/>
      <c r="KU173" s="1"/>
      <c r="KV173" s="1"/>
      <c r="KW173" s="1"/>
      <c r="KX173" s="1"/>
      <c r="KY173" s="1"/>
      <c r="KZ173" s="1"/>
      <c r="LA173" s="1"/>
      <c r="LB173" s="1"/>
      <c r="LC173" s="1"/>
      <c r="LD173" s="1"/>
      <c r="LE173" s="1"/>
      <c r="LF173" s="1"/>
      <c r="LG173" s="1"/>
      <c r="LH173" s="1"/>
      <c r="LI173" s="1"/>
      <c r="LJ173" s="1"/>
      <c r="LK173" s="1"/>
      <c r="LL173" s="1"/>
      <c r="LM173" s="1"/>
      <c r="LN173" s="1"/>
      <c r="LO173" s="1"/>
      <c r="LP173" s="1"/>
    </row>
    <row r="174" spans="1:328" ht="15" customHeight="1">
      <c r="A174" s="867"/>
      <c r="B174" s="868"/>
      <c r="C174" s="868"/>
      <c r="D174" s="868"/>
      <c r="E174" s="868"/>
      <c r="F174" s="868"/>
      <c r="G174" s="868"/>
      <c r="H174" s="868"/>
      <c r="I174" s="868"/>
      <c r="J174" s="868"/>
      <c r="K174" s="868"/>
      <c r="L174" s="868"/>
      <c r="M174" s="868"/>
      <c r="N174" s="868"/>
      <c r="O174" s="868"/>
      <c r="P174" s="868"/>
      <c r="Q174" s="868"/>
      <c r="R174" s="868"/>
      <c r="S174" s="868"/>
      <c r="T174" s="868"/>
      <c r="U174" s="868"/>
      <c r="V174" s="868"/>
      <c r="W174" s="868"/>
      <c r="X174" s="868"/>
      <c r="Y174" s="868"/>
      <c r="Z174" s="868"/>
      <c r="AA174" s="868"/>
      <c r="AB174" s="868"/>
      <c r="AC174" s="868"/>
      <c r="AD174" s="868"/>
      <c r="AE174" s="868"/>
      <c r="AF174" s="868"/>
      <c r="AG174" s="868"/>
      <c r="AH174" s="868"/>
      <c r="AI174" s="868"/>
      <c r="AJ174" s="868"/>
      <c r="AK174" s="868"/>
      <c r="AL174" s="868"/>
      <c r="AM174" s="868"/>
      <c r="AN174" s="868"/>
      <c r="AO174" s="868"/>
      <c r="AP174" s="868"/>
      <c r="AQ174" s="868"/>
      <c r="AR174" s="869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2"/>
      <c r="BH174" s="2"/>
      <c r="BI174" s="2"/>
      <c r="BJ174" s="2"/>
      <c r="BK174" s="2"/>
      <c r="BL174" s="2"/>
      <c r="BM174" s="2"/>
      <c r="BN174" s="2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  <c r="IX174" s="1"/>
      <c r="IY174" s="1"/>
      <c r="IZ174" s="1"/>
      <c r="JA174" s="1"/>
      <c r="JB174" s="1"/>
      <c r="JC174" s="1"/>
      <c r="JD174" s="1"/>
      <c r="JE174" s="1"/>
      <c r="JF174" s="1"/>
      <c r="JG174" s="1"/>
      <c r="JH174" s="1"/>
      <c r="JI174" s="1"/>
      <c r="JJ174" s="1"/>
      <c r="JK174" s="1"/>
      <c r="JL174" s="1"/>
      <c r="JM174" s="1"/>
      <c r="JN174" s="1"/>
      <c r="JO174" s="1"/>
      <c r="JP174" s="1"/>
      <c r="JQ174" s="1"/>
      <c r="JR174" s="1"/>
      <c r="JS174" s="1"/>
      <c r="JT174" s="1"/>
      <c r="JU174" s="1"/>
      <c r="JV174" s="1"/>
      <c r="JW174" s="1"/>
      <c r="JX174" s="1"/>
      <c r="JY174" s="1"/>
      <c r="JZ174" s="1"/>
      <c r="KA174" s="1"/>
      <c r="KB174" s="1"/>
      <c r="KC174" s="1"/>
      <c r="KD174" s="1"/>
      <c r="KE174" s="1"/>
      <c r="KF174" s="1"/>
      <c r="KG174" s="1"/>
      <c r="KH174" s="1"/>
      <c r="KI174" s="1"/>
      <c r="KJ174" s="1"/>
      <c r="KK174" s="1"/>
      <c r="KL174" s="1"/>
      <c r="KM174" s="1"/>
      <c r="KN174" s="1"/>
      <c r="KO174" s="1"/>
      <c r="KP174" s="1"/>
      <c r="KQ174" s="1"/>
      <c r="KR174" s="1"/>
      <c r="KS174" s="1"/>
      <c r="KT174" s="1"/>
      <c r="KU174" s="1"/>
      <c r="KV174" s="1"/>
      <c r="KW174" s="1"/>
      <c r="KX174" s="1"/>
      <c r="KY174" s="1"/>
      <c r="KZ174" s="1"/>
      <c r="LA174" s="1"/>
      <c r="LB174" s="1"/>
      <c r="LC174" s="1"/>
      <c r="LD174" s="1"/>
      <c r="LE174" s="1"/>
      <c r="LF174" s="1"/>
      <c r="LG174" s="1"/>
      <c r="LH174" s="1"/>
      <c r="LI174" s="1"/>
      <c r="LJ174" s="1"/>
      <c r="LK174" s="1"/>
      <c r="LL174" s="1"/>
      <c r="LM174" s="1"/>
      <c r="LN174" s="1"/>
      <c r="LO174" s="1"/>
      <c r="LP174" s="1"/>
    </row>
    <row r="175" spans="1:328" ht="15" customHeight="1">
      <c r="A175" s="867"/>
      <c r="B175" s="868"/>
      <c r="C175" s="868"/>
      <c r="D175" s="868"/>
      <c r="E175" s="868"/>
      <c r="F175" s="868"/>
      <c r="G175" s="868"/>
      <c r="H175" s="868"/>
      <c r="I175" s="868"/>
      <c r="J175" s="868"/>
      <c r="K175" s="868"/>
      <c r="L175" s="868"/>
      <c r="M175" s="868"/>
      <c r="N175" s="868"/>
      <c r="O175" s="868"/>
      <c r="P175" s="868"/>
      <c r="Q175" s="868"/>
      <c r="R175" s="868"/>
      <c r="S175" s="868"/>
      <c r="T175" s="868"/>
      <c r="U175" s="868"/>
      <c r="V175" s="868"/>
      <c r="W175" s="868"/>
      <c r="X175" s="868"/>
      <c r="Y175" s="868"/>
      <c r="Z175" s="868"/>
      <c r="AA175" s="868"/>
      <c r="AB175" s="868"/>
      <c r="AC175" s="868"/>
      <c r="AD175" s="868"/>
      <c r="AE175" s="868"/>
      <c r="AF175" s="868"/>
      <c r="AG175" s="868"/>
      <c r="AH175" s="868"/>
      <c r="AI175" s="868"/>
      <c r="AJ175" s="868"/>
      <c r="AK175" s="868"/>
      <c r="AL175" s="868"/>
      <c r="AM175" s="868"/>
      <c r="AN175" s="868"/>
      <c r="AO175" s="868"/>
      <c r="AP175" s="868"/>
      <c r="AQ175" s="868"/>
      <c r="AR175" s="869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2"/>
      <c r="BH175" s="2"/>
      <c r="BI175" s="2"/>
      <c r="BJ175" s="2"/>
      <c r="BK175" s="2"/>
      <c r="BL175" s="2"/>
      <c r="BM175" s="2"/>
      <c r="BN175" s="2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  <c r="IX175" s="1"/>
      <c r="IY175" s="1"/>
      <c r="IZ175" s="1"/>
      <c r="JA175" s="1"/>
      <c r="JB175" s="1"/>
      <c r="JC175" s="1"/>
      <c r="JD175" s="1"/>
      <c r="JE175" s="1"/>
      <c r="JF175" s="1"/>
      <c r="JG175" s="1"/>
      <c r="JH175" s="1"/>
      <c r="JI175" s="1"/>
      <c r="JJ175" s="1"/>
      <c r="JK175" s="1"/>
      <c r="JL175" s="1"/>
      <c r="JM175" s="1"/>
      <c r="JN175" s="1"/>
      <c r="JO175" s="1"/>
      <c r="JP175" s="1"/>
      <c r="JQ175" s="1"/>
      <c r="JR175" s="1"/>
      <c r="JS175" s="1"/>
      <c r="JT175" s="1"/>
      <c r="JU175" s="1"/>
      <c r="JV175" s="1"/>
      <c r="JW175" s="1"/>
      <c r="JX175" s="1"/>
      <c r="JY175" s="1"/>
      <c r="JZ175" s="1"/>
      <c r="KA175" s="1"/>
      <c r="KB175" s="1"/>
      <c r="KC175" s="1"/>
      <c r="KD175" s="1"/>
      <c r="KE175" s="1"/>
      <c r="KF175" s="1"/>
      <c r="KG175" s="1"/>
      <c r="KH175" s="1"/>
      <c r="KI175" s="1"/>
      <c r="KJ175" s="1"/>
      <c r="KK175" s="1"/>
      <c r="KL175" s="1"/>
      <c r="KM175" s="1"/>
      <c r="KN175" s="1"/>
      <c r="KO175" s="1"/>
      <c r="KP175" s="1"/>
      <c r="KQ175" s="1"/>
      <c r="KR175" s="1"/>
      <c r="KS175" s="1"/>
      <c r="KT175" s="1"/>
      <c r="KU175" s="1"/>
      <c r="KV175" s="1"/>
      <c r="KW175" s="1"/>
      <c r="KX175" s="1"/>
      <c r="KY175" s="1"/>
      <c r="KZ175" s="1"/>
      <c r="LA175" s="1"/>
      <c r="LB175" s="1"/>
      <c r="LC175" s="1"/>
      <c r="LD175" s="1"/>
      <c r="LE175" s="1"/>
      <c r="LF175" s="1"/>
      <c r="LG175" s="1"/>
      <c r="LH175" s="1"/>
      <c r="LI175" s="1"/>
      <c r="LJ175" s="1"/>
      <c r="LK175" s="1"/>
      <c r="LL175" s="1"/>
      <c r="LM175" s="1"/>
      <c r="LN175" s="1"/>
      <c r="LO175" s="1"/>
      <c r="LP175" s="1"/>
    </row>
    <row r="176" spans="1:328" ht="15" customHeight="1">
      <c r="A176" s="867"/>
      <c r="B176" s="868"/>
      <c r="C176" s="868"/>
      <c r="D176" s="868"/>
      <c r="E176" s="868"/>
      <c r="F176" s="868"/>
      <c r="G176" s="868"/>
      <c r="H176" s="868"/>
      <c r="I176" s="868"/>
      <c r="J176" s="868"/>
      <c r="K176" s="868"/>
      <c r="L176" s="868"/>
      <c r="M176" s="868"/>
      <c r="N176" s="868"/>
      <c r="O176" s="868"/>
      <c r="P176" s="868"/>
      <c r="Q176" s="868"/>
      <c r="R176" s="868"/>
      <c r="S176" s="868"/>
      <c r="T176" s="868"/>
      <c r="U176" s="868"/>
      <c r="V176" s="868"/>
      <c r="W176" s="868"/>
      <c r="X176" s="868"/>
      <c r="Y176" s="868"/>
      <c r="Z176" s="868"/>
      <c r="AA176" s="868"/>
      <c r="AB176" s="868"/>
      <c r="AC176" s="868"/>
      <c r="AD176" s="868"/>
      <c r="AE176" s="868"/>
      <c r="AF176" s="868"/>
      <c r="AG176" s="868"/>
      <c r="AH176" s="868"/>
      <c r="AI176" s="868"/>
      <c r="AJ176" s="868"/>
      <c r="AK176" s="868"/>
      <c r="AL176" s="868"/>
      <c r="AM176" s="868"/>
      <c r="AN176" s="868"/>
      <c r="AO176" s="868"/>
      <c r="AP176" s="868"/>
      <c r="AQ176" s="868"/>
      <c r="AR176" s="869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2"/>
      <c r="BH176" s="2"/>
      <c r="BI176" s="2"/>
      <c r="BJ176" s="2"/>
      <c r="BK176" s="2"/>
      <c r="BL176" s="2"/>
      <c r="BM176" s="2"/>
      <c r="BN176" s="2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  <c r="IY176" s="1"/>
      <c r="IZ176" s="1"/>
      <c r="JA176" s="1"/>
      <c r="JB176" s="1"/>
      <c r="JC176" s="1"/>
      <c r="JD176" s="1"/>
      <c r="JE176" s="1"/>
      <c r="JF176" s="1"/>
      <c r="JG176" s="1"/>
      <c r="JH176" s="1"/>
      <c r="JI176" s="1"/>
      <c r="JJ176" s="1"/>
      <c r="JK176" s="1"/>
      <c r="JL176" s="1"/>
      <c r="JM176" s="1"/>
      <c r="JN176" s="1"/>
      <c r="JO176" s="1"/>
      <c r="JP176" s="1"/>
      <c r="JQ176" s="1"/>
      <c r="JR176" s="1"/>
      <c r="JS176" s="1"/>
      <c r="JT176" s="1"/>
      <c r="JU176" s="1"/>
      <c r="JV176" s="1"/>
      <c r="JW176" s="1"/>
      <c r="JX176" s="1"/>
      <c r="JY176" s="1"/>
      <c r="JZ176" s="1"/>
      <c r="KA176" s="1"/>
      <c r="KB176" s="1"/>
      <c r="KC176" s="1"/>
      <c r="KD176" s="1"/>
      <c r="KE176" s="1"/>
      <c r="KF176" s="1"/>
      <c r="KG176" s="1"/>
      <c r="KH176" s="1"/>
      <c r="KI176" s="1"/>
      <c r="KJ176" s="1"/>
      <c r="KK176" s="1"/>
      <c r="KL176" s="1"/>
      <c r="KM176" s="1"/>
      <c r="KN176" s="1"/>
      <c r="KO176" s="1"/>
      <c r="KP176" s="1"/>
      <c r="KQ176" s="1"/>
      <c r="KR176" s="1"/>
      <c r="KS176" s="1"/>
      <c r="KT176" s="1"/>
      <c r="KU176" s="1"/>
      <c r="KV176" s="1"/>
      <c r="KW176" s="1"/>
      <c r="KX176" s="1"/>
      <c r="KY176" s="1"/>
      <c r="KZ176" s="1"/>
      <c r="LA176" s="1"/>
      <c r="LB176" s="1"/>
      <c r="LC176" s="1"/>
      <c r="LD176" s="1"/>
      <c r="LE176" s="1"/>
      <c r="LF176" s="1"/>
      <c r="LG176" s="1"/>
      <c r="LH176" s="1"/>
      <c r="LI176" s="1"/>
      <c r="LJ176" s="1"/>
      <c r="LK176" s="1"/>
      <c r="LL176" s="1"/>
      <c r="LM176" s="1"/>
      <c r="LN176" s="1"/>
      <c r="LO176" s="1"/>
      <c r="LP176" s="1"/>
    </row>
    <row r="177" spans="1:328" ht="15" customHeight="1">
      <c r="A177" s="867"/>
      <c r="B177" s="868"/>
      <c r="C177" s="868"/>
      <c r="D177" s="868"/>
      <c r="E177" s="868"/>
      <c r="F177" s="868"/>
      <c r="G177" s="868"/>
      <c r="H177" s="868"/>
      <c r="I177" s="868"/>
      <c r="J177" s="868"/>
      <c r="K177" s="868"/>
      <c r="L177" s="868"/>
      <c r="M177" s="868"/>
      <c r="N177" s="868"/>
      <c r="O177" s="868"/>
      <c r="P177" s="868"/>
      <c r="Q177" s="868"/>
      <c r="R177" s="868"/>
      <c r="S177" s="868"/>
      <c r="T177" s="868"/>
      <c r="U177" s="868"/>
      <c r="V177" s="868"/>
      <c r="W177" s="868"/>
      <c r="X177" s="868"/>
      <c r="Y177" s="868"/>
      <c r="Z177" s="868"/>
      <c r="AA177" s="868"/>
      <c r="AB177" s="868"/>
      <c r="AC177" s="868"/>
      <c r="AD177" s="868"/>
      <c r="AE177" s="868"/>
      <c r="AF177" s="868"/>
      <c r="AG177" s="868"/>
      <c r="AH177" s="868"/>
      <c r="AI177" s="868"/>
      <c r="AJ177" s="868"/>
      <c r="AK177" s="868"/>
      <c r="AL177" s="868"/>
      <c r="AM177" s="868"/>
      <c r="AN177" s="868"/>
      <c r="AO177" s="868"/>
      <c r="AP177" s="868"/>
      <c r="AQ177" s="868"/>
      <c r="AR177" s="869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2"/>
      <c r="BH177" s="2"/>
      <c r="BI177" s="2"/>
      <c r="BJ177" s="2"/>
      <c r="BK177" s="2"/>
      <c r="BL177" s="2"/>
      <c r="BM177" s="2"/>
      <c r="BN177" s="2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  <c r="JA177" s="1"/>
      <c r="JB177" s="1"/>
      <c r="JC177" s="1"/>
      <c r="JD177" s="1"/>
      <c r="JE177" s="1"/>
      <c r="JF177" s="1"/>
      <c r="JG177" s="1"/>
      <c r="JH177" s="1"/>
      <c r="JI177" s="1"/>
      <c r="JJ177" s="1"/>
      <c r="JK177" s="1"/>
      <c r="JL177" s="1"/>
      <c r="JM177" s="1"/>
      <c r="JN177" s="1"/>
      <c r="JO177" s="1"/>
      <c r="JP177" s="1"/>
      <c r="JQ177" s="1"/>
      <c r="JR177" s="1"/>
      <c r="JS177" s="1"/>
      <c r="JT177" s="1"/>
      <c r="JU177" s="1"/>
      <c r="JV177" s="1"/>
      <c r="JW177" s="1"/>
      <c r="JX177" s="1"/>
      <c r="JY177" s="1"/>
      <c r="JZ177" s="1"/>
      <c r="KA177" s="1"/>
      <c r="KB177" s="1"/>
      <c r="KC177" s="1"/>
      <c r="KD177" s="1"/>
      <c r="KE177" s="1"/>
      <c r="KF177" s="1"/>
      <c r="KG177" s="1"/>
      <c r="KH177" s="1"/>
      <c r="KI177" s="1"/>
      <c r="KJ177" s="1"/>
      <c r="KK177" s="1"/>
      <c r="KL177" s="1"/>
      <c r="KM177" s="1"/>
      <c r="KN177" s="1"/>
      <c r="KO177" s="1"/>
      <c r="KP177" s="1"/>
      <c r="KQ177" s="1"/>
      <c r="KR177" s="1"/>
      <c r="KS177" s="1"/>
      <c r="KT177" s="1"/>
      <c r="KU177" s="1"/>
      <c r="KV177" s="1"/>
      <c r="KW177" s="1"/>
      <c r="KX177" s="1"/>
      <c r="KY177" s="1"/>
      <c r="KZ177" s="1"/>
      <c r="LA177" s="1"/>
      <c r="LB177" s="1"/>
      <c r="LC177" s="1"/>
      <c r="LD177" s="1"/>
      <c r="LE177" s="1"/>
      <c r="LF177" s="1"/>
      <c r="LG177" s="1"/>
      <c r="LH177" s="1"/>
      <c r="LI177" s="1"/>
      <c r="LJ177" s="1"/>
      <c r="LK177" s="1"/>
      <c r="LL177" s="1"/>
      <c r="LM177" s="1"/>
      <c r="LN177" s="1"/>
      <c r="LO177" s="1"/>
      <c r="LP177" s="1"/>
    </row>
    <row r="178" spans="1:328" ht="15" customHeight="1">
      <c r="A178" s="867"/>
      <c r="B178" s="868"/>
      <c r="C178" s="868"/>
      <c r="D178" s="868"/>
      <c r="E178" s="868"/>
      <c r="F178" s="868"/>
      <c r="G178" s="868"/>
      <c r="H178" s="868"/>
      <c r="I178" s="868"/>
      <c r="J178" s="868"/>
      <c r="K178" s="868"/>
      <c r="L178" s="868"/>
      <c r="M178" s="868"/>
      <c r="N178" s="868"/>
      <c r="O178" s="868"/>
      <c r="P178" s="868"/>
      <c r="Q178" s="868"/>
      <c r="R178" s="868"/>
      <c r="S178" s="868"/>
      <c r="T178" s="868"/>
      <c r="U178" s="868"/>
      <c r="V178" s="868"/>
      <c r="W178" s="868"/>
      <c r="X178" s="868"/>
      <c r="Y178" s="868"/>
      <c r="Z178" s="868"/>
      <c r="AA178" s="868"/>
      <c r="AB178" s="868"/>
      <c r="AC178" s="868"/>
      <c r="AD178" s="868"/>
      <c r="AE178" s="868"/>
      <c r="AF178" s="868"/>
      <c r="AG178" s="868"/>
      <c r="AH178" s="868"/>
      <c r="AI178" s="868"/>
      <c r="AJ178" s="868"/>
      <c r="AK178" s="868"/>
      <c r="AL178" s="868"/>
      <c r="AM178" s="868"/>
      <c r="AN178" s="868"/>
      <c r="AO178" s="868"/>
      <c r="AP178" s="868"/>
      <c r="AQ178" s="868"/>
      <c r="AR178" s="869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2"/>
      <c r="BH178" s="2"/>
      <c r="BI178" s="2"/>
      <c r="BJ178" s="2"/>
      <c r="BK178" s="2"/>
      <c r="BL178" s="2"/>
      <c r="BM178" s="2"/>
      <c r="BN178" s="2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  <c r="IX178" s="1"/>
      <c r="IY178" s="1"/>
      <c r="IZ178" s="1"/>
      <c r="JA178" s="1"/>
      <c r="JB178" s="1"/>
      <c r="JC178" s="1"/>
      <c r="JD178" s="1"/>
      <c r="JE178" s="1"/>
      <c r="JF178" s="1"/>
      <c r="JG178" s="1"/>
      <c r="JH178" s="1"/>
      <c r="JI178" s="1"/>
      <c r="JJ178" s="1"/>
      <c r="JK178" s="1"/>
      <c r="JL178" s="1"/>
      <c r="JM178" s="1"/>
      <c r="JN178" s="1"/>
      <c r="JO178" s="1"/>
      <c r="JP178" s="1"/>
      <c r="JQ178" s="1"/>
      <c r="JR178" s="1"/>
      <c r="JS178" s="1"/>
      <c r="JT178" s="1"/>
      <c r="JU178" s="1"/>
      <c r="JV178" s="1"/>
      <c r="JW178" s="1"/>
      <c r="JX178" s="1"/>
      <c r="JY178" s="1"/>
      <c r="JZ178" s="1"/>
      <c r="KA178" s="1"/>
      <c r="KB178" s="1"/>
      <c r="KC178" s="1"/>
      <c r="KD178" s="1"/>
      <c r="KE178" s="1"/>
      <c r="KF178" s="1"/>
      <c r="KG178" s="1"/>
      <c r="KH178" s="1"/>
      <c r="KI178" s="1"/>
      <c r="KJ178" s="1"/>
      <c r="KK178" s="1"/>
      <c r="KL178" s="1"/>
      <c r="KM178" s="1"/>
      <c r="KN178" s="1"/>
      <c r="KO178" s="1"/>
      <c r="KP178" s="1"/>
      <c r="KQ178" s="1"/>
      <c r="KR178" s="1"/>
      <c r="KS178" s="1"/>
      <c r="KT178" s="1"/>
      <c r="KU178" s="1"/>
      <c r="KV178" s="1"/>
      <c r="KW178" s="1"/>
      <c r="KX178" s="1"/>
      <c r="KY178" s="1"/>
      <c r="KZ178" s="1"/>
      <c r="LA178" s="1"/>
      <c r="LB178" s="1"/>
      <c r="LC178" s="1"/>
      <c r="LD178" s="1"/>
      <c r="LE178" s="1"/>
      <c r="LF178" s="1"/>
      <c r="LG178" s="1"/>
      <c r="LH178" s="1"/>
      <c r="LI178" s="1"/>
      <c r="LJ178" s="1"/>
      <c r="LK178" s="1"/>
      <c r="LL178" s="1"/>
      <c r="LM178" s="1"/>
      <c r="LN178" s="1"/>
      <c r="LO178" s="1"/>
      <c r="LP178" s="1"/>
    </row>
    <row r="179" spans="1:328" ht="15" customHeight="1">
      <c r="A179" s="867"/>
      <c r="B179" s="868"/>
      <c r="C179" s="868"/>
      <c r="D179" s="868"/>
      <c r="E179" s="868"/>
      <c r="F179" s="868"/>
      <c r="G179" s="868"/>
      <c r="H179" s="868"/>
      <c r="I179" s="868"/>
      <c r="J179" s="868"/>
      <c r="K179" s="868"/>
      <c r="L179" s="868"/>
      <c r="M179" s="868"/>
      <c r="N179" s="868"/>
      <c r="O179" s="868"/>
      <c r="P179" s="868"/>
      <c r="Q179" s="868"/>
      <c r="R179" s="868"/>
      <c r="S179" s="868"/>
      <c r="T179" s="868"/>
      <c r="U179" s="868"/>
      <c r="V179" s="868"/>
      <c r="W179" s="868"/>
      <c r="X179" s="868"/>
      <c r="Y179" s="868"/>
      <c r="Z179" s="868"/>
      <c r="AA179" s="868"/>
      <c r="AB179" s="868"/>
      <c r="AC179" s="868"/>
      <c r="AD179" s="868"/>
      <c r="AE179" s="868"/>
      <c r="AF179" s="868"/>
      <c r="AG179" s="868"/>
      <c r="AH179" s="868"/>
      <c r="AI179" s="868"/>
      <c r="AJ179" s="868"/>
      <c r="AK179" s="868"/>
      <c r="AL179" s="868"/>
      <c r="AM179" s="868"/>
      <c r="AN179" s="868"/>
      <c r="AO179" s="868"/>
      <c r="AP179" s="868"/>
      <c r="AQ179" s="868"/>
      <c r="AR179" s="869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2"/>
      <c r="BH179" s="2"/>
      <c r="BI179" s="2"/>
      <c r="BJ179" s="2"/>
      <c r="BK179" s="2"/>
      <c r="BL179" s="2"/>
      <c r="BM179" s="2"/>
      <c r="BN179" s="2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  <c r="IX179" s="1"/>
      <c r="IY179" s="1"/>
      <c r="IZ179" s="1"/>
      <c r="JA179" s="1"/>
      <c r="JB179" s="1"/>
      <c r="JC179" s="1"/>
      <c r="JD179" s="1"/>
      <c r="JE179" s="1"/>
      <c r="JF179" s="1"/>
      <c r="JG179" s="1"/>
      <c r="JH179" s="1"/>
      <c r="JI179" s="1"/>
      <c r="JJ179" s="1"/>
      <c r="JK179" s="1"/>
      <c r="JL179" s="1"/>
      <c r="JM179" s="1"/>
      <c r="JN179" s="1"/>
      <c r="JO179" s="1"/>
      <c r="JP179" s="1"/>
      <c r="JQ179" s="1"/>
      <c r="JR179" s="1"/>
      <c r="JS179" s="1"/>
      <c r="JT179" s="1"/>
      <c r="JU179" s="1"/>
      <c r="JV179" s="1"/>
      <c r="JW179" s="1"/>
      <c r="JX179" s="1"/>
      <c r="JY179" s="1"/>
      <c r="JZ179" s="1"/>
      <c r="KA179" s="1"/>
      <c r="KB179" s="1"/>
      <c r="KC179" s="1"/>
      <c r="KD179" s="1"/>
      <c r="KE179" s="1"/>
      <c r="KF179" s="1"/>
      <c r="KG179" s="1"/>
      <c r="KH179" s="1"/>
      <c r="KI179" s="1"/>
      <c r="KJ179" s="1"/>
      <c r="KK179" s="1"/>
      <c r="KL179" s="1"/>
      <c r="KM179" s="1"/>
      <c r="KN179" s="1"/>
      <c r="KO179" s="1"/>
      <c r="KP179" s="1"/>
      <c r="KQ179" s="1"/>
      <c r="KR179" s="1"/>
      <c r="KS179" s="1"/>
      <c r="KT179" s="1"/>
      <c r="KU179" s="1"/>
      <c r="KV179" s="1"/>
      <c r="KW179" s="1"/>
      <c r="KX179" s="1"/>
      <c r="KY179" s="1"/>
      <c r="KZ179" s="1"/>
      <c r="LA179" s="1"/>
      <c r="LB179" s="1"/>
      <c r="LC179" s="1"/>
      <c r="LD179" s="1"/>
      <c r="LE179" s="1"/>
      <c r="LF179" s="1"/>
      <c r="LG179" s="1"/>
      <c r="LH179" s="1"/>
      <c r="LI179" s="1"/>
      <c r="LJ179" s="1"/>
      <c r="LK179" s="1"/>
      <c r="LL179" s="1"/>
      <c r="LM179" s="1"/>
      <c r="LN179" s="1"/>
      <c r="LO179" s="1"/>
      <c r="LP179" s="1"/>
    </row>
    <row r="180" spans="1:328" ht="15" customHeight="1">
      <c r="A180" s="867"/>
      <c r="B180" s="868"/>
      <c r="C180" s="868"/>
      <c r="D180" s="868"/>
      <c r="E180" s="868"/>
      <c r="F180" s="868"/>
      <c r="G180" s="868"/>
      <c r="H180" s="868"/>
      <c r="I180" s="868"/>
      <c r="J180" s="868"/>
      <c r="K180" s="868"/>
      <c r="L180" s="868"/>
      <c r="M180" s="868"/>
      <c r="N180" s="868"/>
      <c r="O180" s="868"/>
      <c r="P180" s="868"/>
      <c r="Q180" s="868"/>
      <c r="R180" s="868"/>
      <c r="S180" s="868"/>
      <c r="T180" s="868"/>
      <c r="U180" s="868"/>
      <c r="V180" s="868"/>
      <c r="W180" s="868"/>
      <c r="X180" s="868"/>
      <c r="Y180" s="868"/>
      <c r="Z180" s="868"/>
      <c r="AA180" s="868"/>
      <c r="AB180" s="868"/>
      <c r="AC180" s="868"/>
      <c r="AD180" s="868"/>
      <c r="AE180" s="868"/>
      <c r="AF180" s="868"/>
      <c r="AG180" s="868"/>
      <c r="AH180" s="868"/>
      <c r="AI180" s="868"/>
      <c r="AJ180" s="868"/>
      <c r="AK180" s="868"/>
      <c r="AL180" s="868"/>
      <c r="AM180" s="868"/>
      <c r="AN180" s="868"/>
      <c r="AO180" s="868"/>
      <c r="AP180" s="868"/>
      <c r="AQ180" s="868"/>
      <c r="AR180" s="869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2"/>
      <c r="BH180" s="2"/>
      <c r="BI180" s="2"/>
      <c r="BJ180" s="2"/>
      <c r="BK180" s="2"/>
      <c r="BL180" s="2"/>
      <c r="BM180" s="2"/>
      <c r="BN180" s="2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  <c r="IZ180" s="1"/>
      <c r="JA180" s="1"/>
      <c r="JB180" s="1"/>
      <c r="JC180" s="1"/>
      <c r="JD180" s="1"/>
      <c r="JE180" s="1"/>
      <c r="JF180" s="1"/>
      <c r="JG180" s="1"/>
      <c r="JH180" s="1"/>
      <c r="JI180" s="1"/>
      <c r="JJ180" s="1"/>
      <c r="JK180" s="1"/>
      <c r="JL180" s="1"/>
      <c r="JM180" s="1"/>
      <c r="JN180" s="1"/>
      <c r="JO180" s="1"/>
      <c r="JP180" s="1"/>
      <c r="JQ180" s="1"/>
      <c r="JR180" s="1"/>
      <c r="JS180" s="1"/>
      <c r="JT180" s="1"/>
      <c r="JU180" s="1"/>
      <c r="JV180" s="1"/>
      <c r="JW180" s="1"/>
      <c r="JX180" s="1"/>
      <c r="JY180" s="1"/>
      <c r="JZ180" s="1"/>
      <c r="KA180" s="1"/>
      <c r="KB180" s="1"/>
      <c r="KC180" s="1"/>
      <c r="KD180" s="1"/>
      <c r="KE180" s="1"/>
      <c r="KF180" s="1"/>
      <c r="KG180" s="1"/>
      <c r="KH180" s="1"/>
      <c r="KI180" s="1"/>
      <c r="KJ180" s="1"/>
      <c r="KK180" s="1"/>
      <c r="KL180" s="1"/>
      <c r="KM180" s="1"/>
      <c r="KN180" s="1"/>
      <c r="KO180" s="1"/>
      <c r="KP180" s="1"/>
      <c r="KQ180" s="1"/>
      <c r="KR180" s="1"/>
      <c r="KS180" s="1"/>
      <c r="KT180" s="1"/>
      <c r="KU180" s="1"/>
      <c r="KV180" s="1"/>
      <c r="KW180" s="1"/>
      <c r="KX180" s="1"/>
      <c r="KY180" s="1"/>
      <c r="KZ180" s="1"/>
      <c r="LA180" s="1"/>
      <c r="LB180" s="1"/>
      <c r="LC180" s="1"/>
      <c r="LD180" s="1"/>
      <c r="LE180" s="1"/>
      <c r="LF180" s="1"/>
      <c r="LG180" s="1"/>
      <c r="LH180" s="1"/>
      <c r="LI180" s="1"/>
      <c r="LJ180" s="1"/>
      <c r="LK180" s="1"/>
      <c r="LL180" s="1"/>
      <c r="LM180" s="1"/>
      <c r="LN180" s="1"/>
      <c r="LO180" s="1"/>
      <c r="LP180" s="1"/>
    </row>
    <row r="181" spans="1:328" ht="15" customHeight="1">
      <c r="A181" s="867"/>
      <c r="B181" s="868"/>
      <c r="C181" s="868"/>
      <c r="D181" s="868"/>
      <c r="E181" s="868"/>
      <c r="F181" s="868"/>
      <c r="G181" s="868"/>
      <c r="H181" s="868"/>
      <c r="I181" s="868"/>
      <c r="J181" s="868"/>
      <c r="K181" s="868"/>
      <c r="L181" s="868"/>
      <c r="M181" s="868"/>
      <c r="N181" s="868"/>
      <c r="O181" s="868"/>
      <c r="P181" s="868"/>
      <c r="Q181" s="868"/>
      <c r="R181" s="868"/>
      <c r="S181" s="868"/>
      <c r="T181" s="868"/>
      <c r="U181" s="868"/>
      <c r="V181" s="868"/>
      <c r="W181" s="868"/>
      <c r="X181" s="868"/>
      <c r="Y181" s="868"/>
      <c r="Z181" s="868"/>
      <c r="AA181" s="868"/>
      <c r="AB181" s="868"/>
      <c r="AC181" s="868"/>
      <c r="AD181" s="868"/>
      <c r="AE181" s="868"/>
      <c r="AF181" s="868"/>
      <c r="AG181" s="868"/>
      <c r="AH181" s="868"/>
      <c r="AI181" s="868"/>
      <c r="AJ181" s="868"/>
      <c r="AK181" s="868"/>
      <c r="AL181" s="868"/>
      <c r="AM181" s="868"/>
      <c r="AN181" s="868"/>
      <c r="AO181" s="868"/>
      <c r="AP181" s="868"/>
      <c r="AQ181" s="868"/>
      <c r="AR181" s="869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2"/>
      <c r="BH181" s="2"/>
      <c r="BI181" s="2"/>
      <c r="BJ181" s="2"/>
      <c r="BK181" s="2"/>
      <c r="BL181" s="2"/>
      <c r="BM181" s="2"/>
      <c r="BN181" s="2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  <c r="IX181" s="1"/>
      <c r="IY181" s="1"/>
      <c r="IZ181" s="1"/>
      <c r="JA181" s="1"/>
      <c r="JB181" s="1"/>
      <c r="JC181" s="1"/>
      <c r="JD181" s="1"/>
      <c r="JE181" s="1"/>
      <c r="JF181" s="1"/>
      <c r="JG181" s="1"/>
      <c r="JH181" s="1"/>
      <c r="JI181" s="1"/>
      <c r="JJ181" s="1"/>
      <c r="JK181" s="1"/>
      <c r="JL181" s="1"/>
      <c r="JM181" s="1"/>
      <c r="JN181" s="1"/>
      <c r="JO181" s="1"/>
      <c r="JP181" s="1"/>
      <c r="JQ181" s="1"/>
      <c r="JR181" s="1"/>
      <c r="JS181" s="1"/>
      <c r="JT181" s="1"/>
      <c r="JU181" s="1"/>
      <c r="JV181" s="1"/>
      <c r="JW181" s="1"/>
      <c r="JX181" s="1"/>
      <c r="JY181" s="1"/>
      <c r="JZ181" s="1"/>
      <c r="KA181" s="1"/>
      <c r="KB181" s="1"/>
      <c r="KC181" s="1"/>
      <c r="KD181" s="1"/>
      <c r="KE181" s="1"/>
      <c r="KF181" s="1"/>
      <c r="KG181" s="1"/>
      <c r="KH181" s="1"/>
      <c r="KI181" s="1"/>
      <c r="KJ181" s="1"/>
      <c r="KK181" s="1"/>
      <c r="KL181" s="1"/>
      <c r="KM181" s="1"/>
      <c r="KN181" s="1"/>
      <c r="KO181" s="1"/>
      <c r="KP181" s="1"/>
      <c r="KQ181" s="1"/>
      <c r="KR181" s="1"/>
      <c r="KS181" s="1"/>
      <c r="KT181" s="1"/>
      <c r="KU181" s="1"/>
      <c r="KV181" s="1"/>
      <c r="KW181" s="1"/>
      <c r="KX181" s="1"/>
      <c r="KY181" s="1"/>
      <c r="KZ181" s="1"/>
      <c r="LA181" s="1"/>
      <c r="LB181" s="1"/>
      <c r="LC181" s="1"/>
      <c r="LD181" s="1"/>
      <c r="LE181" s="1"/>
      <c r="LF181" s="1"/>
      <c r="LG181" s="1"/>
      <c r="LH181" s="1"/>
      <c r="LI181" s="1"/>
      <c r="LJ181" s="1"/>
      <c r="LK181" s="1"/>
      <c r="LL181" s="1"/>
      <c r="LM181" s="1"/>
      <c r="LN181" s="1"/>
      <c r="LO181" s="1"/>
      <c r="LP181" s="1"/>
    </row>
    <row r="182" spans="1:328" ht="15" customHeight="1">
      <c r="A182" s="867"/>
      <c r="B182" s="868"/>
      <c r="C182" s="868"/>
      <c r="D182" s="868"/>
      <c r="E182" s="868"/>
      <c r="F182" s="868"/>
      <c r="G182" s="868"/>
      <c r="H182" s="868"/>
      <c r="I182" s="868"/>
      <c r="J182" s="868"/>
      <c r="K182" s="868"/>
      <c r="L182" s="868"/>
      <c r="M182" s="868"/>
      <c r="N182" s="868"/>
      <c r="O182" s="868"/>
      <c r="P182" s="868"/>
      <c r="Q182" s="868"/>
      <c r="R182" s="868"/>
      <c r="S182" s="868"/>
      <c r="T182" s="868"/>
      <c r="U182" s="868"/>
      <c r="V182" s="868"/>
      <c r="W182" s="868"/>
      <c r="X182" s="868"/>
      <c r="Y182" s="868"/>
      <c r="Z182" s="868"/>
      <c r="AA182" s="868"/>
      <c r="AB182" s="868"/>
      <c r="AC182" s="868"/>
      <c r="AD182" s="868"/>
      <c r="AE182" s="868"/>
      <c r="AF182" s="868"/>
      <c r="AG182" s="868"/>
      <c r="AH182" s="868"/>
      <c r="AI182" s="868"/>
      <c r="AJ182" s="868"/>
      <c r="AK182" s="868"/>
      <c r="AL182" s="868"/>
      <c r="AM182" s="868"/>
      <c r="AN182" s="868"/>
      <c r="AO182" s="868"/>
      <c r="AP182" s="868"/>
      <c r="AQ182" s="868"/>
      <c r="AR182" s="869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2"/>
      <c r="BH182" s="2"/>
      <c r="BI182" s="2"/>
      <c r="BJ182" s="2"/>
      <c r="BK182" s="2"/>
      <c r="BL182" s="2"/>
      <c r="BM182" s="2"/>
      <c r="BN182" s="2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  <c r="JL182" s="1"/>
      <c r="JM182" s="1"/>
      <c r="JN182" s="1"/>
      <c r="JO182" s="1"/>
      <c r="JP182" s="1"/>
      <c r="JQ182" s="1"/>
      <c r="JR182" s="1"/>
      <c r="JS182" s="1"/>
      <c r="JT182" s="1"/>
      <c r="JU182" s="1"/>
      <c r="JV182" s="1"/>
      <c r="JW182" s="1"/>
      <c r="JX182" s="1"/>
      <c r="JY182" s="1"/>
      <c r="JZ182" s="1"/>
      <c r="KA182" s="1"/>
      <c r="KB182" s="1"/>
      <c r="KC182" s="1"/>
      <c r="KD182" s="1"/>
      <c r="KE182" s="1"/>
      <c r="KF182" s="1"/>
      <c r="KG182" s="1"/>
      <c r="KH182" s="1"/>
      <c r="KI182" s="1"/>
      <c r="KJ182" s="1"/>
      <c r="KK182" s="1"/>
      <c r="KL182" s="1"/>
      <c r="KM182" s="1"/>
      <c r="KN182" s="1"/>
      <c r="KO182" s="1"/>
      <c r="KP182" s="1"/>
      <c r="KQ182" s="1"/>
      <c r="KR182" s="1"/>
      <c r="KS182" s="1"/>
      <c r="KT182" s="1"/>
      <c r="KU182" s="1"/>
      <c r="KV182" s="1"/>
      <c r="KW182" s="1"/>
      <c r="KX182" s="1"/>
      <c r="KY182" s="1"/>
      <c r="KZ182" s="1"/>
      <c r="LA182" s="1"/>
      <c r="LB182" s="1"/>
      <c r="LC182" s="1"/>
      <c r="LD182" s="1"/>
      <c r="LE182" s="1"/>
      <c r="LF182" s="1"/>
      <c r="LG182" s="1"/>
      <c r="LH182" s="1"/>
      <c r="LI182" s="1"/>
      <c r="LJ182" s="1"/>
      <c r="LK182" s="1"/>
      <c r="LL182" s="1"/>
      <c r="LM182" s="1"/>
      <c r="LN182" s="1"/>
      <c r="LO182" s="1"/>
      <c r="LP182" s="1"/>
    </row>
    <row r="183" spans="1:328" ht="15" customHeight="1">
      <c r="A183" s="867"/>
      <c r="B183" s="868"/>
      <c r="C183" s="868"/>
      <c r="D183" s="868"/>
      <c r="E183" s="868"/>
      <c r="F183" s="868"/>
      <c r="G183" s="868"/>
      <c r="H183" s="868"/>
      <c r="I183" s="868"/>
      <c r="J183" s="868"/>
      <c r="K183" s="868"/>
      <c r="L183" s="868"/>
      <c r="M183" s="868"/>
      <c r="N183" s="868"/>
      <c r="O183" s="868"/>
      <c r="P183" s="868"/>
      <c r="Q183" s="868"/>
      <c r="R183" s="868"/>
      <c r="S183" s="868"/>
      <c r="T183" s="868"/>
      <c r="U183" s="868"/>
      <c r="V183" s="868"/>
      <c r="W183" s="868"/>
      <c r="X183" s="868"/>
      <c r="Y183" s="868"/>
      <c r="Z183" s="868"/>
      <c r="AA183" s="868"/>
      <c r="AB183" s="868"/>
      <c r="AC183" s="868"/>
      <c r="AD183" s="868"/>
      <c r="AE183" s="868"/>
      <c r="AF183" s="868"/>
      <c r="AG183" s="868"/>
      <c r="AH183" s="868"/>
      <c r="AI183" s="868"/>
      <c r="AJ183" s="868"/>
      <c r="AK183" s="868"/>
      <c r="AL183" s="868"/>
      <c r="AM183" s="868"/>
      <c r="AN183" s="868"/>
      <c r="AO183" s="868"/>
      <c r="AP183" s="868"/>
      <c r="AQ183" s="868"/>
      <c r="AR183" s="869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2"/>
      <c r="BH183" s="2"/>
      <c r="BI183" s="2"/>
      <c r="BJ183" s="2"/>
      <c r="BK183" s="2"/>
      <c r="BL183" s="2"/>
      <c r="BM183" s="2"/>
      <c r="BN183" s="2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  <c r="IX183" s="1"/>
      <c r="IY183" s="1"/>
      <c r="IZ183" s="1"/>
      <c r="JA183" s="1"/>
      <c r="JB183" s="1"/>
      <c r="JC183" s="1"/>
      <c r="JD183" s="1"/>
      <c r="JE183" s="1"/>
      <c r="JF183" s="1"/>
      <c r="JG183" s="1"/>
      <c r="JH183" s="1"/>
      <c r="JI183" s="1"/>
      <c r="JJ183" s="1"/>
      <c r="JK183" s="1"/>
      <c r="JL183" s="1"/>
      <c r="JM183" s="1"/>
      <c r="JN183" s="1"/>
      <c r="JO183" s="1"/>
      <c r="JP183" s="1"/>
      <c r="JQ183" s="1"/>
      <c r="JR183" s="1"/>
      <c r="JS183" s="1"/>
      <c r="JT183" s="1"/>
      <c r="JU183" s="1"/>
      <c r="JV183" s="1"/>
      <c r="JW183" s="1"/>
      <c r="JX183" s="1"/>
      <c r="JY183" s="1"/>
      <c r="JZ183" s="1"/>
      <c r="KA183" s="1"/>
      <c r="KB183" s="1"/>
      <c r="KC183" s="1"/>
      <c r="KD183" s="1"/>
      <c r="KE183" s="1"/>
      <c r="KF183" s="1"/>
      <c r="KG183" s="1"/>
      <c r="KH183" s="1"/>
      <c r="KI183" s="1"/>
      <c r="KJ183" s="1"/>
      <c r="KK183" s="1"/>
      <c r="KL183" s="1"/>
      <c r="KM183" s="1"/>
      <c r="KN183" s="1"/>
      <c r="KO183" s="1"/>
      <c r="KP183" s="1"/>
      <c r="KQ183" s="1"/>
      <c r="KR183" s="1"/>
      <c r="KS183" s="1"/>
      <c r="KT183" s="1"/>
      <c r="KU183" s="1"/>
      <c r="KV183" s="1"/>
      <c r="KW183" s="1"/>
      <c r="KX183" s="1"/>
      <c r="KY183" s="1"/>
      <c r="KZ183" s="1"/>
      <c r="LA183" s="1"/>
      <c r="LB183" s="1"/>
      <c r="LC183" s="1"/>
      <c r="LD183" s="1"/>
      <c r="LE183" s="1"/>
      <c r="LF183" s="1"/>
      <c r="LG183" s="1"/>
      <c r="LH183" s="1"/>
      <c r="LI183" s="1"/>
      <c r="LJ183" s="1"/>
      <c r="LK183" s="1"/>
      <c r="LL183" s="1"/>
      <c r="LM183" s="1"/>
      <c r="LN183" s="1"/>
      <c r="LO183" s="1"/>
      <c r="LP183" s="1"/>
    </row>
    <row r="184" spans="1:328" ht="15" customHeight="1">
      <c r="A184" s="867"/>
      <c r="B184" s="868"/>
      <c r="C184" s="868"/>
      <c r="D184" s="868"/>
      <c r="E184" s="868"/>
      <c r="F184" s="868"/>
      <c r="G184" s="868"/>
      <c r="H184" s="868"/>
      <c r="I184" s="868"/>
      <c r="J184" s="868"/>
      <c r="K184" s="868"/>
      <c r="L184" s="868"/>
      <c r="M184" s="868"/>
      <c r="N184" s="868"/>
      <c r="O184" s="868"/>
      <c r="P184" s="868"/>
      <c r="Q184" s="868"/>
      <c r="R184" s="868"/>
      <c r="S184" s="868"/>
      <c r="T184" s="868"/>
      <c r="U184" s="868"/>
      <c r="V184" s="868"/>
      <c r="W184" s="868"/>
      <c r="X184" s="868"/>
      <c r="Y184" s="868"/>
      <c r="Z184" s="868"/>
      <c r="AA184" s="868"/>
      <c r="AB184" s="868"/>
      <c r="AC184" s="868"/>
      <c r="AD184" s="868"/>
      <c r="AE184" s="868"/>
      <c r="AF184" s="868"/>
      <c r="AG184" s="868"/>
      <c r="AH184" s="868"/>
      <c r="AI184" s="868"/>
      <c r="AJ184" s="868"/>
      <c r="AK184" s="868"/>
      <c r="AL184" s="868"/>
      <c r="AM184" s="868"/>
      <c r="AN184" s="868"/>
      <c r="AO184" s="868"/>
      <c r="AP184" s="868"/>
      <c r="AQ184" s="868"/>
      <c r="AR184" s="869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2"/>
      <c r="BH184" s="2"/>
      <c r="BI184" s="2"/>
      <c r="BJ184" s="2"/>
      <c r="BK184" s="2"/>
      <c r="BL184" s="2"/>
      <c r="BM184" s="2"/>
      <c r="BN184" s="2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  <c r="IX184" s="1"/>
      <c r="IY184" s="1"/>
      <c r="IZ184" s="1"/>
      <c r="JA184" s="1"/>
      <c r="JB184" s="1"/>
      <c r="JC184" s="1"/>
      <c r="JD184" s="1"/>
      <c r="JE184" s="1"/>
      <c r="JF184" s="1"/>
      <c r="JG184" s="1"/>
      <c r="JH184" s="1"/>
      <c r="JI184" s="1"/>
      <c r="JJ184" s="1"/>
      <c r="JK184" s="1"/>
      <c r="JL184" s="1"/>
      <c r="JM184" s="1"/>
      <c r="JN184" s="1"/>
      <c r="JO184" s="1"/>
      <c r="JP184" s="1"/>
      <c r="JQ184" s="1"/>
      <c r="JR184" s="1"/>
      <c r="JS184" s="1"/>
      <c r="JT184" s="1"/>
      <c r="JU184" s="1"/>
      <c r="JV184" s="1"/>
      <c r="JW184" s="1"/>
      <c r="JX184" s="1"/>
      <c r="JY184" s="1"/>
      <c r="JZ184" s="1"/>
      <c r="KA184" s="1"/>
      <c r="KB184" s="1"/>
      <c r="KC184" s="1"/>
      <c r="KD184" s="1"/>
      <c r="KE184" s="1"/>
      <c r="KF184" s="1"/>
      <c r="KG184" s="1"/>
      <c r="KH184" s="1"/>
      <c r="KI184" s="1"/>
      <c r="KJ184" s="1"/>
      <c r="KK184" s="1"/>
      <c r="KL184" s="1"/>
      <c r="KM184" s="1"/>
      <c r="KN184" s="1"/>
      <c r="KO184" s="1"/>
      <c r="KP184" s="1"/>
      <c r="KQ184" s="1"/>
      <c r="KR184" s="1"/>
      <c r="KS184" s="1"/>
      <c r="KT184" s="1"/>
      <c r="KU184" s="1"/>
      <c r="KV184" s="1"/>
      <c r="KW184" s="1"/>
      <c r="KX184" s="1"/>
      <c r="KY184" s="1"/>
      <c r="KZ184" s="1"/>
      <c r="LA184" s="1"/>
      <c r="LB184" s="1"/>
      <c r="LC184" s="1"/>
      <c r="LD184" s="1"/>
      <c r="LE184" s="1"/>
      <c r="LF184" s="1"/>
      <c r="LG184" s="1"/>
      <c r="LH184" s="1"/>
      <c r="LI184" s="1"/>
      <c r="LJ184" s="1"/>
      <c r="LK184" s="1"/>
      <c r="LL184" s="1"/>
      <c r="LM184" s="1"/>
      <c r="LN184" s="1"/>
      <c r="LO184" s="1"/>
      <c r="LP184" s="1"/>
    </row>
    <row r="185" spans="1:328" ht="15" customHeight="1">
      <c r="A185" s="867"/>
      <c r="B185" s="868"/>
      <c r="C185" s="868"/>
      <c r="D185" s="868"/>
      <c r="E185" s="868"/>
      <c r="F185" s="868"/>
      <c r="G185" s="868"/>
      <c r="H185" s="868"/>
      <c r="I185" s="868"/>
      <c r="J185" s="868"/>
      <c r="K185" s="868"/>
      <c r="L185" s="868"/>
      <c r="M185" s="868"/>
      <c r="N185" s="868"/>
      <c r="O185" s="868"/>
      <c r="P185" s="868"/>
      <c r="Q185" s="868"/>
      <c r="R185" s="868"/>
      <c r="S185" s="868"/>
      <c r="T185" s="868"/>
      <c r="U185" s="868"/>
      <c r="V185" s="868"/>
      <c r="W185" s="868"/>
      <c r="X185" s="868"/>
      <c r="Y185" s="868"/>
      <c r="Z185" s="868"/>
      <c r="AA185" s="868"/>
      <c r="AB185" s="868"/>
      <c r="AC185" s="868"/>
      <c r="AD185" s="868"/>
      <c r="AE185" s="868"/>
      <c r="AF185" s="868"/>
      <c r="AG185" s="868"/>
      <c r="AH185" s="868"/>
      <c r="AI185" s="868"/>
      <c r="AJ185" s="868"/>
      <c r="AK185" s="868"/>
      <c r="AL185" s="868"/>
      <c r="AM185" s="868"/>
      <c r="AN185" s="868"/>
      <c r="AO185" s="868"/>
      <c r="AP185" s="868"/>
      <c r="AQ185" s="868"/>
      <c r="AR185" s="869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2"/>
      <c r="BH185" s="2"/>
      <c r="BI185" s="2"/>
      <c r="BJ185" s="2"/>
      <c r="BK185" s="2"/>
      <c r="BL185" s="2"/>
      <c r="BM185" s="2"/>
      <c r="BN185" s="2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  <c r="IX185" s="1"/>
      <c r="IY185" s="1"/>
      <c r="IZ185" s="1"/>
      <c r="JA185" s="1"/>
      <c r="JB185" s="1"/>
      <c r="JC185" s="1"/>
      <c r="JD185" s="1"/>
      <c r="JE185" s="1"/>
      <c r="JF185" s="1"/>
      <c r="JG185" s="1"/>
      <c r="JH185" s="1"/>
      <c r="JI185" s="1"/>
      <c r="JJ185" s="1"/>
      <c r="JK185" s="1"/>
      <c r="JL185" s="1"/>
      <c r="JM185" s="1"/>
      <c r="JN185" s="1"/>
      <c r="JO185" s="1"/>
      <c r="JP185" s="1"/>
      <c r="JQ185" s="1"/>
      <c r="JR185" s="1"/>
      <c r="JS185" s="1"/>
      <c r="JT185" s="1"/>
      <c r="JU185" s="1"/>
      <c r="JV185" s="1"/>
      <c r="JW185" s="1"/>
      <c r="JX185" s="1"/>
      <c r="JY185" s="1"/>
      <c r="JZ185" s="1"/>
      <c r="KA185" s="1"/>
      <c r="KB185" s="1"/>
      <c r="KC185" s="1"/>
      <c r="KD185" s="1"/>
      <c r="KE185" s="1"/>
      <c r="KF185" s="1"/>
      <c r="KG185" s="1"/>
      <c r="KH185" s="1"/>
      <c r="KI185" s="1"/>
      <c r="KJ185" s="1"/>
      <c r="KK185" s="1"/>
      <c r="KL185" s="1"/>
      <c r="KM185" s="1"/>
      <c r="KN185" s="1"/>
      <c r="KO185" s="1"/>
      <c r="KP185" s="1"/>
      <c r="KQ185" s="1"/>
      <c r="KR185" s="1"/>
      <c r="KS185" s="1"/>
      <c r="KT185" s="1"/>
      <c r="KU185" s="1"/>
      <c r="KV185" s="1"/>
      <c r="KW185" s="1"/>
      <c r="KX185" s="1"/>
      <c r="KY185" s="1"/>
      <c r="KZ185" s="1"/>
      <c r="LA185" s="1"/>
      <c r="LB185" s="1"/>
      <c r="LC185" s="1"/>
      <c r="LD185" s="1"/>
      <c r="LE185" s="1"/>
      <c r="LF185" s="1"/>
      <c r="LG185" s="1"/>
      <c r="LH185" s="1"/>
      <c r="LI185" s="1"/>
      <c r="LJ185" s="1"/>
      <c r="LK185" s="1"/>
      <c r="LL185" s="1"/>
      <c r="LM185" s="1"/>
      <c r="LN185" s="1"/>
      <c r="LO185" s="1"/>
      <c r="LP185" s="1"/>
    </row>
    <row r="186" spans="1:328" ht="15" customHeight="1">
      <c r="A186" s="867"/>
      <c r="B186" s="868"/>
      <c r="C186" s="868"/>
      <c r="D186" s="868"/>
      <c r="E186" s="868"/>
      <c r="F186" s="868"/>
      <c r="G186" s="868"/>
      <c r="H186" s="868"/>
      <c r="I186" s="868"/>
      <c r="J186" s="868"/>
      <c r="K186" s="868"/>
      <c r="L186" s="868"/>
      <c r="M186" s="868"/>
      <c r="N186" s="868"/>
      <c r="O186" s="868"/>
      <c r="P186" s="868"/>
      <c r="Q186" s="868"/>
      <c r="R186" s="868"/>
      <c r="S186" s="868"/>
      <c r="T186" s="868"/>
      <c r="U186" s="868"/>
      <c r="V186" s="868"/>
      <c r="W186" s="868"/>
      <c r="X186" s="868"/>
      <c r="Y186" s="868"/>
      <c r="Z186" s="868"/>
      <c r="AA186" s="868"/>
      <c r="AB186" s="868"/>
      <c r="AC186" s="868"/>
      <c r="AD186" s="868"/>
      <c r="AE186" s="868"/>
      <c r="AF186" s="868"/>
      <c r="AG186" s="868"/>
      <c r="AH186" s="868"/>
      <c r="AI186" s="868"/>
      <c r="AJ186" s="868"/>
      <c r="AK186" s="868"/>
      <c r="AL186" s="868"/>
      <c r="AM186" s="868"/>
      <c r="AN186" s="868"/>
      <c r="AO186" s="868"/>
      <c r="AP186" s="868"/>
      <c r="AQ186" s="868"/>
      <c r="AR186" s="869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2"/>
      <c r="BH186" s="2"/>
      <c r="BI186" s="2"/>
      <c r="BJ186" s="2"/>
      <c r="BK186" s="2"/>
      <c r="BL186" s="2"/>
      <c r="BM186" s="2"/>
      <c r="BN186" s="2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  <c r="IX186" s="1"/>
      <c r="IY186" s="1"/>
      <c r="IZ186" s="1"/>
      <c r="JA186" s="1"/>
      <c r="JB186" s="1"/>
      <c r="JC186" s="1"/>
      <c r="JD186" s="1"/>
      <c r="JE186" s="1"/>
      <c r="JF186" s="1"/>
      <c r="JG186" s="1"/>
      <c r="JH186" s="1"/>
      <c r="JI186" s="1"/>
      <c r="JJ186" s="1"/>
      <c r="JK186" s="1"/>
      <c r="JL186" s="1"/>
      <c r="JM186" s="1"/>
      <c r="JN186" s="1"/>
      <c r="JO186" s="1"/>
      <c r="JP186" s="1"/>
      <c r="JQ186" s="1"/>
      <c r="JR186" s="1"/>
      <c r="JS186" s="1"/>
      <c r="JT186" s="1"/>
      <c r="JU186" s="1"/>
      <c r="JV186" s="1"/>
      <c r="JW186" s="1"/>
      <c r="JX186" s="1"/>
      <c r="JY186" s="1"/>
      <c r="JZ186" s="1"/>
      <c r="KA186" s="1"/>
      <c r="KB186" s="1"/>
      <c r="KC186" s="1"/>
      <c r="KD186" s="1"/>
      <c r="KE186" s="1"/>
      <c r="KF186" s="1"/>
      <c r="KG186" s="1"/>
      <c r="KH186" s="1"/>
      <c r="KI186" s="1"/>
      <c r="KJ186" s="1"/>
      <c r="KK186" s="1"/>
      <c r="KL186" s="1"/>
      <c r="KM186" s="1"/>
      <c r="KN186" s="1"/>
      <c r="KO186" s="1"/>
      <c r="KP186" s="1"/>
      <c r="KQ186" s="1"/>
      <c r="KR186" s="1"/>
      <c r="KS186" s="1"/>
      <c r="KT186" s="1"/>
      <c r="KU186" s="1"/>
      <c r="KV186" s="1"/>
      <c r="KW186" s="1"/>
      <c r="KX186" s="1"/>
      <c r="KY186" s="1"/>
      <c r="KZ186" s="1"/>
      <c r="LA186" s="1"/>
      <c r="LB186" s="1"/>
      <c r="LC186" s="1"/>
      <c r="LD186" s="1"/>
      <c r="LE186" s="1"/>
      <c r="LF186" s="1"/>
      <c r="LG186" s="1"/>
      <c r="LH186" s="1"/>
      <c r="LI186" s="1"/>
      <c r="LJ186" s="1"/>
      <c r="LK186" s="1"/>
      <c r="LL186" s="1"/>
      <c r="LM186" s="1"/>
      <c r="LN186" s="1"/>
      <c r="LO186" s="1"/>
      <c r="LP186" s="1"/>
    </row>
    <row r="187" spans="1:328" ht="15" customHeight="1">
      <c r="A187" s="867"/>
      <c r="B187" s="868"/>
      <c r="C187" s="868"/>
      <c r="D187" s="868"/>
      <c r="E187" s="868"/>
      <c r="F187" s="868"/>
      <c r="G187" s="868"/>
      <c r="H187" s="868"/>
      <c r="I187" s="868"/>
      <c r="J187" s="868"/>
      <c r="K187" s="868"/>
      <c r="L187" s="868"/>
      <c r="M187" s="868"/>
      <c r="N187" s="868"/>
      <c r="O187" s="868"/>
      <c r="P187" s="868"/>
      <c r="Q187" s="868"/>
      <c r="R187" s="868"/>
      <c r="S187" s="868"/>
      <c r="T187" s="868"/>
      <c r="U187" s="868"/>
      <c r="V187" s="868"/>
      <c r="W187" s="868"/>
      <c r="X187" s="868"/>
      <c r="Y187" s="868"/>
      <c r="Z187" s="868"/>
      <c r="AA187" s="868"/>
      <c r="AB187" s="868"/>
      <c r="AC187" s="868"/>
      <c r="AD187" s="868"/>
      <c r="AE187" s="868"/>
      <c r="AF187" s="868"/>
      <c r="AG187" s="868"/>
      <c r="AH187" s="868"/>
      <c r="AI187" s="868"/>
      <c r="AJ187" s="868"/>
      <c r="AK187" s="868"/>
      <c r="AL187" s="868"/>
      <c r="AM187" s="868"/>
      <c r="AN187" s="868"/>
      <c r="AO187" s="868"/>
      <c r="AP187" s="868"/>
      <c r="AQ187" s="868"/>
      <c r="AR187" s="869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2"/>
      <c r="BH187" s="2"/>
      <c r="BI187" s="2"/>
      <c r="BJ187" s="2"/>
      <c r="BK187" s="2"/>
      <c r="BL187" s="2"/>
      <c r="BM187" s="2"/>
      <c r="BN187" s="2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  <c r="IX187" s="1"/>
      <c r="IY187" s="1"/>
      <c r="IZ187" s="1"/>
      <c r="JA187" s="1"/>
      <c r="JB187" s="1"/>
      <c r="JC187" s="1"/>
      <c r="JD187" s="1"/>
      <c r="JE187" s="1"/>
      <c r="JF187" s="1"/>
      <c r="JG187" s="1"/>
      <c r="JH187" s="1"/>
      <c r="JI187" s="1"/>
      <c r="JJ187" s="1"/>
      <c r="JK187" s="1"/>
      <c r="JL187" s="1"/>
      <c r="JM187" s="1"/>
      <c r="JN187" s="1"/>
      <c r="JO187" s="1"/>
      <c r="JP187" s="1"/>
      <c r="JQ187" s="1"/>
      <c r="JR187" s="1"/>
      <c r="JS187" s="1"/>
      <c r="JT187" s="1"/>
      <c r="JU187" s="1"/>
      <c r="JV187" s="1"/>
      <c r="JW187" s="1"/>
      <c r="JX187" s="1"/>
      <c r="JY187" s="1"/>
      <c r="JZ187" s="1"/>
      <c r="KA187" s="1"/>
      <c r="KB187" s="1"/>
      <c r="KC187" s="1"/>
      <c r="KD187" s="1"/>
      <c r="KE187" s="1"/>
      <c r="KF187" s="1"/>
      <c r="KG187" s="1"/>
      <c r="KH187" s="1"/>
      <c r="KI187" s="1"/>
      <c r="KJ187" s="1"/>
      <c r="KK187" s="1"/>
      <c r="KL187" s="1"/>
      <c r="KM187" s="1"/>
      <c r="KN187" s="1"/>
      <c r="KO187" s="1"/>
      <c r="KP187" s="1"/>
      <c r="KQ187" s="1"/>
      <c r="KR187" s="1"/>
      <c r="KS187" s="1"/>
      <c r="KT187" s="1"/>
      <c r="KU187" s="1"/>
      <c r="KV187" s="1"/>
      <c r="KW187" s="1"/>
      <c r="KX187" s="1"/>
      <c r="KY187" s="1"/>
      <c r="KZ187" s="1"/>
      <c r="LA187" s="1"/>
      <c r="LB187" s="1"/>
      <c r="LC187" s="1"/>
      <c r="LD187" s="1"/>
      <c r="LE187" s="1"/>
      <c r="LF187" s="1"/>
      <c r="LG187" s="1"/>
      <c r="LH187" s="1"/>
      <c r="LI187" s="1"/>
      <c r="LJ187" s="1"/>
      <c r="LK187" s="1"/>
      <c r="LL187" s="1"/>
      <c r="LM187" s="1"/>
      <c r="LN187" s="1"/>
      <c r="LO187" s="1"/>
      <c r="LP187" s="1"/>
    </row>
    <row r="188" spans="1:328" ht="15" customHeight="1">
      <c r="A188" s="867"/>
      <c r="B188" s="868"/>
      <c r="C188" s="868"/>
      <c r="D188" s="868"/>
      <c r="E188" s="868"/>
      <c r="F188" s="868"/>
      <c r="G188" s="868"/>
      <c r="H188" s="868"/>
      <c r="I188" s="868"/>
      <c r="J188" s="868"/>
      <c r="K188" s="868"/>
      <c r="L188" s="868"/>
      <c r="M188" s="868"/>
      <c r="N188" s="868"/>
      <c r="O188" s="868"/>
      <c r="P188" s="868"/>
      <c r="Q188" s="868"/>
      <c r="R188" s="868"/>
      <c r="S188" s="868"/>
      <c r="T188" s="868"/>
      <c r="U188" s="868"/>
      <c r="V188" s="868"/>
      <c r="W188" s="868"/>
      <c r="X188" s="868"/>
      <c r="Y188" s="868"/>
      <c r="Z188" s="868"/>
      <c r="AA188" s="868"/>
      <c r="AB188" s="868"/>
      <c r="AC188" s="868"/>
      <c r="AD188" s="868"/>
      <c r="AE188" s="868"/>
      <c r="AF188" s="868"/>
      <c r="AG188" s="868"/>
      <c r="AH188" s="868"/>
      <c r="AI188" s="868"/>
      <c r="AJ188" s="868"/>
      <c r="AK188" s="868"/>
      <c r="AL188" s="868"/>
      <c r="AM188" s="868"/>
      <c r="AN188" s="868"/>
      <c r="AO188" s="868"/>
      <c r="AP188" s="868"/>
      <c r="AQ188" s="868"/>
      <c r="AR188" s="869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2"/>
      <c r="BH188" s="2"/>
      <c r="BI188" s="2"/>
      <c r="BJ188" s="2"/>
      <c r="BK188" s="2"/>
      <c r="BL188" s="2"/>
      <c r="BM188" s="2"/>
      <c r="BN188" s="2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  <c r="IX188" s="1"/>
      <c r="IY188" s="1"/>
      <c r="IZ188" s="1"/>
      <c r="JA188" s="1"/>
      <c r="JB188" s="1"/>
      <c r="JC188" s="1"/>
      <c r="JD188" s="1"/>
      <c r="JE188" s="1"/>
      <c r="JF188" s="1"/>
      <c r="JG188" s="1"/>
      <c r="JH188" s="1"/>
      <c r="JI188" s="1"/>
      <c r="JJ188" s="1"/>
      <c r="JK188" s="1"/>
      <c r="JL188" s="1"/>
      <c r="JM188" s="1"/>
      <c r="JN188" s="1"/>
      <c r="JO188" s="1"/>
      <c r="JP188" s="1"/>
      <c r="JQ188" s="1"/>
      <c r="JR188" s="1"/>
      <c r="JS188" s="1"/>
      <c r="JT188" s="1"/>
      <c r="JU188" s="1"/>
      <c r="JV188" s="1"/>
      <c r="JW188" s="1"/>
      <c r="JX188" s="1"/>
      <c r="JY188" s="1"/>
      <c r="JZ188" s="1"/>
      <c r="KA188" s="1"/>
      <c r="KB188" s="1"/>
      <c r="KC188" s="1"/>
      <c r="KD188" s="1"/>
      <c r="KE188" s="1"/>
      <c r="KF188" s="1"/>
      <c r="KG188" s="1"/>
      <c r="KH188" s="1"/>
      <c r="KI188" s="1"/>
      <c r="KJ188" s="1"/>
      <c r="KK188" s="1"/>
      <c r="KL188" s="1"/>
      <c r="KM188" s="1"/>
      <c r="KN188" s="1"/>
      <c r="KO188" s="1"/>
      <c r="KP188" s="1"/>
      <c r="KQ188" s="1"/>
      <c r="KR188" s="1"/>
      <c r="KS188" s="1"/>
      <c r="KT188" s="1"/>
      <c r="KU188" s="1"/>
      <c r="KV188" s="1"/>
      <c r="KW188" s="1"/>
      <c r="KX188" s="1"/>
      <c r="KY188" s="1"/>
      <c r="KZ188" s="1"/>
      <c r="LA188" s="1"/>
      <c r="LB188" s="1"/>
      <c r="LC188" s="1"/>
      <c r="LD188" s="1"/>
      <c r="LE188" s="1"/>
      <c r="LF188" s="1"/>
      <c r="LG188" s="1"/>
      <c r="LH188" s="1"/>
      <c r="LI188" s="1"/>
      <c r="LJ188" s="1"/>
      <c r="LK188" s="1"/>
      <c r="LL188" s="1"/>
      <c r="LM188" s="1"/>
      <c r="LN188" s="1"/>
      <c r="LO188" s="1"/>
      <c r="LP188" s="1"/>
    </row>
    <row r="189" spans="1:328" ht="15" customHeight="1">
      <c r="A189" s="867"/>
      <c r="B189" s="868"/>
      <c r="C189" s="868"/>
      <c r="D189" s="868"/>
      <c r="E189" s="868"/>
      <c r="F189" s="868"/>
      <c r="G189" s="868"/>
      <c r="H189" s="868"/>
      <c r="I189" s="868"/>
      <c r="J189" s="868"/>
      <c r="K189" s="868"/>
      <c r="L189" s="868"/>
      <c r="M189" s="868"/>
      <c r="N189" s="868"/>
      <c r="O189" s="868"/>
      <c r="P189" s="868"/>
      <c r="Q189" s="868"/>
      <c r="R189" s="868"/>
      <c r="S189" s="868"/>
      <c r="T189" s="868"/>
      <c r="U189" s="868"/>
      <c r="V189" s="868"/>
      <c r="W189" s="868"/>
      <c r="X189" s="868"/>
      <c r="Y189" s="868"/>
      <c r="Z189" s="868"/>
      <c r="AA189" s="868"/>
      <c r="AB189" s="868"/>
      <c r="AC189" s="868"/>
      <c r="AD189" s="868"/>
      <c r="AE189" s="868"/>
      <c r="AF189" s="868"/>
      <c r="AG189" s="868"/>
      <c r="AH189" s="868"/>
      <c r="AI189" s="868"/>
      <c r="AJ189" s="868"/>
      <c r="AK189" s="868"/>
      <c r="AL189" s="868"/>
      <c r="AM189" s="868"/>
      <c r="AN189" s="868"/>
      <c r="AO189" s="868"/>
      <c r="AP189" s="868"/>
      <c r="AQ189" s="868"/>
      <c r="AR189" s="869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2"/>
      <c r="BH189" s="2"/>
      <c r="BI189" s="2"/>
      <c r="BJ189" s="2"/>
      <c r="BK189" s="2"/>
      <c r="BL189" s="2"/>
      <c r="BM189" s="2"/>
      <c r="BN189" s="2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  <c r="IX189" s="1"/>
      <c r="IY189" s="1"/>
      <c r="IZ189" s="1"/>
      <c r="JA189" s="1"/>
      <c r="JB189" s="1"/>
      <c r="JC189" s="1"/>
      <c r="JD189" s="1"/>
      <c r="JE189" s="1"/>
      <c r="JF189" s="1"/>
      <c r="JG189" s="1"/>
      <c r="JH189" s="1"/>
      <c r="JI189" s="1"/>
      <c r="JJ189" s="1"/>
      <c r="JK189" s="1"/>
      <c r="JL189" s="1"/>
      <c r="JM189" s="1"/>
      <c r="JN189" s="1"/>
      <c r="JO189" s="1"/>
      <c r="JP189" s="1"/>
      <c r="JQ189" s="1"/>
      <c r="JR189" s="1"/>
      <c r="JS189" s="1"/>
      <c r="JT189" s="1"/>
      <c r="JU189" s="1"/>
      <c r="JV189" s="1"/>
      <c r="JW189" s="1"/>
      <c r="JX189" s="1"/>
      <c r="JY189" s="1"/>
      <c r="JZ189" s="1"/>
      <c r="KA189" s="1"/>
      <c r="KB189" s="1"/>
      <c r="KC189" s="1"/>
      <c r="KD189" s="1"/>
      <c r="KE189" s="1"/>
      <c r="KF189" s="1"/>
      <c r="KG189" s="1"/>
      <c r="KH189" s="1"/>
      <c r="KI189" s="1"/>
      <c r="KJ189" s="1"/>
      <c r="KK189" s="1"/>
      <c r="KL189" s="1"/>
      <c r="KM189" s="1"/>
      <c r="KN189" s="1"/>
      <c r="KO189" s="1"/>
      <c r="KP189" s="1"/>
      <c r="KQ189" s="1"/>
      <c r="KR189" s="1"/>
      <c r="KS189" s="1"/>
      <c r="KT189" s="1"/>
      <c r="KU189" s="1"/>
      <c r="KV189" s="1"/>
      <c r="KW189" s="1"/>
      <c r="KX189" s="1"/>
      <c r="KY189" s="1"/>
      <c r="KZ189" s="1"/>
      <c r="LA189" s="1"/>
      <c r="LB189" s="1"/>
      <c r="LC189" s="1"/>
      <c r="LD189" s="1"/>
      <c r="LE189" s="1"/>
      <c r="LF189" s="1"/>
      <c r="LG189" s="1"/>
      <c r="LH189" s="1"/>
      <c r="LI189" s="1"/>
      <c r="LJ189" s="1"/>
      <c r="LK189" s="1"/>
      <c r="LL189" s="1"/>
      <c r="LM189" s="1"/>
      <c r="LN189" s="1"/>
      <c r="LO189" s="1"/>
      <c r="LP189" s="1"/>
    </row>
    <row r="190" spans="1:328" ht="15" customHeight="1">
      <c r="A190" s="867"/>
      <c r="B190" s="868"/>
      <c r="C190" s="868"/>
      <c r="D190" s="868"/>
      <c r="E190" s="868"/>
      <c r="F190" s="868"/>
      <c r="G190" s="868"/>
      <c r="H190" s="868"/>
      <c r="I190" s="868"/>
      <c r="J190" s="868"/>
      <c r="K190" s="868"/>
      <c r="L190" s="868"/>
      <c r="M190" s="868"/>
      <c r="N190" s="868"/>
      <c r="O190" s="868"/>
      <c r="P190" s="868"/>
      <c r="Q190" s="868"/>
      <c r="R190" s="868"/>
      <c r="S190" s="868"/>
      <c r="T190" s="868"/>
      <c r="U190" s="868"/>
      <c r="V190" s="868"/>
      <c r="W190" s="868"/>
      <c r="X190" s="868"/>
      <c r="Y190" s="868"/>
      <c r="Z190" s="868"/>
      <c r="AA190" s="868"/>
      <c r="AB190" s="868"/>
      <c r="AC190" s="868"/>
      <c r="AD190" s="868"/>
      <c r="AE190" s="868"/>
      <c r="AF190" s="868"/>
      <c r="AG190" s="868"/>
      <c r="AH190" s="868"/>
      <c r="AI190" s="868"/>
      <c r="AJ190" s="868"/>
      <c r="AK190" s="868"/>
      <c r="AL190" s="868"/>
      <c r="AM190" s="868"/>
      <c r="AN190" s="868"/>
      <c r="AO190" s="868"/>
      <c r="AP190" s="868"/>
      <c r="AQ190" s="868"/>
      <c r="AR190" s="869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2"/>
      <c r="BH190" s="2"/>
      <c r="BI190" s="2"/>
      <c r="BJ190" s="2"/>
      <c r="BK190" s="2"/>
      <c r="BL190" s="2"/>
      <c r="BM190" s="2"/>
      <c r="BN190" s="2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  <c r="IW190" s="1"/>
      <c r="IX190" s="1"/>
      <c r="IY190" s="1"/>
      <c r="IZ190" s="1"/>
      <c r="JA190" s="1"/>
      <c r="JB190" s="1"/>
      <c r="JC190" s="1"/>
      <c r="JD190" s="1"/>
      <c r="JE190" s="1"/>
      <c r="JF190" s="1"/>
      <c r="JG190" s="1"/>
      <c r="JH190" s="1"/>
      <c r="JI190" s="1"/>
      <c r="JJ190" s="1"/>
      <c r="JK190" s="1"/>
      <c r="JL190" s="1"/>
      <c r="JM190" s="1"/>
      <c r="JN190" s="1"/>
      <c r="JO190" s="1"/>
      <c r="JP190" s="1"/>
      <c r="JQ190" s="1"/>
      <c r="JR190" s="1"/>
      <c r="JS190" s="1"/>
      <c r="JT190" s="1"/>
      <c r="JU190" s="1"/>
      <c r="JV190" s="1"/>
      <c r="JW190" s="1"/>
      <c r="JX190" s="1"/>
      <c r="JY190" s="1"/>
      <c r="JZ190" s="1"/>
      <c r="KA190" s="1"/>
      <c r="KB190" s="1"/>
      <c r="KC190" s="1"/>
      <c r="KD190" s="1"/>
      <c r="KE190" s="1"/>
      <c r="KF190" s="1"/>
      <c r="KG190" s="1"/>
      <c r="KH190" s="1"/>
      <c r="KI190" s="1"/>
      <c r="KJ190" s="1"/>
      <c r="KK190" s="1"/>
      <c r="KL190" s="1"/>
      <c r="KM190" s="1"/>
      <c r="KN190" s="1"/>
      <c r="KO190" s="1"/>
      <c r="KP190" s="1"/>
      <c r="KQ190" s="1"/>
      <c r="KR190" s="1"/>
      <c r="KS190" s="1"/>
      <c r="KT190" s="1"/>
      <c r="KU190" s="1"/>
      <c r="KV190" s="1"/>
      <c r="KW190" s="1"/>
      <c r="KX190" s="1"/>
      <c r="KY190" s="1"/>
      <c r="KZ190" s="1"/>
      <c r="LA190" s="1"/>
      <c r="LB190" s="1"/>
      <c r="LC190" s="1"/>
      <c r="LD190" s="1"/>
      <c r="LE190" s="1"/>
      <c r="LF190" s="1"/>
      <c r="LG190" s="1"/>
      <c r="LH190" s="1"/>
      <c r="LI190" s="1"/>
      <c r="LJ190" s="1"/>
      <c r="LK190" s="1"/>
      <c r="LL190" s="1"/>
      <c r="LM190" s="1"/>
      <c r="LN190" s="1"/>
      <c r="LO190" s="1"/>
      <c r="LP190" s="1"/>
    </row>
    <row r="191" spans="1:328" ht="15" customHeight="1">
      <c r="A191" s="867"/>
      <c r="B191" s="868"/>
      <c r="C191" s="868"/>
      <c r="D191" s="868"/>
      <c r="E191" s="868"/>
      <c r="F191" s="868"/>
      <c r="G191" s="868"/>
      <c r="H191" s="868"/>
      <c r="I191" s="868"/>
      <c r="J191" s="868"/>
      <c r="K191" s="868"/>
      <c r="L191" s="868"/>
      <c r="M191" s="868"/>
      <c r="N191" s="868"/>
      <c r="O191" s="868"/>
      <c r="P191" s="868"/>
      <c r="Q191" s="868"/>
      <c r="R191" s="868"/>
      <c r="S191" s="868"/>
      <c r="T191" s="868"/>
      <c r="U191" s="868"/>
      <c r="V191" s="868"/>
      <c r="W191" s="868"/>
      <c r="X191" s="868"/>
      <c r="Y191" s="868"/>
      <c r="Z191" s="868"/>
      <c r="AA191" s="868"/>
      <c r="AB191" s="868"/>
      <c r="AC191" s="868"/>
      <c r="AD191" s="868"/>
      <c r="AE191" s="868"/>
      <c r="AF191" s="868"/>
      <c r="AG191" s="868"/>
      <c r="AH191" s="868"/>
      <c r="AI191" s="868"/>
      <c r="AJ191" s="868"/>
      <c r="AK191" s="868"/>
      <c r="AL191" s="868"/>
      <c r="AM191" s="868"/>
      <c r="AN191" s="868"/>
      <c r="AO191" s="868"/>
      <c r="AP191" s="868"/>
      <c r="AQ191" s="868"/>
      <c r="AR191" s="869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2"/>
      <c r="BH191" s="2"/>
      <c r="BI191" s="2"/>
      <c r="BJ191" s="2"/>
      <c r="BK191" s="2"/>
      <c r="BL191" s="2"/>
      <c r="BM191" s="2"/>
      <c r="BN191" s="2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  <c r="IX191" s="1"/>
      <c r="IY191" s="1"/>
      <c r="IZ191" s="1"/>
      <c r="JA191" s="1"/>
      <c r="JB191" s="1"/>
      <c r="JC191" s="1"/>
      <c r="JD191" s="1"/>
      <c r="JE191" s="1"/>
      <c r="JF191" s="1"/>
      <c r="JG191" s="1"/>
      <c r="JH191" s="1"/>
      <c r="JI191" s="1"/>
      <c r="JJ191" s="1"/>
      <c r="JK191" s="1"/>
      <c r="JL191" s="1"/>
      <c r="JM191" s="1"/>
      <c r="JN191" s="1"/>
      <c r="JO191" s="1"/>
      <c r="JP191" s="1"/>
      <c r="JQ191" s="1"/>
      <c r="JR191" s="1"/>
      <c r="JS191" s="1"/>
      <c r="JT191" s="1"/>
      <c r="JU191" s="1"/>
      <c r="JV191" s="1"/>
      <c r="JW191" s="1"/>
      <c r="JX191" s="1"/>
      <c r="JY191" s="1"/>
      <c r="JZ191" s="1"/>
      <c r="KA191" s="1"/>
      <c r="KB191" s="1"/>
      <c r="KC191" s="1"/>
      <c r="KD191" s="1"/>
      <c r="KE191" s="1"/>
      <c r="KF191" s="1"/>
      <c r="KG191" s="1"/>
      <c r="KH191" s="1"/>
      <c r="KI191" s="1"/>
      <c r="KJ191" s="1"/>
      <c r="KK191" s="1"/>
      <c r="KL191" s="1"/>
      <c r="KM191" s="1"/>
      <c r="KN191" s="1"/>
      <c r="KO191" s="1"/>
      <c r="KP191" s="1"/>
      <c r="KQ191" s="1"/>
      <c r="KR191" s="1"/>
      <c r="KS191" s="1"/>
      <c r="KT191" s="1"/>
      <c r="KU191" s="1"/>
      <c r="KV191" s="1"/>
      <c r="KW191" s="1"/>
      <c r="KX191" s="1"/>
      <c r="KY191" s="1"/>
      <c r="KZ191" s="1"/>
      <c r="LA191" s="1"/>
      <c r="LB191" s="1"/>
      <c r="LC191" s="1"/>
      <c r="LD191" s="1"/>
      <c r="LE191" s="1"/>
      <c r="LF191" s="1"/>
      <c r="LG191" s="1"/>
      <c r="LH191" s="1"/>
      <c r="LI191" s="1"/>
      <c r="LJ191" s="1"/>
      <c r="LK191" s="1"/>
      <c r="LL191" s="1"/>
      <c r="LM191" s="1"/>
      <c r="LN191" s="1"/>
      <c r="LO191" s="1"/>
      <c r="LP191" s="1"/>
    </row>
    <row r="192" spans="1:328" ht="15" customHeight="1">
      <c r="A192" s="867"/>
      <c r="B192" s="868"/>
      <c r="C192" s="868"/>
      <c r="D192" s="868"/>
      <c r="E192" s="868"/>
      <c r="F192" s="868"/>
      <c r="G192" s="868"/>
      <c r="H192" s="868"/>
      <c r="I192" s="868"/>
      <c r="J192" s="868"/>
      <c r="K192" s="868"/>
      <c r="L192" s="868"/>
      <c r="M192" s="868"/>
      <c r="N192" s="868"/>
      <c r="O192" s="868"/>
      <c r="P192" s="868"/>
      <c r="Q192" s="868"/>
      <c r="R192" s="868"/>
      <c r="S192" s="868"/>
      <c r="T192" s="868"/>
      <c r="U192" s="868"/>
      <c r="V192" s="868"/>
      <c r="W192" s="868"/>
      <c r="X192" s="868"/>
      <c r="Y192" s="868"/>
      <c r="Z192" s="868"/>
      <c r="AA192" s="868"/>
      <c r="AB192" s="868"/>
      <c r="AC192" s="868"/>
      <c r="AD192" s="868"/>
      <c r="AE192" s="868"/>
      <c r="AF192" s="868"/>
      <c r="AG192" s="868"/>
      <c r="AH192" s="868"/>
      <c r="AI192" s="868"/>
      <c r="AJ192" s="868"/>
      <c r="AK192" s="868"/>
      <c r="AL192" s="868"/>
      <c r="AM192" s="868"/>
      <c r="AN192" s="868"/>
      <c r="AO192" s="868"/>
      <c r="AP192" s="868"/>
      <c r="AQ192" s="868"/>
      <c r="AR192" s="869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2"/>
      <c r="BH192" s="2"/>
      <c r="BI192" s="2"/>
      <c r="BJ192" s="2"/>
      <c r="BK192" s="2"/>
      <c r="BL192" s="2"/>
      <c r="BM192" s="2"/>
      <c r="BN192" s="2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  <c r="IW192" s="1"/>
      <c r="IX192" s="1"/>
      <c r="IY192" s="1"/>
      <c r="IZ192" s="1"/>
      <c r="JA192" s="1"/>
      <c r="JB192" s="1"/>
      <c r="JC192" s="1"/>
      <c r="JD192" s="1"/>
      <c r="JE192" s="1"/>
      <c r="JF192" s="1"/>
      <c r="JG192" s="1"/>
      <c r="JH192" s="1"/>
      <c r="JI192" s="1"/>
      <c r="JJ192" s="1"/>
      <c r="JK192" s="1"/>
      <c r="JL192" s="1"/>
      <c r="JM192" s="1"/>
      <c r="JN192" s="1"/>
      <c r="JO192" s="1"/>
      <c r="JP192" s="1"/>
      <c r="JQ192" s="1"/>
      <c r="JR192" s="1"/>
      <c r="JS192" s="1"/>
      <c r="JT192" s="1"/>
      <c r="JU192" s="1"/>
      <c r="JV192" s="1"/>
      <c r="JW192" s="1"/>
      <c r="JX192" s="1"/>
      <c r="JY192" s="1"/>
      <c r="JZ192" s="1"/>
      <c r="KA192" s="1"/>
      <c r="KB192" s="1"/>
      <c r="KC192" s="1"/>
      <c r="KD192" s="1"/>
      <c r="KE192" s="1"/>
      <c r="KF192" s="1"/>
      <c r="KG192" s="1"/>
      <c r="KH192" s="1"/>
      <c r="KI192" s="1"/>
      <c r="KJ192" s="1"/>
      <c r="KK192" s="1"/>
      <c r="KL192" s="1"/>
      <c r="KM192" s="1"/>
      <c r="KN192" s="1"/>
      <c r="KO192" s="1"/>
      <c r="KP192" s="1"/>
      <c r="KQ192" s="1"/>
      <c r="KR192" s="1"/>
      <c r="KS192" s="1"/>
      <c r="KT192" s="1"/>
      <c r="KU192" s="1"/>
      <c r="KV192" s="1"/>
      <c r="KW192" s="1"/>
      <c r="KX192" s="1"/>
      <c r="KY192" s="1"/>
      <c r="KZ192" s="1"/>
      <c r="LA192" s="1"/>
      <c r="LB192" s="1"/>
      <c r="LC192" s="1"/>
      <c r="LD192" s="1"/>
      <c r="LE192" s="1"/>
      <c r="LF192" s="1"/>
      <c r="LG192" s="1"/>
      <c r="LH192" s="1"/>
      <c r="LI192" s="1"/>
      <c r="LJ192" s="1"/>
      <c r="LK192" s="1"/>
      <c r="LL192" s="1"/>
      <c r="LM192" s="1"/>
      <c r="LN192" s="1"/>
      <c r="LO192" s="1"/>
      <c r="LP192" s="1"/>
    </row>
    <row r="193" spans="1:328" ht="15" customHeight="1">
      <c r="A193" s="867"/>
      <c r="B193" s="868"/>
      <c r="C193" s="868"/>
      <c r="D193" s="868"/>
      <c r="E193" s="868"/>
      <c r="F193" s="868"/>
      <c r="G193" s="868"/>
      <c r="H193" s="868"/>
      <c r="I193" s="868"/>
      <c r="J193" s="868"/>
      <c r="K193" s="868"/>
      <c r="L193" s="868"/>
      <c r="M193" s="868"/>
      <c r="N193" s="868"/>
      <c r="O193" s="868"/>
      <c r="P193" s="868"/>
      <c r="Q193" s="868"/>
      <c r="R193" s="868"/>
      <c r="S193" s="868"/>
      <c r="T193" s="868"/>
      <c r="U193" s="868"/>
      <c r="V193" s="868"/>
      <c r="W193" s="868"/>
      <c r="X193" s="868"/>
      <c r="Y193" s="868"/>
      <c r="Z193" s="868"/>
      <c r="AA193" s="868"/>
      <c r="AB193" s="868"/>
      <c r="AC193" s="868"/>
      <c r="AD193" s="868"/>
      <c r="AE193" s="868"/>
      <c r="AF193" s="868"/>
      <c r="AG193" s="868"/>
      <c r="AH193" s="868"/>
      <c r="AI193" s="868"/>
      <c r="AJ193" s="868"/>
      <c r="AK193" s="868"/>
      <c r="AL193" s="868"/>
      <c r="AM193" s="868"/>
      <c r="AN193" s="868"/>
      <c r="AO193" s="868"/>
      <c r="AP193" s="868"/>
      <c r="AQ193" s="868"/>
      <c r="AR193" s="869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2"/>
      <c r="BH193" s="2"/>
      <c r="BI193" s="2"/>
      <c r="BJ193" s="2"/>
      <c r="BK193" s="2"/>
      <c r="BL193" s="2"/>
      <c r="BM193" s="2"/>
      <c r="BN193" s="2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  <c r="JL193" s="1"/>
      <c r="JM193" s="1"/>
      <c r="JN193" s="1"/>
      <c r="JO193" s="1"/>
      <c r="JP193" s="1"/>
      <c r="JQ193" s="1"/>
      <c r="JR193" s="1"/>
      <c r="JS193" s="1"/>
      <c r="JT193" s="1"/>
      <c r="JU193" s="1"/>
      <c r="JV193" s="1"/>
      <c r="JW193" s="1"/>
      <c r="JX193" s="1"/>
      <c r="JY193" s="1"/>
      <c r="JZ193" s="1"/>
      <c r="KA193" s="1"/>
      <c r="KB193" s="1"/>
      <c r="KC193" s="1"/>
      <c r="KD193" s="1"/>
      <c r="KE193" s="1"/>
      <c r="KF193" s="1"/>
      <c r="KG193" s="1"/>
      <c r="KH193" s="1"/>
      <c r="KI193" s="1"/>
      <c r="KJ193" s="1"/>
      <c r="KK193" s="1"/>
      <c r="KL193" s="1"/>
      <c r="KM193" s="1"/>
      <c r="KN193" s="1"/>
      <c r="KO193" s="1"/>
      <c r="KP193" s="1"/>
      <c r="KQ193" s="1"/>
      <c r="KR193" s="1"/>
      <c r="KS193" s="1"/>
      <c r="KT193" s="1"/>
      <c r="KU193" s="1"/>
      <c r="KV193" s="1"/>
      <c r="KW193" s="1"/>
      <c r="KX193" s="1"/>
      <c r="KY193" s="1"/>
      <c r="KZ193" s="1"/>
      <c r="LA193" s="1"/>
      <c r="LB193" s="1"/>
      <c r="LC193" s="1"/>
      <c r="LD193" s="1"/>
      <c r="LE193" s="1"/>
      <c r="LF193" s="1"/>
      <c r="LG193" s="1"/>
      <c r="LH193" s="1"/>
      <c r="LI193" s="1"/>
      <c r="LJ193" s="1"/>
      <c r="LK193" s="1"/>
      <c r="LL193" s="1"/>
      <c r="LM193" s="1"/>
      <c r="LN193" s="1"/>
      <c r="LO193" s="1"/>
      <c r="LP193" s="1"/>
    </row>
    <row r="194" spans="1:328" ht="15" customHeight="1">
      <c r="A194" s="867"/>
      <c r="B194" s="868"/>
      <c r="C194" s="868"/>
      <c r="D194" s="868"/>
      <c r="E194" s="868"/>
      <c r="F194" s="868"/>
      <c r="G194" s="868"/>
      <c r="H194" s="868"/>
      <c r="I194" s="868"/>
      <c r="J194" s="868"/>
      <c r="K194" s="868"/>
      <c r="L194" s="868"/>
      <c r="M194" s="868"/>
      <c r="N194" s="868"/>
      <c r="O194" s="868"/>
      <c r="P194" s="868"/>
      <c r="Q194" s="868"/>
      <c r="R194" s="868"/>
      <c r="S194" s="868"/>
      <c r="T194" s="868"/>
      <c r="U194" s="868"/>
      <c r="V194" s="868"/>
      <c r="W194" s="868"/>
      <c r="X194" s="868"/>
      <c r="Y194" s="868"/>
      <c r="Z194" s="868"/>
      <c r="AA194" s="868"/>
      <c r="AB194" s="868"/>
      <c r="AC194" s="868"/>
      <c r="AD194" s="868"/>
      <c r="AE194" s="868"/>
      <c r="AF194" s="868"/>
      <c r="AG194" s="868"/>
      <c r="AH194" s="868"/>
      <c r="AI194" s="868"/>
      <c r="AJ194" s="868"/>
      <c r="AK194" s="868"/>
      <c r="AL194" s="868"/>
      <c r="AM194" s="868"/>
      <c r="AN194" s="868"/>
      <c r="AO194" s="868"/>
      <c r="AP194" s="868"/>
      <c r="AQ194" s="868"/>
      <c r="AR194" s="869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2"/>
      <c r="BH194" s="2"/>
      <c r="BI194" s="2"/>
      <c r="BJ194" s="2"/>
      <c r="BK194" s="2"/>
      <c r="BL194" s="2"/>
      <c r="BM194" s="2"/>
      <c r="BN194" s="2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  <c r="IW194" s="1"/>
      <c r="IX194" s="1"/>
      <c r="IY194" s="1"/>
      <c r="IZ194" s="1"/>
      <c r="JA194" s="1"/>
      <c r="JB194" s="1"/>
      <c r="JC194" s="1"/>
      <c r="JD194" s="1"/>
      <c r="JE194" s="1"/>
      <c r="JF194" s="1"/>
      <c r="JG194" s="1"/>
      <c r="JH194" s="1"/>
      <c r="JI194" s="1"/>
      <c r="JJ194" s="1"/>
      <c r="JK194" s="1"/>
      <c r="JL194" s="1"/>
      <c r="JM194" s="1"/>
      <c r="JN194" s="1"/>
      <c r="JO194" s="1"/>
      <c r="JP194" s="1"/>
      <c r="JQ194" s="1"/>
      <c r="JR194" s="1"/>
      <c r="JS194" s="1"/>
      <c r="JT194" s="1"/>
      <c r="JU194" s="1"/>
      <c r="JV194" s="1"/>
      <c r="JW194" s="1"/>
      <c r="JX194" s="1"/>
      <c r="JY194" s="1"/>
      <c r="JZ194" s="1"/>
      <c r="KA194" s="1"/>
      <c r="KB194" s="1"/>
      <c r="KC194" s="1"/>
      <c r="KD194" s="1"/>
      <c r="KE194" s="1"/>
      <c r="KF194" s="1"/>
      <c r="KG194" s="1"/>
      <c r="KH194" s="1"/>
      <c r="KI194" s="1"/>
      <c r="KJ194" s="1"/>
      <c r="KK194" s="1"/>
      <c r="KL194" s="1"/>
      <c r="KM194" s="1"/>
      <c r="KN194" s="1"/>
      <c r="KO194" s="1"/>
      <c r="KP194" s="1"/>
      <c r="KQ194" s="1"/>
      <c r="KR194" s="1"/>
      <c r="KS194" s="1"/>
      <c r="KT194" s="1"/>
      <c r="KU194" s="1"/>
      <c r="KV194" s="1"/>
      <c r="KW194" s="1"/>
      <c r="KX194" s="1"/>
      <c r="KY194" s="1"/>
      <c r="KZ194" s="1"/>
      <c r="LA194" s="1"/>
      <c r="LB194" s="1"/>
      <c r="LC194" s="1"/>
      <c r="LD194" s="1"/>
      <c r="LE194" s="1"/>
      <c r="LF194" s="1"/>
      <c r="LG194" s="1"/>
      <c r="LH194" s="1"/>
      <c r="LI194" s="1"/>
      <c r="LJ194" s="1"/>
      <c r="LK194" s="1"/>
      <c r="LL194" s="1"/>
      <c r="LM194" s="1"/>
      <c r="LN194" s="1"/>
      <c r="LO194" s="1"/>
      <c r="LP194" s="1"/>
    </row>
    <row r="195" spans="1:328" ht="15" customHeight="1" thickBot="1">
      <c r="A195" s="870"/>
      <c r="B195" s="871"/>
      <c r="C195" s="871"/>
      <c r="D195" s="871"/>
      <c r="E195" s="871"/>
      <c r="F195" s="871"/>
      <c r="G195" s="871"/>
      <c r="H195" s="871"/>
      <c r="I195" s="871"/>
      <c r="J195" s="871"/>
      <c r="K195" s="871"/>
      <c r="L195" s="871"/>
      <c r="M195" s="871"/>
      <c r="N195" s="871"/>
      <c r="O195" s="871"/>
      <c r="P195" s="871"/>
      <c r="Q195" s="871"/>
      <c r="R195" s="871"/>
      <c r="S195" s="871"/>
      <c r="T195" s="871"/>
      <c r="U195" s="871"/>
      <c r="V195" s="871"/>
      <c r="W195" s="871"/>
      <c r="X195" s="871"/>
      <c r="Y195" s="871"/>
      <c r="Z195" s="871"/>
      <c r="AA195" s="871"/>
      <c r="AB195" s="871"/>
      <c r="AC195" s="871"/>
      <c r="AD195" s="871"/>
      <c r="AE195" s="871"/>
      <c r="AF195" s="871"/>
      <c r="AG195" s="871"/>
      <c r="AH195" s="871"/>
      <c r="AI195" s="871"/>
      <c r="AJ195" s="871"/>
      <c r="AK195" s="871"/>
      <c r="AL195" s="871"/>
      <c r="AM195" s="871"/>
      <c r="AN195" s="871"/>
      <c r="AO195" s="871"/>
      <c r="AP195" s="871"/>
      <c r="AQ195" s="871"/>
      <c r="AR195" s="872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2"/>
      <c r="BH195" s="2"/>
      <c r="BI195" s="2"/>
      <c r="BJ195" s="2"/>
      <c r="BK195" s="2"/>
      <c r="BL195" s="2"/>
      <c r="BM195" s="2"/>
      <c r="BN195" s="2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  <c r="IW195" s="1"/>
      <c r="IX195" s="1"/>
      <c r="IY195" s="1"/>
      <c r="IZ195" s="1"/>
      <c r="JA195" s="1"/>
      <c r="JB195" s="1"/>
      <c r="JC195" s="1"/>
      <c r="JD195" s="1"/>
      <c r="JE195" s="1"/>
      <c r="JF195" s="1"/>
      <c r="JG195" s="1"/>
      <c r="JH195" s="1"/>
      <c r="JI195" s="1"/>
      <c r="JJ195" s="1"/>
      <c r="JK195" s="1"/>
      <c r="JL195" s="1"/>
      <c r="JM195" s="1"/>
      <c r="JN195" s="1"/>
      <c r="JO195" s="1"/>
      <c r="JP195" s="1"/>
      <c r="JQ195" s="1"/>
      <c r="JR195" s="1"/>
      <c r="JS195" s="1"/>
      <c r="JT195" s="1"/>
      <c r="JU195" s="1"/>
      <c r="JV195" s="1"/>
      <c r="JW195" s="1"/>
      <c r="JX195" s="1"/>
      <c r="JY195" s="1"/>
      <c r="JZ195" s="1"/>
      <c r="KA195" s="1"/>
      <c r="KB195" s="1"/>
      <c r="KC195" s="1"/>
      <c r="KD195" s="1"/>
      <c r="KE195" s="1"/>
      <c r="KF195" s="1"/>
      <c r="KG195" s="1"/>
      <c r="KH195" s="1"/>
      <c r="KI195" s="1"/>
      <c r="KJ195" s="1"/>
      <c r="KK195" s="1"/>
      <c r="KL195" s="1"/>
      <c r="KM195" s="1"/>
      <c r="KN195" s="1"/>
      <c r="KO195" s="1"/>
      <c r="KP195" s="1"/>
      <c r="KQ195" s="1"/>
      <c r="KR195" s="1"/>
      <c r="KS195" s="1"/>
      <c r="KT195" s="1"/>
      <c r="KU195" s="1"/>
      <c r="KV195" s="1"/>
      <c r="KW195" s="1"/>
      <c r="KX195" s="1"/>
      <c r="KY195" s="1"/>
      <c r="KZ195" s="1"/>
      <c r="LA195" s="1"/>
      <c r="LB195" s="1"/>
      <c r="LC195" s="1"/>
      <c r="LD195" s="1"/>
      <c r="LE195" s="1"/>
      <c r="LF195" s="1"/>
      <c r="LG195" s="1"/>
      <c r="LH195" s="1"/>
      <c r="LI195" s="1"/>
      <c r="LJ195" s="1"/>
      <c r="LK195" s="1"/>
      <c r="LL195" s="1"/>
      <c r="LM195" s="1"/>
      <c r="LN195" s="1"/>
      <c r="LO195" s="1"/>
      <c r="LP195" s="1"/>
    </row>
    <row r="196" spans="1:328" ht="1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2"/>
      <c r="BH196" s="2"/>
      <c r="BI196" s="2"/>
      <c r="BJ196" s="2"/>
      <c r="BK196" s="2"/>
      <c r="BL196" s="2"/>
      <c r="BM196" s="2"/>
      <c r="BN196" s="2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  <c r="IW196" s="1"/>
      <c r="IX196" s="1"/>
      <c r="IY196" s="1"/>
      <c r="IZ196" s="1"/>
      <c r="JA196" s="1"/>
      <c r="JB196" s="1"/>
      <c r="JC196" s="1"/>
      <c r="JD196" s="1"/>
      <c r="JE196" s="1"/>
      <c r="JF196" s="1"/>
      <c r="JG196" s="1"/>
      <c r="JH196" s="1"/>
      <c r="JI196" s="1"/>
      <c r="JJ196" s="1"/>
      <c r="JK196" s="1"/>
      <c r="JL196" s="1"/>
      <c r="JM196" s="1"/>
      <c r="JN196" s="1"/>
      <c r="JO196" s="1"/>
      <c r="JP196" s="1"/>
      <c r="JQ196" s="1"/>
      <c r="JR196" s="1"/>
      <c r="JS196" s="1"/>
      <c r="JT196" s="1"/>
      <c r="JU196" s="1"/>
      <c r="JV196" s="1"/>
      <c r="JW196" s="1"/>
      <c r="JX196" s="1"/>
      <c r="JY196" s="1"/>
      <c r="JZ196" s="1"/>
      <c r="KA196" s="1"/>
      <c r="KB196" s="1"/>
      <c r="KC196" s="1"/>
      <c r="KD196" s="1"/>
      <c r="KE196" s="1"/>
      <c r="KF196" s="1"/>
      <c r="KG196" s="1"/>
      <c r="KH196" s="1"/>
      <c r="KI196" s="1"/>
      <c r="KJ196" s="1"/>
      <c r="KK196" s="1"/>
      <c r="KL196" s="1"/>
      <c r="KM196" s="1"/>
      <c r="KN196" s="1"/>
      <c r="KO196" s="1"/>
      <c r="KP196" s="1"/>
      <c r="KQ196" s="1"/>
      <c r="KR196" s="1"/>
      <c r="KS196" s="1"/>
      <c r="KT196" s="1"/>
      <c r="KU196" s="1"/>
      <c r="KV196" s="1"/>
      <c r="KW196" s="1"/>
      <c r="KX196" s="1"/>
      <c r="KY196" s="1"/>
      <c r="KZ196" s="1"/>
      <c r="LA196" s="1"/>
      <c r="LB196" s="1"/>
      <c r="LC196" s="1"/>
      <c r="LD196" s="1"/>
      <c r="LE196" s="1"/>
      <c r="LF196" s="1"/>
      <c r="LG196" s="1"/>
      <c r="LH196" s="1"/>
      <c r="LI196" s="1"/>
      <c r="LJ196" s="1"/>
      <c r="LK196" s="1"/>
      <c r="LL196" s="1"/>
      <c r="LM196" s="1"/>
      <c r="LN196" s="1"/>
      <c r="LO196" s="1"/>
      <c r="LP196" s="1"/>
    </row>
    <row r="197" spans="1:328" ht="1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2"/>
      <c r="BH197" s="2"/>
      <c r="BI197" s="2"/>
      <c r="BJ197" s="2"/>
      <c r="BK197" s="2"/>
      <c r="BL197" s="2"/>
      <c r="BM197" s="2"/>
      <c r="BN197" s="2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  <c r="JL197" s="1"/>
      <c r="JM197" s="1"/>
      <c r="JN197" s="1"/>
      <c r="JO197" s="1"/>
      <c r="JP197" s="1"/>
      <c r="JQ197" s="1"/>
      <c r="JR197" s="1"/>
      <c r="JS197" s="1"/>
      <c r="JT197" s="1"/>
      <c r="JU197" s="1"/>
      <c r="JV197" s="1"/>
      <c r="JW197" s="1"/>
      <c r="JX197" s="1"/>
      <c r="JY197" s="1"/>
      <c r="JZ197" s="1"/>
      <c r="KA197" s="1"/>
      <c r="KB197" s="1"/>
      <c r="KC197" s="1"/>
      <c r="KD197" s="1"/>
      <c r="KE197" s="1"/>
      <c r="KF197" s="1"/>
      <c r="KG197" s="1"/>
      <c r="KH197" s="1"/>
      <c r="KI197" s="1"/>
      <c r="KJ197" s="1"/>
      <c r="KK197" s="1"/>
      <c r="KL197" s="1"/>
      <c r="KM197" s="1"/>
      <c r="KN197" s="1"/>
      <c r="KO197" s="1"/>
      <c r="KP197" s="1"/>
      <c r="KQ197" s="1"/>
      <c r="KR197" s="1"/>
      <c r="KS197" s="1"/>
      <c r="KT197" s="1"/>
      <c r="KU197" s="1"/>
      <c r="KV197" s="1"/>
      <c r="KW197" s="1"/>
      <c r="KX197" s="1"/>
      <c r="KY197" s="1"/>
      <c r="KZ197" s="1"/>
      <c r="LA197" s="1"/>
      <c r="LB197" s="1"/>
      <c r="LC197" s="1"/>
      <c r="LD197" s="1"/>
      <c r="LE197" s="1"/>
      <c r="LF197" s="1"/>
      <c r="LG197" s="1"/>
      <c r="LH197" s="1"/>
      <c r="LI197" s="1"/>
      <c r="LJ197" s="1"/>
      <c r="LK197" s="1"/>
      <c r="LL197" s="1"/>
      <c r="LM197" s="1"/>
      <c r="LN197" s="1"/>
      <c r="LO197" s="1"/>
      <c r="LP197" s="1"/>
    </row>
    <row r="198" spans="1:328" ht="1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2"/>
      <c r="BH198" s="2"/>
      <c r="BI198" s="2"/>
      <c r="BJ198" s="2"/>
      <c r="BK198" s="2"/>
      <c r="BL198" s="2"/>
      <c r="BM198" s="2"/>
      <c r="BN198" s="2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  <c r="IW198" s="1"/>
      <c r="IX198" s="1"/>
      <c r="IY198" s="1"/>
      <c r="IZ198" s="1"/>
      <c r="JA198" s="1"/>
      <c r="JB198" s="1"/>
      <c r="JC198" s="1"/>
      <c r="JD198" s="1"/>
      <c r="JE198" s="1"/>
      <c r="JF198" s="1"/>
      <c r="JG198" s="1"/>
      <c r="JH198" s="1"/>
      <c r="JI198" s="1"/>
      <c r="JJ198" s="1"/>
      <c r="JK198" s="1"/>
      <c r="JL198" s="1"/>
      <c r="JM198" s="1"/>
      <c r="JN198" s="1"/>
      <c r="JO198" s="1"/>
      <c r="JP198" s="1"/>
      <c r="JQ198" s="1"/>
      <c r="JR198" s="1"/>
      <c r="JS198" s="1"/>
      <c r="JT198" s="1"/>
      <c r="JU198" s="1"/>
      <c r="JV198" s="1"/>
      <c r="JW198" s="1"/>
      <c r="JX198" s="1"/>
      <c r="JY198" s="1"/>
      <c r="JZ198" s="1"/>
      <c r="KA198" s="1"/>
      <c r="KB198" s="1"/>
      <c r="KC198" s="1"/>
      <c r="KD198" s="1"/>
      <c r="KE198" s="1"/>
      <c r="KF198" s="1"/>
      <c r="KG198" s="1"/>
      <c r="KH198" s="1"/>
      <c r="KI198" s="1"/>
      <c r="KJ198" s="1"/>
      <c r="KK198" s="1"/>
      <c r="KL198" s="1"/>
      <c r="KM198" s="1"/>
      <c r="KN198" s="1"/>
      <c r="KO198" s="1"/>
      <c r="KP198" s="1"/>
      <c r="KQ198" s="1"/>
      <c r="KR198" s="1"/>
      <c r="KS198" s="1"/>
      <c r="KT198" s="1"/>
      <c r="KU198" s="1"/>
      <c r="KV198" s="1"/>
      <c r="KW198" s="1"/>
      <c r="KX198" s="1"/>
      <c r="KY198" s="1"/>
      <c r="KZ198" s="1"/>
      <c r="LA198" s="1"/>
      <c r="LB198" s="1"/>
      <c r="LC198" s="1"/>
      <c r="LD198" s="1"/>
      <c r="LE198" s="1"/>
      <c r="LF198" s="1"/>
      <c r="LG198" s="1"/>
      <c r="LH198" s="1"/>
      <c r="LI198" s="1"/>
      <c r="LJ198" s="1"/>
      <c r="LK198" s="1"/>
      <c r="LL198" s="1"/>
      <c r="LM198" s="1"/>
      <c r="LN198" s="1"/>
      <c r="LO198" s="1"/>
      <c r="LP198" s="1"/>
    </row>
    <row r="199" spans="1:328" ht="1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2"/>
      <c r="BH199" s="2"/>
      <c r="BI199" s="2"/>
      <c r="BJ199" s="2"/>
      <c r="BK199" s="2"/>
      <c r="BL199" s="2"/>
      <c r="BM199" s="2"/>
      <c r="BN199" s="2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  <c r="IW199" s="1"/>
      <c r="IX199" s="1"/>
      <c r="IY199" s="1"/>
      <c r="IZ199" s="1"/>
      <c r="JA199" s="1"/>
      <c r="JB199" s="1"/>
      <c r="JC199" s="1"/>
      <c r="JD199" s="1"/>
      <c r="JE199" s="1"/>
      <c r="JF199" s="1"/>
      <c r="JG199" s="1"/>
      <c r="JH199" s="1"/>
      <c r="JI199" s="1"/>
      <c r="JJ199" s="1"/>
      <c r="JK199" s="1"/>
      <c r="JL199" s="1"/>
      <c r="JM199" s="1"/>
      <c r="JN199" s="1"/>
      <c r="JO199" s="1"/>
      <c r="JP199" s="1"/>
      <c r="JQ199" s="1"/>
      <c r="JR199" s="1"/>
      <c r="JS199" s="1"/>
      <c r="JT199" s="1"/>
      <c r="JU199" s="1"/>
      <c r="JV199" s="1"/>
      <c r="JW199" s="1"/>
      <c r="JX199" s="1"/>
      <c r="JY199" s="1"/>
      <c r="JZ199" s="1"/>
      <c r="KA199" s="1"/>
      <c r="KB199" s="1"/>
      <c r="KC199" s="1"/>
      <c r="KD199" s="1"/>
      <c r="KE199" s="1"/>
      <c r="KF199" s="1"/>
      <c r="KG199" s="1"/>
      <c r="KH199" s="1"/>
      <c r="KI199" s="1"/>
      <c r="KJ199" s="1"/>
      <c r="KK199" s="1"/>
      <c r="KL199" s="1"/>
      <c r="KM199" s="1"/>
      <c r="KN199" s="1"/>
      <c r="KO199" s="1"/>
      <c r="KP199" s="1"/>
      <c r="KQ199" s="1"/>
      <c r="KR199" s="1"/>
      <c r="KS199" s="1"/>
      <c r="KT199" s="1"/>
      <c r="KU199" s="1"/>
      <c r="KV199" s="1"/>
      <c r="KW199" s="1"/>
      <c r="KX199" s="1"/>
      <c r="KY199" s="1"/>
      <c r="KZ199" s="1"/>
      <c r="LA199" s="1"/>
      <c r="LB199" s="1"/>
      <c r="LC199" s="1"/>
      <c r="LD199" s="1"/>
      <c r="LE199" s="1"/>
      <c r="LF199" s="1"/>
      <c r="LG199" s="1"/>
      <c r="LH199" s="1"/>
      <c r="LI199" s="1"/>
      <c r="LJ199" s="1"/>
      <c r="LK199" s="1"/>
      <c r="LL199" s="1"/>
      <c r="LM199" s="1"/>
      <c r="LN199" s="1"/>
      <c r="LO199" s="1"/>
      <c r="LP199" s="1"/>
    </row>
    <row r="200" spans="1:328" ht="1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2"/>
      <c r="BH200" s="2"/>
      <c r="BI200" s="2"/>
      <c r="BJ200" s="2"/>
      <c r="BK200" s="2"/>
      <c r="BL200" s="2"/>
      <c r="BM200" s="2"/>
      <c r="BN200" s="2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  <c r="IW200" s="1"/>
      <c r="IX200" s="1"/>
      <c r="IY200" s="1"/>
      <c r="IZ200" s="1"/>
      <c r="JA200" s="1"/>
      <c r="JB200" s="1"/>
      <c r="JC200" s="1"/>
      <c r="JD200" s="1"/>
      <c r="JE200" s="1"/>
      <c r="JF200" s="1"/>
      <c r="JG200" s="1"/>
      <c r="JH200" s="1"/>
      <c r="JI200" s="1"/>
      <c r="JJ200" s="1"/>
      <c r="JK200" s="1"/>
      <c r="JL200" s="1"/>
      <c r="JM200" s="1"/>
      <c r="JN200" s="1"/>
      <c r="JO200" s="1"/>
      <c r="JP200" s="1"/>
      <c r="JQ200" s="1"/>
      <c r="JR200" s="1"/>
      <c r="JS200" s="1"/>
      <c r="JT200" s="1"/>
      <c r="JU200" s="1"/>
      <c r="JV200" s="1"/>
      <c r="JW200" s="1"/>
      <c r="JX200" s="1"/>
      <c r="JY200" s="1"/>
      <c r="JZ200" s="1"/>
      <c r="KA200" s="1"/>
      <c r="KB200" s="1"/>
      <c r="KC200" s="1"/>
      <c r="KD200" s="1"/>
      <c r="KE200" s="1"/>
      <c r="KF200" s="1"/>
      <c r="KG200" s="1"/>
      <c r="KH200" s="1"/>
      <c r="KI200" s="1"/>
      <c r="KJ200" s="1"/>
      <c r="KK200" s="1"/>
      <c r="KL200" s="1"/>
      <c r="KM200" s="1"/>
      <c r="KN200" s="1"/>
      <c r="KO200" s="1"/>
      <c r="KP200" s="1"/>
      <c r="KQ200" s="1"/>
      <c r="KR200" s="1"/>
      <c r="KS200" s="1"/>
      <c r="KT200" s="1"/>
      <c r="KU200" s="1"/>
      <c r="KV200" s="1"/>
      <c r="KW200" s="1"/>
      <c r="KX200" s="1"/>
      <c r="KY200" s="1"/>
      <c r="KZ200" s="1"/>
      <c r="LA200" s="1"/>
      <c r="LB200" s="1"/>
      <c r="LC200" s="1"/>
      <c r="LD200" s="1"/>
      <c r="LE200" s="1"/>
      <c r="LF200" s="1"/>
      <c r="LG200" s="1"/>
      <c r="LH200" s="1"/>
      <c r="LI200" s="1"/>
      <c r="LJ200" s="1"/>
      <c r="LK200" s="1"/>
      <c r="LL200" s="1"/>
      <c r="LM200" s="1"/>
      <c r="LN200" s="1"/>
      <c r="LO200" s="1"/>
      <c r="LP200" s="1"/>
    </row>
    <row r="201" spans="1:328" ht="1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2"/>
      <c r="BH201" s="2"/>
      <c r="BI201" s="2"/>
      <c r="BJ201" s="2"/>
      <c r="BK201" s="2"/>
      <c r="BL201" s="2"/>
      <c r="BM201" s="2"/>
      <c r="BN201" s="2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  <c r="IW201" s="1"/>
      <c r="IX201" s="1"/>
      <c r="IY201" s="1"/>
      <c r="IZ201" s="1"/>
      <c r="JA201" s="1"/>
      <c r="JB201" s="1"/>
      <c r="JC201" s="1"/>
      <c r="JD201" s="1"/>
      <c r="JE201" s="1"/>
      <c r="JF201" s="1"/>
      <c r="JG201" s="1"/>
      <c r="JH201" s="1"/>
      <c r="JI201" s="1"/>
      <c r="JJ201" s="1"/>
      <c r="JK201" s="1"/>
      <c r="JL201" s="1"/>
      <c r="JM201" s="1"/>
      <c r="JN201" s="1"/>
      <c r="JO201" s="1"/>
      <c r="JP201" s="1"/>
      <c r="JQ201" s="1"/>
      <c r="JR201" s="1"/>
      <c r="JS201" s="1"/>
      <c r="JT201" s="1"/>
      <c r="JU201" s="1"/>
      <c r="JV201" s="1"/>
      <c r="JW201" s="1"/>
      <c r="JX201" s="1"/>
      <c r="JY201" s="1"/>
      <c r="JZ201" s="1"/>
      <c r="KA201" s="1"/>
      <c r="KB201" s="1"/>
      <c r="KC201" s="1"/>
      <c r="KD201" s="1"/>
      <c r="KE201" s="1"/>
      <c r="KF201" s="1"/>
      <c r="KG201" s="1"/>
      <c r="KH201" s="1"/>
      <c r="KI201" s="1"/>
      <c r="KJ201" s="1"/>
      <c r="KK201" s="1"/>
      <c r="KL201" s="1"/>
      <c r="KM201" s="1"/>
      <c r="KN201" s="1"/>
      <c r="KO201" s="1"/>
      <c r="KP201" s="1"/>
      <c r="KQ201" s="1"/>
      <c r="KR201" s="1"/>
      <c r="KS201" s="1"/>
      <c r="KT201" s="1"/>
      <c r="KU201" s="1"/>
      <c r="KV201" s="1"/>
      <c r="KW201" s="1"/>
      <c r="KX201" s="1"/>
      <c r="KY201" s="1"/>
      <c r="KZ201" s="1"/>
      <c r="LA201" s="1"/>
      <c r="LB201" s="1"/>
      <c r="LC201" s="1"/>
      <c r="LD201" s="1"/>
      <c r="LE201" s="1"/>
      <c r="LF201" s="1"/>
      <c r="LG201" s="1"/>
      <c r="LH201" s="1"/>
      <c r="LI201" s="1"/>
      <c r="LJ201" s="1"/>
      <c r="LK201" s="1"/>
      <c r="LL201" s="1"/>
      <c r="LM201" s="1"/>
      <c r="LN201" s="1"/>
      <c r="LO201" s="1"/>
      <c r="LP201" s="1"/>
    </row>
    <row r="202" spans="1:328" ht="1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2"/>
      <c r="BH202" s="2"/>
      <c r="BI202" s="2"/>
      <c r="BJ202" s="2"/>
      <c r="BK202" s="2"/>
      <c r="BL202" s="2"/>
      <c r="BM202" s="2"/>
      <c r="BN202" s="2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  <c r="IX202" s="1"/>
      <c r="IY202" s="1"/>
      <c r="IZ202" s="1"/>
      <c r="JA202" s="1"/>
      <c r="JB202" s="1"/>
      <c r="JC202" s="1"/>
      <c r="JD202" s="1"/>
      <c r="JE202" s="1"/>
      <c r="JF202" s="1"/>
      <c r="JG202" s="1"/>
      <c r="JH202" s="1"/>
      <c r="JI202" s="1"/>
      <c r="JJ202" s="1"/>
      <c r="JK202" s="1"/>
      <c r="JL202" s="1"/>
      <c r="JM202" s="1"/>
      <c r="JN202" s="1"/>
      <c r="JO202" s="1"/>
      <c r="JP202" s="1"/>
      <c r="JQ202" s="1"/>
      <c r="JR202" s="1"/>
      <c r="JS202" s="1"/>
      <c r="JT202" s="1"/>
      <c r="JU202" s="1"/>
      <c r="JV202" s="1"/>
      <c r="JW202" s="1"/>
      <c r="JX202" s="1"/>
      <c r="JY202" s="1"/>
      <c r="JZ202" s="1"/>
      <c r="KA202" s="1"/>
      <c r="KB202" s="1"/>
      <c r="KC202" s="1"/>
      <c r="KD202" s="1"/>
      <c r="KE202" s="1"/>
      <c r="KF202" s="1"/>
      <c r="KG202" s="1"/>
      <c r="KH202" s="1"/>
      <c r="KI202" s="1"/>
      <c r="KJ202" s="1"/>
      <c r="KK202" s="1"/>
      <c r="KL202" s="1"/>
      <c r="KM202" s="1"/>
      <c r="KN202" s="1"/>
      <c r="KO202" s="1"/>
      <c r="KP202" s="1"/>
      <c r="KQ202" s="1"/>
      <c r="KR202" s="1"/>
      <c r="KS202" s="1"/>
      <c r="KT202" s="1"/>
      <c r="KU202" s="1"/>
      <c r="KV202" s="1"/>
      <c r="KW202" s="1"/>
      <c r="KX202" s="1"/>
      <c r="KY202" s="1"/>
      <c r="KZ202" s="1"/>
      <c r="LA202" s="1"/>
      <c r="LB202" s="1"/>
      <c r="LC202" s="1"/>
      <c r="LD202" s="1"/>
      <c r="LE202" s="1"/>
      <c r="LF202" s="1"/>
      <c r="LG202" s="1"/>
      <c r="LH202" s="1"/>
      <c r="LI202" s="1"/>
      <c r="LJ202" s="1"/>
      <c r="LK202" s="1"/>
      <c r="LL202" s="1"/>
      <c r="LM202" s="1"/>
      <c r="LN202" s="1"/>
      <c r="LO202" s="1"/>
      <c r="LP202" s="1"/>
    </row>
    <row r="203" spans="1:328" ht="1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2"/>
      <c r="BH203" s="2"/>
      <c r="BI203" s="2"/>
      <c r="BJ203" s="2"/>
      <c r="BK203" s="2"/>
      <c r="BL203" s="2"/>
      <c r="BM203" s="2"/>
      <c r="BN203" s="2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  <c r="IW203" s="1"/>
      <c r="IX203" s="1"/>
      <c r="IY203" s="1"/>
      <c r="IZ203" s="1"/>
      <c r="JA203" s="1"/>
      <c r="JB203" s="1"/>
      <c r="JC203" s="1"/>
      <c r="JD203" s="1"/>
      <c r="JE203" s="1"/>
      <c r="JF203" s="1"/>
      <c r="JG203" s="1"/>
      <c r="JH203" s="1"/>
      <c r="JI203" s="1"/>
      <c r="JJ203" s="1"/>
      <c r="JK203" s="1"/>
      <c r="JL203" s="1"/>
      <c r="JM203" s="1"/>
      <c r="JN203" s="1"/>
      <c r="JO203" s="1"/>
      <c r="JP203" s="1"/>
      <c r="JQ203" s="1"/>
      <c r="JR203" s="1"/>
      <c r="JS203" s="1"/>
      <c r="JT203" s="1"/>
      <c r="JU203" s="1"/>
      <c r="JV203" s="1"/>
      <c r="JW203" s="1"/>
      <c r="JX203" s="1"/>
      <c r="JY203" s="1"/>
      <c r="JZ203" s="1"/>
      <c r="KA203" s="1"/>
      <c r="KB203" s="1"/>
      <c r="KC203" s="1"/>
      <c r="KD203" s="1"/>
      <c r="KE203" s="1"/>
      <c r="KF203" s="1"/>
      <c r="KG203" s="1"/>
      <c r="KH203" s="1"/>
      <c r="KI203" s="1"/>
      <c r="KJ203" s="1"/>
      <c r="KK203" s="1"/>
      <c r="KL203" s="1"/>
      <c r="KM203" s="1"/>
      <c r="KN203" s="1"/>
      <c r="KO203" s="1"/>
      <c r="KP203" s="1"/>
      <c r="KQ203" s="1"/>
      <c r="KR203" s="1"/>
      <c r="KS203" s="1"/>
      <c r="KT203" s="1"/>
      <c r="KU203" s="1"/>
      <c r="KV203" s="1"/>
      <c r="KW203" s="1"/>
      <c r="KX203" s="1"/>
      <c r="KY203" s="1"/>
      <c r="KZ203" s="1"/>
      <c r="LA203" s="1"/>
      <c r="LB203" s="1"/>
      <c r="LC203" s="1"/>
      <c r="LD203" s="1"/>
      <c r="LE203" s="1"/>
      <c r="LF203" s="1"/>
      <c r="LG203" s="1"/>
      <c r="LH203" s="1"/>
      <c r="LI203" s="1"/>
      <c r="LJ203" s="1"/>
      <c r="LK203" s="1"/>
      <c r="LL203" s="1"/>
      <c r="LM203" s="1"/>
      <c r="LN203" s="1"/>
      <c r="LO203" s="1"/>
      <c r="LP203" s="1"/>
    </row>
    <row r="204" spans="1:328" ht="1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2"/>
      <c r="BH204" s="2"/>
      <c r="BI204" s="2"/>
      <c r="BJ204" s="2"/>
      <c r="BK204" s="2"/>
      <c r="BL204" s="2"/>
      <c r="BM204" s="2"/>
      <c r="BN204" s="2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  <c r="IW204" s="1"/>
      <c r="IX204" s="1"/>
      <c r="IY204" s="1"/>
      <c r="IZ204" s="1"/>
      <c r="JA204" s="1"/>
      <c r="JB204" s="1"/>
      <c r="JC204" s="1"/>
      <c r="JD204" s="1"/>
      <c r="JE204" s="1"/>
      <c r="JF204" s="1"/>
      <c r="JG204" s="1"/>
      <c r="JH204" s="1"/>
      <c r="JI204" s="1"/>
      <c r="JJ204" s="1"/>
      <c r="JK204" s="1"/>
      <c r="JL204" s="1"/>
      <c r="JM204" s="1"/>
      <c r="JN204" s="1"/>
      <c r="JO204" s="1"/>
      <c r="JP204" s="1"/>
      <c r="JQ204" s="1"/>
      <c r="JR204" s="1"/>
      <c r="JS204" s="1"/>
      <c r="JT204" s="1"/>
      <c r="JU204" s="1"/>
      <c r="JV204" s="1"/>
      <c r="JW204" s="1"/>
      <c r="JX204" s="1"/>
      <c r="JY204" s="1"/>
      <c r="JZ204" s="1"/>
      <c r="KA204" s="1"/>
      <c r="KB204" s="1"/>
      <c r="KC204" s="1"/>
      <c r="KD204" s="1"/>
      <c r="KE204" s="1"/>
      <c r="KF204" s="1"/>
      <c r="KG204" s="1"/>
      <c r="KH204" s="1"/>
      <c r="KI204" s="1"/>
      <c r="KJ204" s="1"/>
      <c r="KK204" s="1"/>
      <c r="KL204" s="1"/>
      <c r="KM204" s="1"/>
      <c r="KN204" s="1"/>
      <c r="KO204" s="1"/>
      <c r="KP204" s="1"/>
      <c r="KQ204" s="1"/>
      <c r="KR204" s="1"/>
      <c r="KS204" s="1"/>
      <c r="KT204" s="1"/>
      <c r="KU204" s="1"/>
      <c r="KV204" s="1"/>
      <c r="KW204" s="1"/>
      <c r="KX204" s="1"/>
      <c r="KY204" s="1"/>
      <c r="KZ204" s="1"/>
      <c r="LA204" s="1"/>
      <c r="LB204" s="1"/>
      <c r="LC204" s="1"/>
      <c r="LD204" s="1"/>
      <c r="LE204" s="1"/>
      <c r="LF204" s="1"/>
      <c r="LG204" s="1"/>
      <c r="LH204" s="1"/>
      <c r="LI204" s="1"/>
      <c r="LJ204" s="1"/>
      <c r="LK204" s="1"/>
      <c r="LL204" s="1"/>
      <c r="LM204" s="1"/>
      <c r="LN204" s="1"/>
      <c r="LO204" s="1"/>
      <c r="LP204" s="1"/>
    </row>
    <row r="205" spans="1:328" ht="1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2"/>
      <c r="BH205" s="2"/>
      <c r="BI205" s="2"/>
      <c r="BJ205" s="2"/>
      <c r="BK205" s="2"/>
      <c r="BL205" s="2"/>
      <c r="BM205" s="2"/>
      <c r="BN205" s="2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  <c r="IW205" s="1"/>
      <c r="IX205" s="1"/>
      <c r="IY205" s="1"/>
      <c r="IZ205" s="1"/>
      <c r="JA205" s="1"/>
      <c r="JB205" s="1"/>
      <c r="JC205" s="1"/>
      <c r="JD205" s="1"/>
      <c r="JE205" s="1"/>
      <c r="JF205" s="1"/>
      <c r="JG205" s="1"/>
      <c r="JH205" s="1"/>
      <c r="JI205" s="1"/>
      <c r="JJ205" s="1"/>
      <c r="JK205" s="1"/>
      <c r="JL205" s="1"/>
      <c r="JM205" s="1"/>
      <c r="JN205" s="1"/>
      <c r="JO205" s="1"/>
      <c r="JP205" s="1"/>
      <c r="JQ205" s="1"/>
      <c r="JR205" s="1"/>
      <c r="JS205" s="1"/>
      <c r="JT205" s="1"/>
      <c r="JU205" s="1"/>
      <c r="JV205" s="1"/>
      <c r="JW205" s="1"/>
      <c r="JX205" s="1"/>
      <c r="JY205" s="1"/>
      <c r="JZ205" s="1"/>
      <c r="KA205" s="1"/>
      <c r="KB205" s="1"/>
      <c r="KC205" s="1"/>
      <c r="KD205" s="1"/>
      <c r="KE205" s="1"/>
      <c r="KF205" s="1"/>
      <c r="KG205" s="1"/>
      <c r="KH205" s="1"/>
      <c r="KI205" s="1"/>
      <c r="KJ205" s="1"/>
      <c r="KK205" s="1"/>
      <c r="KL205" s="1"/>
      <c r="KM205" s="1"/>
      <c r="KN205" s="1"/>
      <c r="KO205" s="1"/>
      <c r="KP205" s="1"/>
      <c r="KQ205" s="1"/>
      <c r="KR205" s="1"/>
      <c r="KS205" s="1"/>
      <c r="KT205" s="1"/>
      <c r="KU205" s="1"/>
      <c r="KV205" s="1"/>
      <c r="KW205" s="1"/>
      <c r="KX205" s="1"/>
      <c r="KY205" s="1"/>
      <c r="KZ205" s="1"/>
      <c r="LA205" s="1"/>
      <c r="LB205" s="1"/>
      <c r="LC205" s="1"/>
      <c r="LD205" s="1"/>
      <c r="LE205" s="1"/>
      <c r="LF205" s="1"/>
      <c r="LG205" s="1"/>
      <c r="LH205" s="1"/>
      <c r="LI205" s="1"/>
      <c r="LJ205" s="1"/>
      <c r="LK205" s="1"/>
      <c r="LL205" s="1"/>
      <c r="LM205" s="1"/>
      <c r="LN205" s="1"/>
      <c r="LO205" s="1"/>
      <c r="LP205" s="1"/>
    </row>
    <row r="206" spans="1:328" ht="1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2"/>
      <c r="BH206" s="2"/>
      <c r="BI206" s="2"/>
      <c r="BJ206" s="2"/>
      <c r="BK206" s="2"/>
      <c r="BL206" s="2"/>
      <c r="BM206" s="2"/>
      <c r="BN206" s="2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  <c r="IW206" s="1"/>
      <c r="IX206" s="1"/>
      <c r="IY206" s="1"/>
      <c r="IZ206" s="1"/>
      <c r="JA206" s="1"/>
      <c r="JB206" s="1"/>
      <c r="JC206" s="1"/>
      <c r="JD206" s="1"/>
      <c r="JE206" s="1"/>
      <c r="JF206" s="1"/>
      <c r="JG206" s="1"/>
      <c r="JH206" s="1"/>
      <c r="JI206" s="1"/>
      <c r="JJ206" s="1"/>
      <c r="JK206" s="1"/>
      <c r="JL206" s="1"/>
      <c r="JM206" s="1"/>
      <c r="JN206" s="1"/>
      <c r="JO206" s="1"/>
      <c r="JP206" s="1"/>
      <c r="JQ206" s="1"/>
      <c r="JR206" s="1"/>
      <c r="JS206" s="1"/>
      <c r="JT206" s="1"/>
      <c r="JU206" s="1"/>
      <c r="JV206" s="1"/>
      <c r="JW206" s="1"/>
      <c r="JX206" s="1"/>
      <c r="JY206" s="1"/>
      <c r="JZ206" s="1"/>
      <c r="KA206" s="1"/>
      <c r="KB206" s="1"/>
      <c r="KC206" s="1"/>
      <c r="KD206" s="1"/>
      <c r="KE206" s="1"/>
      <c r="KF206" s="1"/>
      <c r="KG206" s="1"/>
      <c r="KH206" s="1"/>
      <c r="KI206" s="1"/>
      <c r="KJ206" s="1"/>
      <c r="KK206" s="1"/>
      <c r="KL206" s="1"/>
      <c r="KM206" s="1"/>
      <c r="KN206" s="1"/>
      <c r="KO206" s="1"/>
      <c r="KP206" s="1"/>
      <c r="KQ206" s="1"/>
      <c r="KR206" s="1"/>
      <c r="KS206" s="1"/>
      <c r="KT206" s="1"/>
      <c r="KU206" s="1"/>
      <c r="KV206" s="1"/>
      <c r="KW206" s="1"/>
      <c r="KX206" s="1"/>
      <c r="KY206" s="1"/>
      <c r="KZ206" s="1"/>
      <c r="LA206" s="1"/>
      <c r="LB206" s="1"/>
      <c r="LC206" s="1"/>
      <c r="LD206" s="1"/>
      <c r="LE206" s="1"/>
      <c r="LF206" s="1"/>
      <c r="LG206" s="1"/>
      <c r="LH206" s="1"/>
      <c r="LI206" s="1"/>
      <c r="LJ206" s="1"/>
      <c r="LK206" s="1"/>
      <c r="LL206" s="1"/>
      <c r="LM206" s="1"/>
      <c r="LN206" s="1"/>
      <c r="LO206" s="1"/>
      <c r="LP206" s="1"/>
    </row>
    <row r="207" spans="1:328" ht="1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2"/>
      <c r="BH207" s="2"/>
      <c r="BI207" s="2"/>
      <c r="BJ207" s="2"/>
      <c r="BK207" s="2"/>
      <c r="BL207" s="2"/>
      <c r="BM207" s="2"/>
      <c r="BN207" s="2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  <c r="IW207" s="1"/>
      <c r="IX207" s="1"/>
      <c r="IY207" s="1"/>
      <c r="IZ207" s="1"/>
      <c r="JA207" s="1"/>
      <c r="JB207" s="1"/>
      <c r="JC207" s="1"/>
      <c r="JD207" s="1"/>
      <c r="JE207" s="1"/>
      <c r="JF207" s="1"/>
      <c r="JG207" s="1"/>
      <c r="JH207" s="1"/>
      <c r="JI207" s="1"/>
      <c r="JJ207" s="1"/>
      <c r="JK207" s="1"/>
      <c r="JL207" s="1"/>
      <c r="JM207" s="1"/>
      <c r="JN207" s="1"/>
      <c r="JO207" s="1"/>
      <c r="JP207" s="1"/>
      <c r="JQ207" s="1"/>
      <c r="JR207" s="1"/>
      <c r="JS207" s="1"/>
      <c r="JT207" s="1"/>
      <c r="JU207" s="1"/>
      <c r="JV207" s="1"/>
      <c r="JW207" s="1"/>
      <c r="JX207" s="1"/>
      <c r="JY207" s="1"/>
      <c r="JZ207" s="1"/>
      <c r="KA207" s="1"/>
      <c r="KB207" s="1"/>
      <c r="KC207" s="1"/>
      <c r="KD207" s="1"/>
      <c r="KE207" s="1"/>
      <c r="KF207" s="1"/>
      <c r="KG207" s="1"/>
      <c r="KH207" s="1"/>
      <c r="KI207" s="1"/>
      <c r="KJ207" s="1"/>
      <c r="KK207" s="1"/>
      <c r="KL207" s="1"/>
      <c r="KM207" s="1"/>
      <c r="KN207" s="1"/>
      <c r="KO207" s="1"/>
      <c r="KP207" s="1"/>
      <c r="KQ207" s="1"/>
      <c r="KR207" s="1"/>
      <c r="KS207" s="1"/>
      <c r="KT207" s="1"/>
      <c r="KU207" s="1"/>
      <c r="KV207" s="1"/>
      <c r="KW207" s="1"/>
      <c r="KX207" s="1"/>
      <c r="KY207" s="1"/>
      <c r="KZ207" s="1"/>
      <c r="LA207" s="1"/>
      <c r="LB207" s="1"/>
      <c r="LC207" s="1"/>
      <c r="LD207" s="1"/>
      <c r="LE207" s="1"/>
      <c r="LF207" s="1"/>
      <c r="LG207" s="1"/>
      <c r="LH207" s="1"/>
      <c r="LI207" s="1"/>
      <c r="LJ207" s="1"/>
      <c r="LK207" s="1"/>
      <c r="LL207" s="1"/>
      <c r="LM207" s="1"/>
      <c r="LN207" s="1"/>
      <c r="LO207" s="1"/>
      <c r="LP207" s="1"/>
    </row>
    <row r="208" spans="1:328" ht="1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2"/>
      <c r="BH208" s="2"/>
      <c r="BI208" s="2"/>
      <c r="BJ208" s="2"/>
      <c r="BK208" s="2"/>
      <c r="BL208" s="2"/>
      <c r="BM208" s="2"/>
      <c r="BN208" s="2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  <c r="IX208" s="1"/>
      <c r="IY208" s="1"/>
      <c r="IZ208" s="1"/>
      <c r="JA208" s="1"/>
      <c r="JB208" s="1"/>
      <c r="JC208" s="1"/>
      <c r="JD208" s="1"/>
      <c r="JE208" s="1"/>
      <c r="JF208" s="1"/>
      <c r="JG208" s="1"/>
      <c r="JH208" s="1"/>
      <c r="JI208" s="1"/>
      <c r="JJ208" s="1"/>
      <c r="JK208" s="1"/>
      <c r="JL208" s="1"/>
      <c r="JM208" s="1"/>
      <c r="JN208" s="1"/>
      <c r="JO208" s="1"/>
      <c r="JP208" s="1"/>
      <c r="JQ208" s="1"/>
      <c r="JR208" s="1"/>
      <c r="JS208" s="1"/>
      <c r="JT208" s="1"/>
      <c r="JU208" s="1"/>
      <c r="JV208" s="1"/>
      <c r="JW208" s="1"/>
      <c r="JX208" s="1"/>
      <c r="JY208" s="1"/>
      <c r="JZ208" s="1"/>
      <c r="KA208" s="1"/>
      <c r="KB208" s="1"/>
      <c r="KC208" s="1"/>
      <c r="KD208" s="1"/>
      <c r="KE208" s="1"/>
      <c r="KF208" s="1"/>
      <c r="KG208" s="1"/>
      <c r="KH208" s="1"/>
      <c r="KI208" s="1"/>
      <c r="KJ208" s="1"/>
      <c r="KK208" s="1"/>
      <c r="KL208" s="1"/>
      <c r="KM208" s="1"/>
      <c r="KN208" s="1"/>
      <c r="KO208" s="1"/>
      <c r="KP208" s="1"/>
      <c r="KQ208" s="1"/>
      <c r="KR208" s="1"/>
      <c r="KS208" s="1"/>
      <c r="KT208" s="1"/>
      <c r="KU208" s="1"/>
      <c r="KV208" s="1"/>
      <c r="KW208" s="1"/>
      <c r="KX208" s="1"/>
      <c r="KY208" s="1"/>
      <c r="KZ208" s="1"/>
      <c r="LA208" s="1"/>
      <c r="LB208" s="1"/>
      <c r="LC208" s="1"/>
      <c r="LD208" s="1"/>
      <c r="LE208" s="1"/>
      <c r="LF208" s="1"/>
      <c r="LG208" s="1"/>
      <c r="LH208" s="1"/>
      <c r="LI208" s="1"/>
      <c r="LJ208" s="1"/>
      <c r="LK208" s="1"/>
      <c r="LL208" s="1"/>
      <c r="LM208" s="1"/>
      <c r="LN208" s="1"/>
      <c r="LO208" s="1"/>
      <c r="LP208" s="1"/>
    </row>
    <row r="209" spans="1:328" ht="1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2"/>
      <c r="BH209" s="2"/>
      <c r="BI209" s="2"/>
      <c r="BJ209" s="2"/>
      <c r="BK209" s="2"/>
      <c r="BL209" s="2"/>
      <c r="BM209" s="2"/>
      <c r="BN209" s="2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  <c r="IX209" s="1"/>
      <c r="IY209" s="1"/>
      <c r="IZ209" s="1"/>
      <c r="JA209" s="1"/>
      <c r="JB209" s="1"/>
      <c r="JC209" s="1"/>
      <c r="JD209" s="1"/>
      <c r="JE209" s="1"/>
      <c r="JF209" s="1"/>
      <c r="JG209" s="1"/>
      <c r="JH209" s="1"/>
      <c r="JI209" s="1"/>
      <c r="JJ209" s="1"/>
      <c r="JK209" s="1"/>
      <c r="JL209" s="1"/>
      <c r="JM209" s="1"/>
      <c r="JN209" s="1"/>
      <c r="JO209" s="1"/>
      <c r="JP209" s="1"/>
      <c r="JQ209" s="1"/>
      <c r="JR209" s="1"/>
      <c r="JS209" s="1"/>
      <c r="JT209" s="1"/>
      <c r="JU209" s="1"/>
      <c r="JV209" s="1"/>
      <c r="JW209" s="1"/>
      <c r="JX209" s="1"/>
      <c r="JY209" s="1"/>
      <c r="JZ209" s="1"/>
      <c r="KA209" s="1"/>
      <c r="KB209" s="1"/>
      <c r="KC209" s="1"/>
      <c r="KD209" s="1"/>
      <c r="KE209" s="1"/>
      <c r="KF209" s="1"/>
      <c r="KG209" s="1"/>
      <c r="KH209" s="1"/>
      <c r="KI209" s="1"/>
      <c r="KJ209" s="1"/>
      <c r="KK209" s="1"/>
      <c r="KL209" s="1"/>
      <c r="KM209" s="1"/>
      <c r="KN209" s="1"/>
      <c r="KO209" s="1"/>
      <c r="KP209" s="1"/>
      <c r="KQ209" s="1"/>
      <c r="KR209" s="1"/>
      <c r="KS209" s="1"/>
      <c r="KT209" s="1"/>
      <c r="KU209" s="1"/>
      <c r="KV209" s="1"/>
      <c r="KW209" s="1"/>
      <c r="KX209" s="1"/>
      <c r="KY209" s="1"/>
      <c r="KZ209" s="1"/>
      <c r="LA209" s="1"/>
      <c r="LB209" s="1"/>
      <c r="LC209" s="1"/>
      <c r="LD209" s="1"/>
      <c r="LE209" s="1"/>
      <c r="LF209" s="1"/>
      <c r="LG209" s="1"/>
      <c r="LH209" s="1"/>
      <c r="LI209" s="1"/>
      <c r="LJ209" s="1"/>
      <c r="LK209" s="1"/>
      <c r="LL209" s="1"/>
      <c r="LM209" s="1"/>
      <c r="LN209" s="1"/>
      <c r="LO209" s="1"/>
      <c r="LP209" s="1"/>
    </row>
    <row r="210" spans="1:328" ht="1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2"/>
      <c r="BH210" s="2"/>
      <c r="BI210" s="2"/>
      <c r="BJ210" s="2"/>
      <c r="BK210" s="2"/>
      <c r="BL210" s="2"/>
      <c r="BM210" s="2"/>
      <c r="BN210" s="2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  <c r="IX210" s="1"/>
      <c r="IY210" s="1"/>
      <c r="IZ210" s="1"/>
      <c r="JA210" s="1"/>
      <c r="JB210" s="1"/>
      <c r="JC210" s="1"/>
      <c r="JD210" s="1"/>
      <c r="JE210" s="1"/>
      <c r="JF210" s="1"/>
      <c r="JG210" s="1"/>
      <c r="JH210" s="1"/>
      <c r="JI210" s="1"/>
      <c r="JJ210" s="1"/>
      <c r="JK210" s="1"/>
      <c r="JL210" s="1"/>
      <c r="JM210" s="1"/>
      <c r="JN210" s="1"/>
      <c r="JO210" s="1"/>
      <c r="JP210" s="1"/>
      <c r="JQ210" s="1"/>
      <c r="JR210" s="1"/>
      <c r="JS210" s="1"/>
      <c r="JT210" s="1"/>
      <c r="JU210" s="1"/>
      <c r="JV210" s="1"/>
      <c r="JW210" s="1"/>
      <c r="JX210" s="1"/>
      <c r="JY210" s="1"/>
      <c r="JZ210" s="1"/>
      <c r="KA210" s="1"/>
      <c r="KB210" s="1"/>
      <c r="KC210" s="1"/>
      <c r="KD210" s="1"/>
      <c r="KE210" s="1"/>
      <c r="KF210" s="1"/>
      <c r="KG210" s="1"/>
      <c r="KH210" s="1"/>
      <c r="KI210" s="1"/>
      <c r="KJ210" s="1"/>
      <c r="KK210" s="1"/>
      <c r="KL210" s="1"/>
      <c r="KM210" s="1"/>
      <c r="KN210" s="1"/>
      <c r="KO210" s="1"/>
      <c r="KP210" s="1"/>
      <c r="KQ210" s="1"/>
      <c r="KR210" s="1"/>
      <c r="KS210" s="1"/>
      <c r="KT210" s="1"/>
      <c r="KU210" s="1"/>
      <c r="KV210" s="1"/>
      <c r="KW210" s="1"/>
      <c r="KX210" s="1"/>
      <c r="KY210" s="1"/>
      <c r="KZ210" s="1"/>
      <c r="LA210" s="1"/>
      <c r="LB210" s="1"/>
      <c r="LC210" s="1"/>
      <c r="LD210" s="1"/>
      <c r="LE210" s="1"/>
      <c r="LF210" s="1"/>
      <c r="LG210" s="1"/>
      <c r="LH210" s="1"/>
      <c r="LI210" s="1"/>
      <c r="LJ210" s="1"/>
      <c r="LK210" s="1"/>
      <c r="LL210" s="1"/>
      <c r="LM210" s="1"/>
      <c r="LN210" s="1"/>
      <c r="LO210" s="1"/>
      <c r="LP210" s="1"/>
    </row>
    <row r="211" spans="1:328" ht="1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2"/>
      <c r="BH211" s="2"/>
      <c r="BI211" s="2"/>
      <c r="BJ211" s="2"/>
      <c r="BK211" s="2"/>
      <c r="BL211" s="2"/>
      <c r="BM211" s="2"/>
      <c r="BN211" s="2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  <c r="IW211" s="1"/>
      <c r="IX211" s="1"/>
      <c r="IY211" s="1"/>
      <c r="IZ211" s="1"/>
      <c r="JA211" s="1"/>
      <c r="JB211" s="1"/>
      <c r="JC211" s="1"/>
      <c r="JD211" s="1"/>
      <c r="JE211" s="1"/>
      <c r="JF211" s="1"/>
      <c r="JG211" s="1"/>
      <c r="JH211" s="1"/>
      <c r="JI211" s="1"/>
      <c r="JJ211" s="1"/>
      <c r="JK211" s="1"/>
      <c r="JL211" s="1"/>
      <c r="JM211" s="1"/>
      <c r="JN211" s="1"/>
      <c r="JO211" s="1"/>
      <c r="JP211" s="1"/>
      <c r="JQ211" s="1"/>
      <c r="JR211" s="1"/>
      <c r="JS211" s="1"/>
      <c r="JT211" s="1"/>
      <c r="JU211" s="1"/>
      <c r="JV211" s="1"/>
      <c r="JW211" s="1"/>
      <c r="JX211" s="1"/>
      <c r="JY211" s="1"/>
      <c r="JZ211" s="1"/>
      <c r="KA211" s="1"/>
      <c r="KB211" s="1"/>
      <c r="KC211" s="1"/>
      <c r="KD211" s="1"/>
      <c r="KE211" s="1"/>
      <c r="KF211" s="1"/>
      <c r="KG211" s="1"/>
      <c r="KH211" s="1"/>
      <c r="KI211" s="1"/>
      <c r="KJ211" s="1"/>
      <c r="KK211" s="1"/>
      <c r="KL211" s="1"/>
      <c r="KM211" s="1"/>
      <c r="KN211" s="1"/>
      <c r="KO211" s="1"/>
      <c r="KP211" s="1"/>
      <c r="KQ211" s="1"/>
      <c r="KR211" s="1"/>
      <c r="KS211" s="1"/>
      <c r="KT211" s="1"/>
      <c r="KU211" s="1"/>
      <c r="KV211" s="1"/>
      <c r="KW211" s="1"/>
      <c r="KX211" s="1"/>
      <c r="KY211" s="1"/>
      <c r="KZ211" s="1"/>
      <c r="LA211" s="1"/>
      <c r="LB211" s="1"/>
      <c r="LC211" s="1"/>
      <c r="LD211" s="1"/>
      <c r="LE211" s="1"/>
      <c r="LF211" s="1"/>
      <c r="LG211" s="1"/>
      <c r="LH211" s="1"/>
      <c r="LI211" s="1"/>
      <c r="LJ211" s="1"/>
      <c r="LK211" s="1"/>
      <c r="LL211" s="1"/>
      <c r="LM211" s="1"/>
      <c r="LN211" s="1"/>
      <c r="LO211" s="1"/>
      <c r="LP211" s="1"/>
    </row>
    <row r="212" spans="1:328" ht="1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2"/>
      <c r="BH212" s="2"/>
      <c r="BI212" s="2"/>
      <c r="BJ212" s="2"/>
      <c r="BK212" s="2"/>
      <c r="BL212" s="2"/>
      <c r="BM212" s="2"/>
      <c r="BN212" s="2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  <c r="IX212" s="1"/>
      <c r="IY212" s="1"/>
      <c r="IZ212" s="1"/>
      <c r="JA212" s="1"/>
      <c r="JB212" s="1"/>
      <c r="JC212" s="1"/>
      <c r="JD212" s="1"/>
      <c r="JE212" s="1"/>
      <c r="JF212" s="1"/>
      <c r="JG212" s="1"/>
      <c r="JH212" s="1"/>
      <c r="JI212" s="1"/>
      <c r="JJ212" s="1"/>
      <c r="JK212" s="1"/>
      <c r="JL212" s="1"/>
      <c r="JM212" s="1"/>
      <c r="JN212" s="1"/>
      <c r="JO212" s="1"/>
      <c r="JP212" s="1"/>
      <c r="JQ212" s="1"/>
      <c r="JR212" s="1"/>
      <c r="JS212" s="1"/>
      <c r="JT212" s="1"/>
      <c r="JU212" s="1"/>
      <c r="JV212" s="1"/>
      <c r="JW212" s="1"/>
      <c r="JX212" s="1"/>
      <c r="JY212" s="1"/>
      <c r="JZ212" s="1"/>
      <c r="KA212" s="1"/>
      <c r="KB212" s="1"/>
      <c r="KC212" s="1"/>
      <c r="KD212" s="1"/>
      <c r="KE212" s="1"/>
      <c r="KF212" s="1"/>
      <c r="KG212" s="1"/>
      <c r="KH212" s="1"/>
      <c r="KI212" s="1"/>
      <c r="KJ212" s="1"/>
      <c r="KK212" s="1"/>
      <c r="KL212" s="1"/>
      <c r="KM212" s="1"/>
      <c r="KN212" s="1"/>
      <c r="KO212" s="1"/>
      <c r="KP212" s="1"/>
      <c r="KQ212" s="1"/>
      <c r="KR212" s="1"/>
      <c r="KS212" s="1"/>
      <c r="KT212" s="1"/>
      <c r="KU212" s="1"/>
      <c r="KV212" s="1"/>
      <c r="KW212" s="1"/>
      <c r="KX212" s="1"/>
      <c r="KY212" s="1"/>
      <c r="KZ212" s="1"/>
      <c r="LA212" s="1"/>
      <c r="LB212" s="1"/>
      <c r="LC212" s="1"/>
      <c r="LD212" s="1"/>
      <c r="LE212" s="1"/>
      <c r="LF212" s="1"/>
      <c r="LG212" s="1"/>
      <c r="LH212" s="1"/>
      <c r="LI212" s="1"/>
      <c r="LJ212" s="1"/>
      <c r="LK212" s="1"/>
      <c r="LL212" s="1"/>
      <c r="LM212" s="1"/>
      <c r="LN212" s="1"/>
      <c r="LO212" s="1"/>
      <c r="LP212" s="1"/>
    </row>
    <row r="213" spans="1:328" ht="1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2"/>
      <c r="BH213" s="2"/>
      <c r="BI213" s="2"/>
      <c r="BJ213" s="2"/>
      <c r="BK213" s="2"/>
      <c r="BL213" s="2"/>
      <c r="BM213" s="2"/>
      <c r="BN213" s="2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  <c r="IY213" s="1"/>
      <c r="IZ213" s="1"/>
      <c r="JA213" s="1"/>
      <c r="JB213" s="1"/>
      <c r="JC213" s="1"/>
      <c r="JD213" s="1"/>
      <c r="JE213" s="1"/>
      <c r="JF213" s="1"/>
      <c r="JG213" s="1"/>
      <c r="JH213" s="1"/>
      <c r="JI213" s="1"/>
      <c r="JJ213" s="1"/>
      <c r="JK213" s="1"/>
      <c r="JL213" s="1"/>
      <c r="JM213" s="1"/>
      <c r="JN213" s="1"/>
      <c r="JO213" s="1"/>
      <c r="JP213" s="1"/>
      <c r="JQ213" s="1"/>
      <c r="JR213" s="1"/>
      <c r="JS213" s="1"/>
      <c r="JT213" s="1"/>
      <c r="JU213" s="1"/>
      <c r="JV213" s="1"/>
      <c r="JW213" s="1"/>
      <c r="JX213" s="1"/>
      <c r="JY213" s="1"/>
      <c r="JZ213" s="1"/>
      <c r="KA213" s="1"/>
      <c r="KB213" s="1"/>
      <c r="KC213" s="1"/>
      <c r="KD213" s="1"/>
      <c r="KE213" s="1"/>
      <c r="KF213" s="1"/>
      <c r="KG213" s="1"/>
      <c r="KH213" s="1"/>
      <c r="KI213" s="1"/>
      <c r="KJ213" s="1"/>
      <c r="KK213" s="1"/>
      <c r="KL213" s="1"/>
      <c r="KM213" s="1"/>
      <c r="KN213" s="1"/>
      <c r="KO213" s="1"/>
      <c r="KP213" s="1"/>
      <c r="KQ213" s="1"/>
      <c r="KR213" s="1"/>
      <c r="KS213" s="1"/>
      <c r="KT213" s="1"/>
      <c r="KU213" s="1"/>
      <c r="KV213" s="1"/>
      <c r="KW213" s="1"/>
      <c r="KX213" s="1"/>
      <c r="KY213" s="1"/>
      <c r="KZ213" s="1"/>
      <c r="LA213" s="1"/>
      <c r="LB213" s="1"/>
      <c r="LC213" s="1"/>
      <c r="LD213" s="1"/>
      <c r="LE213" s="1"/>
      <c r="LF213" s="1"/>
      <c r="LG213" s="1"/>
      <c r="LH213" s="1"/>
      <c r="LI213" s="1"/>
      <c r="LJ213" s="1"/>
      <c r="LK213" s="1"/>
      <c r="LL213" s="1"/>
      <c r="LM213" s="1"/>
      <c r="LN213" s="1"/>
      <c r="LO213" s="1"/>
      <c r="LP213" s="1"/>
    </row>
    <row r="214" spans="1:328" ht="1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2"/>
      <c r="BH214" s="2"/>
      <c r="BI214" s="2"/>
      <c r="BJ214" s="2"/>
      <c r="BK214" s="2"/>
      <c r="BL214" s="2"/>
      <c r="BM214" s="2"/>
      <c r="BN214" s="2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  <c r="IX214" s="1"/>
      <c r="IY214" s="1"/>
      <c r="IZ214" s="1"/>
      <c r="JA214" s="1"/>
      <c r="JB214" s="1"/>
      <c r="JC214" s="1"/>
      <c r="JD214" s="1"/>
      <c r="JE214" s="1"/>
      <c r="JF214" s="1"/>
      <c r="JG214" s="1"/>
      <c r="JH214" s="1"/>
      <c r="JI214" s="1"/>
      <c r="JJ214" s="1"/>
      <c r="JK214" s="1"/>
      <c r="JL214" s="1"/>
      <c r="JM214" s="1"/>
      <c r="JN214" s="1"/>
      <c r="JO214" s="1"/>
      <c r="JP214" s="1"/>
      <c r="JQ214" s="1"/>
      <c r="JR214" s="1"/>
      <c r="JS214" s="1"/>
      <c r="JT214" s="1"/>
      <c r="JU214" s="1"/>
      <c r="JV214" s="1"/>
      <c r="JW214" s="1"/>
      <c r="JX214" s="1"/>
      <c r="JY214" s="1"/>
      <c r="JZ214" s="1"/>
      <c r="KA214" s="1"/>
      <c r="KB214" s="1"/>
      <c r="KC214" s="1"/>
      <c r="KD214" s="1"/>
      <c r="KE214" s="1"/>
      <c r="KF214" s="1"/>
      <c r="KG214" s="1"/>
      <c r="KH214" s="1"/>
      <c r="KI214" s="1"/>
      <c r="KJ214" s="1"/>
      <c r="KK214" s="1"/>
      <c r="KL214" s="1"/>
      <c r="KM214" s="1"/>
      <c r="KN214" s="1"/>
      <c r="KO214" s="1"/>
      <c r="KP214" s="1"/>
      <c r="KQ214" s="1"/>
      <c r="KR214" s="1"/>
      <c r="KS214" s="1"/>
      <c r="KT214" s="1"/>
      <c r="KU214" s="1"/>
      <c r="KV214" s="1"/>
      <c r="KW214" s="1"/>
      <c r="KX214" s="1"/>
      <c r="KY214" s="1"/>
      <c r="KZ214" s="1"/>
      <c r="LA214" s="1"/>
      <c r="LB214" s="1"/>
      <c r="LC214" s="1"/>
      <c r="LD214" s="1"/>
      <c r="LE214" s="1"/>
      <c r="LF214" s="1"/>
      <c r="LG214" s="1"/>
      <c r="LH214" s="1"/>
      <c r="LI214" s="1"/>
      <c r="LJ214" s="1"/>
      <c r="LK214" s="1"/>
      <c r="LL214" s="1"/>
      <c r="LM214" s="1"/>
      <c r="LN214" s="1"/>
      <c r="LO214" s="1"/>
      <c r="LP214" s="1"/>
    </row>
    <row r="215" spans="1:328" ht="1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2"/>
      <c r="BH215" s="2"/>
      <c r="BI215" s="2"/>
      <c r="BJ215" s="2"/>
      <c r="BK215" s="2"/>
      <c r="BL215" s="2"/>
      <c r="BM215" s="2"/>
      <c r="BN215" s="2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  <c r="IY215" s="1"/>
      <c r="IZ215" s="1"/>
      <c r="JA215" s="1"/>
      <c r="JB215" s="1"/>
      <c r="JC215" s="1"/>
      <c r="JD215" s="1"/>
      <c r="JE215" s="1"/>
      <c r="JF215" s="1"/>
      <c r="JG215" s="1"/>
      <c r="JH215" s="1"/>
      <c r="JI215" s="1"/>
      <c r="JJ215" s="1"/>
      <c r="JK215" s="1"/>
      <c r="JL215" s="1"/>
      <c r="JM215" s="1"/>
      <c r="JN215" s="1"/>
      <c r="JO215" s="1"/>
      <c r="JP215" s="1"/>
      <c r="JQ215" s="1"/>
      <c r="JR215" s="1"/>
      <c r="JS215" s="1"/>
      <c r="JT215" s="1"/>
      <c r="JU215" s="1"/>
      <c r="JV215" s="1"/>
      <c r="JW215" s="1"/>
      <c r="JX215" s="1"/>
      <c r="JY215" s="1"/>
      <c r="JZ215" s="1"/>
      <c r="KA215" s="1"/>
      <c r="KB215" s="1"/>
      <c r="KC215" s="1"/>
      <c r="KD215" s="1"/>
      <c r="KE215" s="1"/>
      <c r="KF215" s="1"/>
      <c r="KG215" s="1"/>
      <c r="KH215" s="1"/>
      <c r="KI215" s="1"/>
      <c r="KJ215" s="1"/>
      <c r="KK215" s="1"/>
      <c r="KL215" s="1"/>
      <c r="KM215" s="1"/>
      <c r="KN215" s="1"/>
      <c r="KO215" s="1"/>
      <c r="KP215" s="1"/>
      <c r="KQ215" s="1"/>
      <c r="KR215" s="1"/>
      <c r="KS215" s="1"/>
      <c r="KT215" s="1"/>
      <c r="KU215" s="1"/>
      <c r="KV215" s="1"/>
      <c r="KW215" s="1"/>
      <c r="KX215" s="1"/>
      <c r="KY215" s="1"/>
      <c r="KZ215" s="1"/>
      <c r="LA215" s="1"/>
      <c r="LB215" s="1"/>
      <c r="LC215" s="1"/>
      <c r="LD215" s="1"/>
      <c r="LE215" s="1"/>
      <c r="LF215" s="1"/>
      <c r="LG215" s="1"/>
      <c r="LH215" s="1"/>
      <c r="LI215" s="1"/>
      <c r="LJ215" s="1"/>
      <c r="LK215" s="1"/>
      <c r="LL215" s="1"/>
      <c r="LM215" s="1"/>
      <c r="LN215" s="1"/>
      <c r="LO215" s="1"/>
      <c r="LP215" s="1"/>
    </row>
    <row r="216" spans="1:328" ht="1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2"/>
      <c r="BH216" s="2"/>
      <c r="BI216" s="2"/>
      <c r="BJ216" s="2"/>
      <c r="BK216" s="2"/>
      <c r="BL216" s="2"/>
      <c r="BM216" s="2"/>
      <c r="BN216" s="2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  <c r="IX216" s="1"/>
      <c r="IY216" s="1"/>
      <c r="IZ216" s="1"/>
      <c r="JA216" s="1"/>
      <c r="JB216" s="1"/>
      <c r="JC216" s="1"/>
      <c r="JD216" s="1"/>
      <c r="JE216" s="1"/>
      <c r="JF216" s="1"/>
      <c r="JG216" s="1"/>
      <c r="JH216" s="1"/>
      <c r="JI216" s="1"/>
      <c r="JJ216" s="1"/>
      <c r="JK216" s="1"/>
      <c r="JL216" s="1"/>
      <c r="JM216" s="1"/>
      <c r="JN216" s="1"/>
      <c r="JO216" s="1"/>
      <c r="JP216" s="1"/>
      <c r="JQ216" s="1"/>
      <c r="JR216" s="1"/>
      <c r="JS216" s="1"/>
      <c r="JT216" s="1"/>
      <c r="JU216" s="1"/>
      <c r="JV216" s="1"/>
      <c r="JW216" s="1"/>
      <c r="JX216" s="1"/>
      <c r="JY216" s="1"/>
      <c r="JZ216" s="1"/>
      <c r="KA216" s="1"/>
      <c r="KB216" s="1"/>
      <c r="KC216" s="1"/>
      <c r="KD216" s="1"/>
      <c r="KE216" s="1"/>
      <c r="KF216" s="1"/>
      <c r="KG216" s="1"/>
      <c r="KH216" s="1"/>
      <c r="KI216" s="1"/>
      <c r="KJ216" s="1"/>
      <c r="KK216" s="1"/>
      <c r="KL216" s="1"/>
      <c r="KM216" s="1"/>
      <c r="KN216" s="1"/>
      <c r="KO216" s="1"/>
      <c r="KP216" s="1"/>
      <c r="KQ216" s="1"/>
      <c r="KR216" s="1"/>
      <c r="KS216" s="1"/>
      <c r="KT216" s="1"/>
      <c r="KU216" s="1"/>
      <c r="KV216" s="1"/>
      <c r="KW216" s="1"/>
      <c r="KX216" s="1"/>
      <c r="KY216" s="1"/>
      <c r="KZ216" s="1"/>
      <c r="LA216" s="1"/>
      <c r="LB216" s="1"/>
      <c r="LC216" s="1"/>
      <c r="LD216" s="1"/>
      <c r="LE216" s="1"/>
      <c r="LF216" s="1"/>
      <c r="LG216" s="1"/>
      <c r="LH216" s="1"/>
      <c r="LI216" s="1"/>
      <c r="LJ216" s="1"/>
      <c r="LK216" s="1"/>
      <c r="LL216" s="1"/>
      <c r="LM216" s="1"/>
      <c r="LN216" s="1"/>
      <c r="LO216" s="1"/>
      <c r="LP216" s="1"/>
    </row>
    <row r="217" spans="1:328" ht="1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2"/>
      <c r="BH217" s="2"/>
      <c r="BI217" s="2"/>
      <c r="BJ217" s="2"/>
      <c r="BK217" s="2"/>
      <c r="BL217" s="2"/>
      <c r="BM217" s="2"/>
      <c r="BN217" s="2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  <c r="IY217" s="1"/>
      <c r="IZ217" s="1"/>
      <c r="JA217" s="1"/>
      <c r="JB217" s="1"/>
      <c r="JC217" s="1"/>
      <c r="JD217" s="1"/>
      <c r="JE217" s="1"/>
      <c r="JF217" s="1"/>
      <c r="JG217" s="1"/>
      <c r="JH217" s="1"/>
      <c r="JI217" s="1"/>
      <c r="JJ217" s="1"/>
      <c r="JK217" s="1"/>
      <c r="JL217" s="1"/>
      <c r="JM217" s="1"/>
      <c r="JN217" s="1"/>
      <c r="JO217" s="1"/>
      <c r="JP217" s="1"/>
      <c r="JQ217" s="1"/>
      <c r="JR217" s="1"/>
      <c r="JS217" s="1"/>
      <c r="JT217" s="1"/>
      <c r="JU217" s="1"/>
      <c r="JV217" s="1"/>
      <c r="JW217" s="1"/>
      <c r="JX217" s="1"/>
      <c r="JY217" s="1"/>
      <c r="JZ217" s="1"/>
      <c r="KA217" s="1"/>
      <c r="KB217" s="1"/>
      <c r="KC217" s="1"/>
      <c r="KD217" s="1"/>
      <c r="KE217" s="1"/>
      <c r="KF217" s="1"/>
      <c r="KG217" s="1"/>
      <c r="KH217" s="1"/>
      <c r="KI217" s="1"/>
      <c r="KJ217" s="1"/>
      <c r="KK217" s="1"/>
      <c r="KL217" s="1"/>
      <c r="KM217" s="1"/>
      <c r="KN217" s="1"/>
      <c r="KO217" s="1"/>
      <c r="KP217" s="1"/>
      <c r="KQ217" s="1"/>
      <c r="KR217" s="1"/>
      <c r="KS217" s="1"/>
      <c r="KT217" s="1"/>
      <c r="KU217" s="1"/>
      <c r="KV217" s="1"/>
      <c r="KW217" s="1"/>
      <c r="KX217" s="1"/>
      <c r="KY217" s="1"/>
      <c r="KZ217" s="1"/>
      <c r="LA217" s="1"/>
      <c r="LB217" s="1"/>
      <c r="LC217" s="1"/>
      <c r="LD217" s="1"/>
      <c r="LE217" s="1"/>
      <c r="LF217" s="1"/>
      <c r="LG217" s="1"/>
      <c r="LH217" s="1"/>
      <c r="LI217" s="1"/>
      <c r="LJ217" s="1"/>
      <c r="LK217" s="1"/>
      <c r="LL217" s="1"/>
      <c r="LM217" s="1"/>
      <c r="LN217" s="1"/>
      <c r="LO217" s="1"/>
      <c r="LP217" s="1"/>
    </row>
    <row r="218" spans="1:328" ht="1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2"/>
      <c r="BH218" s="2"/>
      <c r="BI218" s="2"/>
      <c r="BJ218" s="2"/>
      <c r="BK218" s="2"/>
      <c r="BL218" s="2"/>
      <c r="BM218" s="2"/>
      <c r="BN218" s="2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  <c r="IX218" s="1"/>
      <c r="IY218" s="1"/>
      <c r="IZ218" s="1"/>
      <c r="JA218" s="1"/>
      <c r="JB218" s="1"/>
      <c r="JC218" s="1"/>
      <c r="JD218" s="1"/>
      <c r="JE218" s="1"/>
      <c r="JF218" s="1"/>
      <c r="JG218" s="1"/>
      <c r="JH218" s="1"/>
      <c r="JI218" s="1"/>
      <c r="JJ218" s="1"/>
      <c r="JK218" s="1"/>
      <c r="JL218" s="1"/>
      <c r="JM218" s="1"/>
      <c r="JN218" s="1"/>
      <c r="JO218" s="1"/>
      <c r="JP218" s="1"/>
      <c r="JQ218" s="1"/>
      <c r="JR218" s="1"/>
      <c r="JS218" s="1"/>
      <c r="JT218" s="1"/>
      <c r="JU218" s="1"/>
      <c r="JV218" s="1"/>
      <c r="JW218" s="1"/>
      <c r="JX218" s="1"/>
      <c r="JY218" s="1"/>
      <c r="JZ218" s="1"/>
      <c r="KA218" s="1"/>
      <c r="KB218" s="1"/>
      <c r="KC218" s="1"/>
      <c r="KD218" s="1"/>
      <c r="KE218" s="1"/>
      <c r="KF218" s="1"/>
      <c r="KG218" s="1"/>
      <c r="KH218" s="1"/>
      <c r="KI218" s="1"/>
      <c r="KJ218" s="1"/>
      <c r="KK218" s="1"/>
      <c r="KL218" s="1"/>
      <c r="KM218" s="1"/>
      <c r="KN218" s="1"/>
      <c r="KO218" s="1"/>
      <c r="KP218" s="1"/>
      <c r="KQ218" s="1"/>
      <c r="KR218" s="1"/>
      <c r="KS218" s="1"/>
      <c r="KT218" s="1"/>
      <c r="KU218" s="1"/>
      <c r="KV218" s="1"/>
      <c r="KW218" s="1"/>
      <c r="KX218" s="1"/>
      <c r="KY218" s="1"/>
      <c r="KZ218" s="1"/>
      <c r="LA218" s="1"/>
      <c r="LB218" s="1"/>
      <c r="LC218" s="1"/>
      <c r="LD218" s="1"/>
      <c r="LE218" s="1"/>
      <c r="LF218" s="1"/>
      <c r="LG218" s="1"/>
      <c r="LH218" s="1"/>
      <c r="LI218" s="1"/>
      <c r="LJ218" s="1"/>
      <c r="LK218" s="1"/>
      <c r="LL218" s="1"/>
      <c r="LM218" s="1"/>
      <c r="LN218" s="1"/>
      <c r="LO218" s="1"/>
      <c r="LP218" s="1"/>
    </row>
    <row r="219" spans="1:328" ht="1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2"/>
      <c r="BH219" s="2"/>
      <c r="BI219" s="2"/>
      <c r="BJ219" s="2"/>
      <c r="BK219" s="2"/>
      <c r="BL219" s="2"/>
      <c r="BM219" s="2"/>
      <c r="BN219" s="2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  <c r="IY219" s="1"/>
      <c r="IZ219" s="1"/>
      <c r="JA219" s="1"/>
      <c r="JB219" s="1"/>
      <c r="JC219" s="1"/>
      <c r="JD219" s="1"/>
      <c r="JE219" s="1"/>
      <c r="JF219" s="1"/>
      <c r="JG219" s="1"/>
      <c r="JH219" s="1"/>
      <c r="JI219" s="1"/>
      <c r="JJ219" s="1"/>
      <c r="JK219" s="1"/>
      <c r="JL219" s="1"/>
      <c r="JM219" s="1"/>
      <c r="JN219" s="1"/>
      <c r="JO219" s="1"/>
      <c r="JP219" s="1"/>
      <c r="JQ219" s="1"/>
      <c r="JR219" s="1"/>
      <c r="JS219" s="1"/>
      <c r="JT219" s="1"/>
      <c r="JU219" s="1"/>
      <c r="JV219" s="1"/>
      <c r="JW219" s="1"/>
      <c r="JX219" s="1"/>
      <c r="JY219" s="1"/>
      <c r="JZ219" s="1"/>
      <c r="KA219" s="1"/>
      <c r="KB219" s="1"/>
      <c r="KC219" s="1"/>
      <c r="KD219" s="1"/>
      <c r="KE219" s="1"/>
      <c r="KF219" s="1"/>
      <c r="KG219" s="1"/>
      <c r="KH219" s="1"/>
      <c r="KI219" s="1"/>
      <c r="KJ219" s="1"/>
      <c r="KK219" s="1"/>
      <c r="KL219" s="1"/>
      <c r="KM219" s="1"/>
      <c r="KN219" s="1"/>
      <c r="KO219" s="1"/>
      <c r="KP219" s="1"/>
      <c r="KQ219" s="1"/>
      <c r="KR219" s="1"/>
      <c r="KS219" s="1"/>
      <c r="KT219" s="1"/>
      <c r="KU219" s="1"/>
      <c r="KV219" s="1"/>
      <c r="KW219" s="1"/>
      <c r="KX219" s="1"/>
      <c r="KY219" s="1"/>
      <c r="KZ219" s="1"/>
      <c r="LA219" s="1"/>
      <c r="LB219" s="1"/>
      <c r="LC219" s="1"/>
      <c r="LD219" s="1"/>
      <c r="LE219" s="1"/>
      <c r="LF219" s="1"/>
      <c r="LG219" s="1"/>
      <c r="LH219" s="1"/>
      <c r="LI219" s="1"/>
      <c r="LJ219" s="1"/>
      <c r="LK219" s="1"/>
      <c r="LL219" s="1"/>
      <c r="LM219" s="1"/>
      <c r="LN219" s="1"/>
      <c r="LO219" s="1"/>
      <c r="LP219" s="1"/>
    </row>
    <row r="220" spans="1:328" ht="1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2"/>
      <c r="BH220" s="2"/>
      <c r="BI220" s="2"/>
      <c r="BJ220" s="2"/>
      <c r="BK220" s="2"/>
      <c r="BL220" s="2"/>
      <c r="BM220" s="2"/>
      <c r="BN220" s="2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  <c r="IX220" s="1"/>
      <c r="IY220" s="1"/>
      <c r="IZ220" s="1"/>
      <c r="JA220" s="1"/>
      <c r="JB220" s="1"/>
      <c r="JC220" s="1"/>
      <c r="JD220" s="1"/>
      <c r="JE220" s="1"/>
      <c r="JF220" s="1"/>
      <c r="JG220" s="1"/>
      <c r="JH220" s="1"/>
      <c r="JI220" s="1"/>
      <c r="JJ220" s="1"/>
      <c r="JK220" s="1"/>
      <c r="JL220" s="1"/>
      <c r="JM220" s="1"/>
      <c r="JN220" s="1"/>
      <c r="JO220" s="1"/>
      <c r="JP220" s="1"/>
      <c r="JQ220" s="1"/>
      <c r="JR220" s="1"/>
      <c r="JS220" s="1"/>
      <c r="JT220" s="1"/>
      <c r="JU220" s="1"/>
      <c r="JV220" s="1"/>
      <c r="JW220" s="1"/>
      <c r="JX220" s="1"/>
      <c r="JY220" s="1"/>
      <c r="JZ220" s="1"/>
      <c r="KA220" s="1"/>
      <c r="KB220" s="1"/>
      <c r="KC220" s="1"/>
      <c r="KD220" s="1"/>
      <c r="KE220" s="1"/>
      <c r="KF220" s="1"/>
      <c r="KG220" s="1"/>
      <c r="KH220" s="1"/>
      <c r="KI220" s="1"/>
      <c r="KJ220" s="1"/>
      <c r="KK220" s="1"/>
      <c r="KL220" s="1"/>
      <c r="KM220" s="1"/>
      <c r="KN220" s="1"/>
      <c r="KO220" s="1"/>
      <c r="KP220" s="1"/>
      <c r="KQ220" s="1"/>
      <c r="KR220" s="1"/>
      <c r="KS220" s="1"/>
      <c r="KT220" s="1"/>
      <c r="KU220" s="1"/>
      <c r="KV220" s="1"/>
      <c r="KW220" s="1"/>
      <c r="KX220" s="1"/>
      <c r="KY220" s="1"/>
      <c r="KZ220" s="1"/>
      <c r="LA220" s="1"/>
      <c r="LB220" s="1"/>
      <c r="LC220" s="1"/>
      <c r="LD220" s="1"/>
      <c r="LE220" s="1"/>
      <c r="LF220" s="1"/>
      <c r="LG220" s="1"/>
      <c r="LH220" s="1"/>
      <c r="LI220" s="1"/>
      <c r="LJ220" s="1"/>
      <c r="LK220" s="1"/>
      <c r="LL220" s="1"/>
      <c r="LM220" s="1"/>
      <c r="LN220" s="1"/>
      <c r="LO220" s="1"/>
      <c r="LP220" s="1"/>
    </row>
    <row r="221" spans="1:328" ht="1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2"/>
      <c r="BH221" s="2"/>
      <c r="BI221" s="2"/>
      <c r="BJ221" s="2"/>
      <c r="BK221" s="2"/>
      <c r="BL221" s="2"/>
      <c r="BM221" s="2"/>
      <c r="BN221" s="2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/>
      <c r="IY221" s="1"/>
      <c r="IZ221" s="1"/>
      <c r="JA221" s="1"/>
      <c r="JB221" s="1"/>
      <c r="JC221" s="1"/>
      <c r="JD221" s="1"/>
      <c r="JE221" s="1"/>
      <c r="JF221" s="1"/>
      <c r="JG221" s="1"/>
      <c r="JH221" s="1"/>
      <c r="JI221" s="1"/>
      <c r="JJ221" s="1"/>
      <c r="JK221" s="1"/>
      <c r="JL221" s="1"/>
      <c r="JM221" s="1"/>
      <c r="JN221" s="1"/>
      <c r="JO221" s="1"/>
      <c r="JP221" s="1"/>
      <c r="JQ221" s="1"/>
      <c r="JR221" s="1"/>
      <c r="JS221" s="1"/>
      <c r="JT221" s="1"/>
      <c r="JU221" s="1"/>
      <c r="JV221" s="1"/>
      <c r="JW221" s="1"/>
      <c r="JX221" s="1"/>
      <c r="JY221" s="1"/>
      <c r="JZ221" s="1"/>
      <c r="KA221" s="1"/>
      <c r="KB221" s="1"/>
      <c r="KC221" s="1"/>
      <c r="KD221" s="1"/>
      <c r="KE221" s="1"/>
      <c r="KF221" s="1"/>
      <c r="KG221" s="1"/>
      <c r="KH221" s="1"/>
      <c r="KI221" s="1"/>
      <c r="KJ221" s="1"/>
      <c r="KK221" s="1"/>
      <c r="KL221" s="1"/>
      <c r="KM221" s="1"/>
      <c r="KN221" s="1"/>
      <c r="KO221" s="1"/>
      <c r="KP221" s="1"/>
      <c r="KQ221" s="1"/>
      <c r="KR221" s="1"/>
      <c r="KS221" s="1"/>
      <c r="KT221" s="1"/>
      <c r="KU221" s="1"/>
      <c r="KV221" s="1"/>
      <c r="KW221" s="1"/>
      <c r="KX221" s="1"/>
      <c r="KY221" s="1"/>
      <c r="KZ221" s="1"/>
      <c r="LA221" s="1"/>
      <c r="LB221" s="1"/>
      <c r="LC221" s="1"/>
      <c r="LD221" s="1"/>
      <c r="LE221" s="1"/>
      <c r="LF221" s="1"/>
      <c r="LG221" s="1"/>
      <c r="LH221" s="1"/>
      <c r="LI221" s="1"/>
      <c r="LJ221" s="1"/>
      <c r="LK221" s="1"/>
      <c r="LL221" s="1"/>
      <c r="LM221" s="1"/>
      <c r="LN221" s="1"/>
      <c r="LO221" s="1"/>
      <c r="LP221" s="1"/>
    </row>
    <row r="222" spans="1:328" ht="1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2"/>
      <c r="BH222" s="2"/>
      <c r="BI222" s="2"/>
      <c r="BJ222" s="2"/>
      <c r="BK222" s="2"/>
      <c r="BL222" s="2"/>
      <c r="BM222" s="2"/>
      <c r="BN222" s="2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  <c r="IX222" s="1"/>
      <c r="IY222" s="1"/>
      <c r="IZ222" s="1"/>
      <c r="JA222" s="1"/>
      <c r="JB222" s="1"/>
      <c r="JC222" s="1"/>
      <c r="JD222" s="1"/>
      <c r="JE222" s="1"/>
      <c r="JF222" s="1"/>
      <c r="JG222" s="1"/>
      <c r="JH222" s="1"/>
      <c r="JI222" s="1"/>
      <c r="JJ222" s="1"/>
      <c r="JK222" s="1"/>
      <c r="JL222" s="1"/>
      <c r="JM222" s="1"/>
      <c r="JN222" s="1"/>
      <c r="JO222" s="1"/>
      <c r="JP222" s="1"/>
      <c r="JQ222" s="1"/>
      <c r="JR222" s="1"/>
      <c r="JS222" s="1"/>
      <c r="JT222" s="1"/>
      <c r="JU222" s="1"/>
      <c r="JV222" s="1"/>
      <c r="JW222" s="1"/>
      <c r="JX222" s="1"/>
      <c r="JY222" s="1"/>
      <c r="JZ222" s="1"/>
      <c r="KA222" s="1"/>
      <c r="KB222" s="1"/>
      <c r="KC222" s="1"/>
      <c r="KD222" s="1"/>
      <c r="KE222" s="1"/>
      <c r="KF222" s="1"/>
      <c r="KG222" s="1"/>
      <c r="KH222" s="1"/>
      <c r="KI222" s="1"/>
      <c r="KJ222" s="1"/>
      <c r="KK222" s="1"/>
      <c r="KL222" s="1"/>
      <c r="KM222" s="1"/>
      <c r="KN222" s="1"/>
      <c r="KO222" s="1"/>
      <c r="KP222" s="1"/>
      <c r="KQ222" s="1"/>
      <c r="KR222" s="1"/>
      <c r="KS222" s="1"/>
      <c r="KT222" s="1"/>
      <c r="KU222" s="1"/>
      <c r="KV222" s="1"/>
      <c r="KW222" s="1"/>
      <c r="KX222" s="1"/>
      <c r="KY222" s="1"/>
      <c r="KZ222" s="1"/>
      <c r="LA222" s="1"/>
      <c r="LB222" s="1"/>
      <c r="LC222" s="1"/>
      <c r="LD222" s="1"/>
      <c r="LE222" s="1"/>
      <c r="LF222" s="1"/>
      <c r="LG222" s="1"/>
      <c r="LH222" s="1"/>
      <c r="LI222" s="1"/>
      <c r="LJ222" s="1"/>
      <c r="LK222" s="1"/>
      <c r="LL222" s="1"/>
      <c r="LM222" s="1"/>
      <c r="LN222" s="1"/>
      <c r="LO222" s="1"/>
      <c r="LP222" s="1"/>
    </row>
    <row r="223" spans="1:328" ht="1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2"/>
      <c r="BH223" s="2"/>
      <c r="BI223" s="2"/>
      <c r="BJ223" s="2"/>
      <c r="BK223" s="2"/>
      <c r="BL223" s="2"/>
      <c r="BM223" s="2"/>
      <c r="BN223" s="2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  <c r="IX223" s="1"/>
      <c r="IY223" s="1"/>
      <c r="IZ223" s="1"/>
      <c r="JA223" s="1"/>
      <c r="JB223" s="1"/>
      <c r="JC223" s="1"/>
      <c r="JD223" s="1"/>
      <c r="JE223" s="1"/>
      <c r="JF223" s="1"/>
      <c r="JG223" s="1"/>
      <c r="JH223" s="1"/>
      <c r="JI223" s="1"/>
      <c r="JJ223" s="1"/>
      <c r="JK223" s="1"/>
      <c r="JL223" s="1"/>
      <c r="JM223" s="1"/>
      <c r="JN223" s="1"/>
      <c r="JO223" s="1"/>
      <c r="JP223" s="1"/>
      <c r="JQ223" s="1"/>
      <c r="JR223" s="1"/>
      <c r="JS223" s="1"/>
      <c r="JT223" s="1"/>
      <c r="JU223" s="1"/>
      <c r="JV223" s="1"/>
      <c r="JW223" s="1"/>
      <c r="JX223" s="1"/>
      <c r="JY223" s="1"/>
      <c r="JZ223" s="1"/>
      <c r="KA223" s="1"/>
      <c r="KB223" s="1"/>
      <c r="KC223" s="1"/>
      <c r="KD223" s="1"/>
      <c r="KE223" s="1"/>
      <c r="KF223" s="1"/>
      <c r="KG223" s="1"/>
      <c r="KH223" s="1"/>
      <c r="KI223" s="1"/>
      <c r="KJ223" s="1"/>
      <c r="KK223" s="1"/>
      <c r="KL223" s="1"/>
      <c r="KM223" s="1"/>
      <c r="KN223" s="1"/>
      <c r="KO223" s="1"/>
      <c r="KP223" s="1"/>
      <c r="KQ223" s="1"/>
      <c r="KR223" s="1"/>
      <c r="KS223" s="1"/>
      <c r="KT223" s="1"/>
      <c r="KU223" s="1"/>
      <c r="KV223" s="1"/>
      <c r="KW223" s="1"/>
      <c r="KX223" s="1"/>
      <c r="KY223" s="1"/>
      <c r="KZ223" s="1"/>
      <c r="LA223" s="1"/>
      <c r="LB223" s="1"/>
      <c r="LC223" s="1"/>
      <c r="LD223" s="1"/>
      <c r="LE223" s="1"/>
      <c r="LF223" s="1"/>
      <c r="LG223" s="1"/>
      <c r="LH223" s="1"/>
      <c r="LI223" s="1"/>
      <c r="LJ223" s="1"/>
      <c r="LK223" s="1"/>
      <c r="LL223" s="1"/>
      <c r="LM223" s="1"/>
      <c r="LN223" s="1"/>
      <c r="LO223" s="1"/>
      <c r="LP223" s="1"/>
    </row>
    <row r="224" spans="1:328" ht="1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2"/>
      <c r="BH224" s="2"/>
      <c r="BI224" s="2"/>
      <c r="BJ224" s="2"/>
      <c r="BK224" s="2"/>
      <c r="BL224" s="2"/>
      <c r="BM224" s="2"/>
      <c r="BN224" s="2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  <c r="IY224" s="1"/>
      <c r="IZ224" s="1"/>
      <c r="JA224" s="1"/>
      <c r="JB224" s="1"/>
      <c r="JC224" s="1"/>
      <c r="JD224" s="1"/>
      <c r="JE224" s="1"/>
      <c r="JF224" s="1"/>
      <c r="JG224" s="1"/>
      <c r="JH224" s="1"/>
      <c r="JI224" s="1"/>
      <c r="JJ224" s="1"/>
      <c r="JK224" s="1"/>
      <c r="JL224" s="1"/>
      <c r="JM224" s="1"/>
      <c r="JN224" s="1"/>
      <c r="JO224" s="1"/>
      <c r="JP224" s="1"/>
      <c r="JQ224" s="1"/>
      <c r="JR224" s="1"/>
      <c r="JS224" s="1"/>
      <c r="JT224" s="1"/>
      <c r="JU224" s="1"/>
      <c r="JV224" s="1"/>
      <c r="JW224" s="1"/>
      <c r="JX224" s="1"/>
      <c r="JY224" s="1"/>
      <c r="JZ224" s="1"/>
      <c r="KA224" s="1"/>
      <c r="KB224" s="1"/>
      <c r="KC224" s="1"/>
      <c r="KD224" s="1"/>
      <c r="KE224" s="1"/>
      <c r="KF224" s="1"/>
      <c r="KG224" s="1"/>
      <c r="KH224" s="1"/>
      <c r="KI224" s="1"/>
      <c r="KJ224" s="1"/>
      <c r="KK224" s="1"/>
      <c r="KL224" s="1"/>
      <c r="KM224" s="1"/>
      <c r="KN224" s="1"/>
      <c r="KO224" s="1"/>
      <c r="KP224" s="1"/>
      <c r="KQ224" s="1"/>
      <c r="KR224" s="1"/>
      <c r="KS224" s="1"/>
      <c r="KT224" s="1"/>
      <c r="KU224" s="1"/>
      <c r="KV224" s="1"/>
      <c r="KW224" s="1"/>
      <c r="KX224" s="1"/>
      <c r="KY224" s="1"/>
      <c r="KZ224" s="1"/>
      <c r="LA224" s="1"/>
      <c r="LB224" s="1"/>
      <c r="LC224" s="1"/>
      <c r="LD224" s="1"/>
      <c r="LE224" s="1"/>
      <c r="LF224" s="1"/>
      <c r="LG224" s="1"/>
      <c r="LH224" s="1"/>
      <c r="LI224" s="1"/>
      <c r="LJ224" s="1"/>
      <c r="LK224" s="1"/>
      <c r="LL224" s="1"/>
      <c r="LM224" s="1"/>
      <c r="LN224" s="1"/>
      <c r="LO224" s="1"/>
      <c r="LP224" s="1"/>
    </row>
    <row r="225" spans="1:328" ht="1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2"/>
      <c r="BH225" s="2"/>
      <c r="BI225" s="2"/>
      <c r="BJ225" s="2"/>
      <c r="BK225" s="2"/>
      <c r="BL225" s="2"/>
      <c r="BM225" s="2"/>
      <c r="BN225" s="2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  <c r="IY225" s="1"/>
      <c r="IZ225" s="1"/>
      <c r="JA225" s="1"/>
      <c r="JB225" s="1"/>
      <c r="JC225" s="1"/>
      <c r="JD225" s="1"/>
      <c r="JE225" s="1"/>
      <c r="JF225" s="1"/>
      <c r="JG225" s="1"/>
      <c r="JH225" s="1"/>
      <c r="JI225" s="1"/>
      <c r="JJ225" s="1"/>
      <c r="JK225" s="1"/>
      <c r="JL225" s="1"/>
      <c r="JM225" s="1"/>
      <c r="JN225" s="1"/>
      <c r="JO225" s="1"/>
      <c r="JP225" s="1"/>
      <c r="JQ225" s="1"/>
      <c r="JR225" s="1"/>
      <c r="JS225" s="1"/>
      <c r="JT225" s="1"/>
      <c r="JU225" s="1"/>
      <c r="JV225" s="1"/>
      <c r="JW225" s="1"/>
      <c r="JX225" s="1"/>
      <c r="JY225" s="1"/>
      <c r="JZ225" s="1"/>
      <c r="KA225" s="1"/>
      <c r="KB225" s="1"/>
      <c r="KC225" s="1"/>
      <c r="KD225" s="1"/>
      <c r="KE225" s="1"/>
      <c r="KF225" s="1"/>
      <c r="KG225" s="1"/>
      <c r="KH225" s="1"/>
      <c r="KI225" s="1"/>
      <c r="KJ225" s="1"/>
      <c r="KK225" s="1"/>
      <c r="KL225" s="1"/>
      <c r="KM225" s="1"/>
      <c r="KN225" s="1"/>
      <c r="KO225" s="1"/>
      <c r="KP225" s="1"/>
      <c r="KQ225" s="1"/>
      <c r="KR225" s="1"/>
      <c r="KS225" s="1"/>
      <c r="KT225" s="1"/>
      <c r="KU225" s="1"/>
      <c r="KV225" s="1"/>
      <c r="KW225" s="1"/>
      <c r="KX225" s="1"/>
      <c r="KY225" s="1"/>
      <c r="KZ225" s="1"/>
      <c r="LA225" s="1"/>
      <c r="LB225" s="1"/>
      <c r="LC225" s="1"/>
      <c r="LD225" s="1"/>
      <c r="LE225" s="1"/>
      <c r="LF225" s="1"/>
      <c r="LG225" s="1"/>
      <c r="LH225" s="1"/>
      <c r="LI225" s="1"/>
      <c r="LJ225" s="1"/>
      <c r="LK225" s="1"/>
      <c r="LL225" s="1"/>
      <c r="LM225" s="1"/>
      <c r="LN225" s="1"/>
      <c r="LO225" s="1"/>
      <c r="LP225" s="1"/>
    </row>
    <row r="226" spans="1:328" ht="1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2"/>
      <c r="BH226" s="2"/>
      <c r="BI226" s="2"/>
      <c r="BJ226" s="2"/>
      <c r="BK226" s="2"/>
      <c r="BL226" s="2"/>
      <c r="BM226" s="2"/>
      <c r="BN226" s="2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  <c r="IZ226" s="1"/>
      <c r="JA226" s="1"/>
      <c r="JB226" s="1"/>
      <c r="JC226" s="1"/>
      <c r="JD226" s="1"/>
      <c r="JE226" s="1"/>
      <c r="JF226" s="1"/>
      <c r="JG226" s="1"/>
      <c r="JH226" s="1"/>
      <c r="JI226" s="1"/>
      <c r="JJ226" s="1"/>
      <c r="JK226" s="1"/>
      <c r="JL226" s="1"/>
      <c r="JM226" s="1"/>
      <c r="JN226" s="1"/>
      <c r="JO226" s="1"/>
      <c r="JP226" s="1"/>
      <c r="JQ226" s="1"/>
      <c r="JR226" s="1"/>
      <c r="JS226" s="1"/>
      <c r="JT226" s="1"/>
      <c r="JU226" s="1"/>
      <c r="JV226" s="1"/>
      <c r="JW226" s="1"/>
      <c r="JX226" s="1"/>
      <c r="JY226" s="1"/>
      <c r="JZ226" s="1"/>
      <c r="KA226" s="1"/>
      <c r="KB226" s="1"/>
      <c r="KC226" s="1"/>
      <c r="KD226" s="1"/>
      <c r="KE226" s="1"/>
      <c r="KF226" s="1"/>
      <c r="KG226" s="1"/>
      <c r="KH226" s="1"/>
      <c r="KI226" s="1"/>
      <c r="KJ226" s="1"/>
      <c r="KK226" s="1"/>
      <c r="KL226" s="1"/>
      <c r="KM226" s="1"/>
      <c r="KN226" s="1"/>
      <c r="KO226" s="1"/>
      <c r="KP226" s="1"/>
      <c r="KQ226" s="1"/>
      <c r="KR226" s="1"/>
      <c r="KS226" s="1"/>
      <c r="KT226" s="1"/>
      <c r="KU226" s="1"/>
      <c r="KV226" s="1"/>
      <c r="KW226" s="1"/>
      <c r="KX226" s="1"/>
      <c r="KY226" s="1"/>
      <c r="KZ226" s="1"/>
      <c r="LA226" s="1"/>
      <c r="LB226" s="1"/>
      <c r="LC226" s="1"/>
      <c r="LD226" s="1"/>
      <c r="LE226" s="1"/>
      <c r="LF226" s="1"/>
      <c r="LG226" s="1"/>
      <c r="LH226" s="1"/>
      <c r="LI226" s="1"/>
      <c r="LJ226" s="1"/>
      <c r="LK226" s="1"/>
      <c r="LL226" s="1"/>
      <c r="LM226" s="1"/>
      <c r="LN226" s="1"/>
      <c r="LO226" s="1"/>
      <c r="LP226" s="1"/>
    </row>
    <row r="227" spans="1:328" ht="1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2"/>
      <c r="BH227" s="2"/>
      <c r="BI227" s="2"/>
      <c r="BJ227" s="2"/>
      <c r="BK227" s="2"/>
      <c r="BL227" s="2"/>
      <c r="BM227" s="2"/>
      <c r="BN227" s="2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  <c r="IZ227" s="1"/>
      <c r="JA227" s="1"/>
      <c r="JB227" s="1"/>
      <c r="JC227" s="1"/>
      <c r="JD227" s="1"/>
      <c r="JE227" s="1"/>
      <c r="JF227" s="1"/>
      <c r="JG227" s="1"/>
      <c r="JH227" s="1"/>
      <c r="JI227" s="1"/>
      <c r="JJ227" s="1"/>
      <c r="JK227" s="1"/>
      <c r="JL227" s="1"/>
      <c r="JM227" s="1"/>
      <c r="JN227" s="1"/>
      <c r="JO227" s="1"/>
      <c r="JP227" s="1"/>
      <c r="JQ227" s="1"/>
      <c r="JR227" s="1"/>
      <c r="JS227" s="1"/>
      <c r="JT227" s="1"/>
      <c r="JU227" s="1"/>
      <c r="JV227" s="1"/>
      <c r="JW227" s="1"/>
      <c r="JX227" s="1"/>
      <c r="JY227" s="1"/>
      <c r="JZ227" s="1"/>
      <c r="KA227" s="1"/>
      <c r="KB227" s="1"/>
      <c r="KC227" s="1"/>
      <c r="KD227" s="1"/>
      <c r="KE227" s="1"/>
      <c r="KF227" s="1"/>
      <c r="KG227" s="1"/>
      <c r="KH227" s="1"/>
      <c r="KI227" s="1"/>
      <c r="KJ227" s="1"/>
      <c r="KK227" s="1"/>
      <c r="KL227" s="1"/>
      <c r="KM227" s="1"/>
      <c r="KN227" s="1"/>
      <c r="KO227" s="1"/>
      <c r="KP227" s="1"/>
      <c r="KQ227" s="1"/>
      <c r="KR227" s="1"/>
      <c r="KS227" s="1"/>
      <c r="KT227" s="1"/>
      <c r="KU227" s="1"/>
      <c r="KV227" s="1"/>
      <c r="KW227" s="1"/>
      <c r="KX227" s="1"/>
      <c r="KY227" s="1"/>
      <c r="KZ227" s="1"/>
      <c r="LA227" s="1"/>
      <c r="LB227" s="1"/>
      <c r="LC227" s="1"/>
      <c r="LD227" s="1"/>
      <c r="LE227" s="1"/>
      <c r="LF227" s="1"/>
      <c r="LG227" s="1"/>
      <c r="LH227" s="1"/>
      <c r="LI227" s="1"/>
      <c r="LJ227" s="1"/>
      <c r="LK227" s="1"/>
      <c r="LL227" s="1"/>
      <c r="LM227" s="1"/>
      <c r="LN227" s="1"/>
      <c r="LO227" s="1"/>
      <c r="LP227" s="1"/>
    </row>
    <row r="228" spans="1:328" ht="1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2"/>
      <c r="BH228" s="2"/>
      <c r="BI228" s="2"/>
      <c r="BJ228" s="2"/>
      <c r="BK228" s="2"/>
      <c r="BL228" s="2"/>
      <c r="BM228" s="2"/>
      <c r="BN228" s="2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  <c r="IZ228" s="1"/>
      <c r="JA228" s="1"/>
      <c r="JB228" s="1"/>
      <c r="JC228" s="1"/>
      <c r="JD228" s="1"/>
      <c r="JE228" s="1"/>
      <c r="JF228" s="1"/>
      <c r="JG228" s="1"/>
      <c r="JH228" s="1"/>
      <c r="JI228" s="1"/>
      <c r="JJ228" s="1"/>
      <c r="JK228" s="1"/>
      <c r="JL228" s="1"/>
      <c r="JM228" s="1"/>
      <c r="JN228" s="1"/>
      <c r="JO228" s="1"/>
      <c r="JP228" s="1"/>
      <c r="JQ228" s="1"/>
      <c r="JR228" s="1"/>
      <c r="JS228" s="1"/>
      <c r="JT228" s="1"/>
      <c r="JU228" s="1"/>
      <c r="JV228" s="1"/>
      <c r="JW228" s="1"/>
      <c r="JX228" s="1"/>
      <c r="JY228" s="1"/>
      <c r="JZ228" s="1"/>
      <c r="KA228" s="1"/>
      <c r="KB228" s="1"/>
      <c r="KC228" s="1"/>
      <c r="KD228" s="1"/>
      <c r="KE228" s="1"/>
      <c r="KF228" s="1"/>
      <c r="KG228" s="1"/>
      <c r="KH228" s="1"/>
      <c r="KI228" s="1"/>
      <c r="KJ228" s="1"/>
      <c r="KK228" s="1"/>
      <c r="KL228" s="1"/>
      <c r="KM228" s="1"/>
      <c r="KN228" s="1"/>
      <c r="KO228" s="1"/>
      <c r="KP228" s="1"/>
      <c r="KQ228" s="1"/>
      <c r="KR228" s="1"/>
      <c r="KS228" s="1"/>
      <c r="KT228" s="1"/>
      <c r="KU228" s="1"/>
      <c r="KV228" s="1"/>
      <c r="KW228" s="1"/>
      <c r="KX228" s="1"/>
      <c r="KY228" s="1"/>
      <c r="KZ228" s="1"/>
      <c r="LA228" s="1"/>
      <c r="LB228" s="1"/>
      <c r="LC228" s="1"/>
      <c r="LD228" s="1"/>
      <c r="LE228" s="1"/>
      <c r="LF228" s="1"/>
      <c r="LG228" s="1"/>
      <c r="LH228" s="1"/>
      <c r="LI228" s="1"/>
      <c r="LJ228" s="1"/>
      <c r="LK228" s="1"/>
      <c r="LL228" s="1"/>
      <c r="LM228" s="1"/>
      <c r="LN228" s="1"/>
      <c r="LO228" s="1"/>
      <c r="LP228" s="1"/>
    </row>
    <row r="229" spans="1:328" ht="1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2"/>
      <c r="BH229" s="2"/>
      <c r="BI229" s="2"/>
      <c r="BJ229" s="2"/>
      <c r="BK229" s="2"/>
      <c r="BL229" s="2"/>
      <c r="BM229" s="2"/>
      <c r="BN229" s="2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  <c r="IZ229" s="1"/>
      <c r="JA229" s="1"/>
      <c r="JB229" s="1"/>
      <c r="JC229" s="1"/>
      <c r="JD229" s="1"/>
      <c r="JE229" s="1"/>
      <c r="JF229" s="1"/>
      <c r="JG229" s="1"/>
      <c r="JH229" s="1"/>
      <c r="JI229" s="1"/>
      <c r="JJ229" s="1"/>
      <c r="JK229" s="1"/>
      <c r="JL229" s="1"/>
      <c r="JM229" s="1"/>
      <c r="JN229" s="1"/>
      <c r="JO229" s="1"/>
      <c r="JP229" s="1"/>
      <c r="JQ229" s="1"/>
      <c r="JR229" s="1"/>
      <c r="JS229" s="1"/>
      <c r="JT229" s="1"/>
      <c r="JU229" s="1"/>
      <c r="JV229" s="1"/>
      <c r="JW229" s="1"/>
      <c r="JX229" s="1"/>
      <c r="JY229" s="1"/>
      <c r="JZ229" s="1"/>
      <c r="KA229" s="1"/>
      <c r="KB229" s="1"/>
      <c r="KC229" s="1"/>
      <c r="KD229" s="1"/>
      <c r="KE229" s="1"/>
      <c r="KF229" s="1"/>
      <c r="KG229" s="1"/>
      <c r="KH229" s="1"/>
      <c r="KI229" s="1"/>
      <c r="KJ229" s="1"/>
      <c r="KK229" s="1"/>
      <c r="KL229" s="1"/>
      <c r="KM229" s="1"/>
      <c r="KN229" s="1"/>
      <c r="KO229" s="1"/>
      <c r="KP229" s="1"/>
      <c r="KQ229" s="1"/>
      <c r="KR229" s="1"/>
      <c r="KS229" s="1"/>
      <c r="KT229" s="1"/>
      <c r="KU229" s="1"/>
      <c r="KV229" s="1"/>
      <c r="KW229" s="1"/>
      <c r="KX229" s="1"/>
      <c r="KY229" s="1"/>
      <c r="KZ229" s="1"/>
      <c r="LA229" s="1"/>
      <c r="LB229" s="1"/>
      <c r="LC229" s="1"/>
      <c r="LD229" s="1"/>
      <c r="LE229" s="1"/>
      <c r="LF229" s="1"/>
      <c r="LG229" s="1"/>
      <c r="LH229" s="1"/>
      <c r="LI229" s="1"/>
      <c r="LJ229" s="1"/>
      <c r="LK229" s="1"/>
      <c r="LL229" s="1"/>
      <c r="LM229" s="1"/>
      <c r="LN229" s="1"/>
      <c r="LO229" s="1"/>
      <c r="LP229" s="1"/>
    </row>
    <row r="230" spans="1:328" ht="1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2"/>
      <c r="BH230" s="2"/>
      <c r="BI230" s="2"/>
      <c r="BJ230" s="2"/>
      <c r="BK230" s="2"/>
      <c r="BL230" s="2"/>
      <c r="BM230" s="2"/>
      <c r="BN230" s="2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  <c r="IX230" s="1"/>
      <c r="IY230" s="1"/>
      <c r="IZ230" s="1"/>
      <c r="JA230" s="1"/>
      <c r="JB230" s="1"/>
      <c r="JC230" s="1"/>
      <c r="JD230" s="1"/>
      <c r="JE230" s="1"/>
      <c r="JF230" s="1"/>
      <c r="JG230" s="1"/>
      <c r="JH230" s="1"/>
      <c r="JI230" s="1"/>
      <c r="JJ230" s="1"/>
      <c r="JK230" s="1"/>
      <c r="JL230" s="1"/>
      <c r="JM230" s="1"/>
      <c r="JN230" s="1"/>
      <c r="JO230" s="1"/>
      <c r="JP230" s="1"/>
      <c r="JQ230" s="1"/>
      <c r="JR230" s="1"/>
      <c r="JS230" s="1"/>
      <c r="JT230" s="1"/>
      <c r="JU230" s="1"/>
      <c r="JV230" s="1"/>
      <c r="JW230" s="1"/>
      <c r="JX230" s="1"/>
      <c r="JY230" s="1"/>
      <c r="JZ230" s="1"/>
      <c r="KA230" s="1"/>
      <c r="KB230" s="1"/>
      <c r="KC230" s="1"/>
      <c r="KD230" s="1"/>
      <c r="KE230" s="1"/>
      <c r="KF230" s="1"/>
      <c r="KG230" s="1"/>
      <c r="KH230" s="1"/>
      <c r="KI230" s="1"/>
      <c r="KJ230" s="1"/>
      <c r="KK230" s="1"/>
      <c r="KL230" s="1"/>
      <c r="KM230" s="1"/>
      <c r="KN230" s="1"/>
      <c r="KO230" s="1"/>
      <c r="KP230" s="1"/>
      <c r="KQ230" s="1"/>
      <c r="KR230" s="1"/>
      <c r="KS230" s="1"/>
      <c r="KT230" s="1"/>
      <c r="KU230" s="1"/>
      <c r="KV230" s="1"/>
      <c r="KW230" s="1"/>
      <c r="KX230" s="1"/>
      <c r="KY230" s="1"/>
      <c r="KZ230" s="1"/>
      <c r="LA230" s="1"/>
      <c r="LB230" s="1"/>
      <c r="LC230" s="1"/>
      <c r="LD230" s="1"/>
      <c r="LE230" s="1"/>
      <c r="LF230" s="1"/>
      <c r="LG230" s="1"/>
      <c r="LH230" s="1"/>
      <c r="LI230" s="1"/>
      <c r="LJ230" s="1"/>
      <c r="LK230" s="1"/>
      <c r="LL230" s="1"/>
      <c r="LM230" s="1"/>
      <c r="LN230" s="1"/>
      <c r="LO230" s="1"/>
      <c r="LP230" s="1"/>
    </row>
    <row r="231" spans="1:328" ht="1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2"/>
      <c r="BH231" s="2"/>
      <c r="BI231" s="2"/>
      <c r="BJ231" s="2"/>
      <c r="BK231" s="2"/>
      <c r="BL231" s="2"/>
      <c r="BM231" s="2"/>
      <c r="BN231" s="2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  <c r="IX231" s="1"/>
      <c r="IY231" s="1"/>
      <c r="IZ231" s="1"/>
      <c r="JA231" s="1"/>
      <c r="JB231" s="1"/>
      <c r="JC231" s="1"/>
      <c r="JD231" s="1"/>
      <c r="JE231" s="1"/>
      <c r="JF231" s="1"/>
      <c r="JG231" s="1"/>
      <c r="JH231" s="1"/>
      <c r="JI231" s="1"/>
      <c r="JJ231" s="1"/>
      <c r="JK231" s="1"/>
      <c r="JL231" s="1"/>
      <c r="JM231" s="1"/>
      <c r="JN231" s="1"/>
      <c r="JO231" s="1"/>
      <c r="JP231" s="1"/>
      <c r="JQ231" s="1"/>
      <c r="JR231" s="1"/>
      <c r="JS231" s="1"/>
      <c r="JT231" s="1"/>
      <c r="JU231" s="1"/>
      <c r="JV231" s="1"/>
      <c r="JW231" s="1"/>
      <c r="JX231" s="1"/>
      <c r="JY231" s="1"/>
      <c r="JZ231" s="1"/>
      <c r="KA231" s="1"/>
      <c r="KB231" s="1"/>
      <c r="KC231" s="1"/>
      <c r="KD231" s="1"/>
      <c r="KE231" s="1"/>
      <c r="KF231" s="1"/>
      <c r="KG231" s="1"/>
      <c r="KH231" s="1"/>
      <c r="KI231" s="1"/>
      <c r="KJ231" s="1"/>
      <c r="KK231" s="1"/>
      <c r="KL231" s="1"/>
      <c r="KM231" s="1"/>
      <c r="KN231" s="1"/>
      <c r="KO231" s="1"/>
      <c r="KP231" s="1"/>
      <c r="KQ231" s="1"/>
      <c r="KR231" s="1"/>
      <c r="KS231" s="1"/>
      <c r="KT231" s="1"/>
      <c r="KU231" s="1"/>
      <c r="KV231" s="1"/>
      <c r="KW231" s="1"/>
      <c r="KX231" s="1"/>
      <c r="KY231" s="1"/>
      <c r="KZ231" s="1"/>
      <c r="LA231" s="1"/>
      <c r="LB231" s="1"/>
      <c r="LC231" s="1"/>
      <c r="LD231" s="1"/>
      <c r="LE231" s="1"/>
      <c r="LF231" s="1"/>
      <c r="LG231" s="1"/>
      <c r="LH231" s="1"/>
      <c r="LI231" s="1"/>
      <c r="LJ231" s="1"/>
      <c r="LK231" s="1"/>
      <c r="LL231" s="1"/>
      <c r="LM231" s="1"/>
      <c r="LN231" s="1"/>
      <c r="LO231" s="1"/>
      <c r="LP231" s="1"/>
    </row>
    <row r="232" spans="1:328" ht="1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2"/>
      <c r="BH232" s="2"/>
      <c r="BI232" s="2"/>
      <c r="BJ232" s="2"/>
      <c r="BK232" s="2"/>
      <c r="BL232" s="2"/>
      <c r="BM232" s="2"/>
      <c r="BN232" s="2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  <c r="IY232" s="1"/>
      <c r="IZ232" s="1"/>
      <c r="JA232" s="1"/>
      <c r="JB232" s="1"/>
      <c r="JC232" s="1"/>
      <c r="JD232" s="1"/>
      <c r="JE232" s="1"/>
      <c r="JF232" s="1"/>
      <c r="JG232" s="1"/>
      <c r="JH232" s="1"/>
      <c r="JI232" s="1"/>
      <c r="JJ232" s="1"/>
      <c r="JK232" s="1"/>
      <c r="JL232" s="1"/>
      <c r="JM232" s="1"/>
      <c r="JN232" s="1"/>
      <c r="JO232" s="1"/>
      <c r="JP232" s="1"/>
      <c r="JQ232" s="1"/>
      <c r="JR232" s="1"/>
      <c r="JS232" s="1"/>
      <c r="JT232" s="1"/>
      <c r="JU232" s="1"/>
      <c r="JV232" s="1"/>
      <c r="JW232" s="1"/>
      <c r="JX232" s="1"/>
      <c r="JY232" s="1"/>
      <c r="JZ232" s="1"/>
      <c r="KA232" s="1"/>
      <c r="KB232" s="1"/>
      <c r="KC232" s="1"/>
      <c r="KD232" s="1"/>
      <c r="KE232" s="1"/>
      <c r="KF232" s="1"/>
      <c r="KG232" s="1"/>
      <c r="KH232" s="1"/>
      <c r="KI232" s="1"/>
      <c r="KJ232" s="1"/>
      <c r="KK232" s="1"/>
      <c r="KL232" s="1"/>
      <c r="KM232" s="1"/>
      <c r="KN232" s="1"/>
      <c r="KO232" s="1"/>
      <c r="KP232" s="1"/>
      <c r="KQ232" s="1"/>
      <c r="KR232" s="1"/>
      <c r="KS232" s="1"/>
      <c r="KT232" s="1"/>
      <c r="KU232" s="1"/>
      <c r="KV232" s="1"/>
      <c r="KW232" s="1"/>
      <c r="KX232" s="1"/>
      <c r="KY232" s="1"/>
      <c r="KZ232" s="1"/>
      <c r="LA232" s="1"/>
      <c r="LB232" s="1"/>
      <c r="LC232" s="1"/>
      <c r="LD232" s="1"/>
      <c r="LE232" s="1"/>
      <c r="LF232" s="1"/>
      <c r="LG232" s="1"/>
      <c r="LH232" s="1"/>
      <c r="LI232" s="1"/>
      <c r="LJ232" s="1"/>
      <c r="LK232" s="1"/>
      <c r="LL232" s="1"/>
      <c r="LM232" s="1"/>
      <c r="LN232" s="1"/>
      <c r="LO232" s="1"/>
      <c r="LP232" s="1"/>
    </row>
    <row r="233" spans="1:328" ht="1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2"/>
      <c r="BH233" s="2"/>
      <c r="BI233" s="2"/>
      <c r="BJ233" s="2"/>
      <c r="BK233" s="2"/>
      <c r="BL233" s="2"/>
      <c r="BM233" s="2"/>
      <c r="BN233" s="2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  <c r="IX233" s="1"/>
      <c r="IY233" s="1"/>
      <c r="IZ233" s="1"/>
      <c r="JA233" s="1"/>
      <c r="JB233" s="1"/>
      <c r="JC233" s="1"/>
      <c r="JD233" s="1"/>
      <c r="JE233" s="1"/>
      <c r="JF233" s="1"/>
      <c r="JG233" s="1"/>
      <c r="JH233" s="1"/>
      <c r="JI233" s="1"/>
      <c r="JJ233" s="1"/>
      <c r="JK233" s="1"/>
      <c r="JL233" s="1"/>
      <c r="JM233" s="1"/>
      <c r="JN233" s="1"/>
      <c r="JO233" s="1"/>
      <c r="JP233" s="1"/>
      <c r="JQ233" s="1"/>
      <c r="JR233" s="1"/>
      <c r="JS233" s="1"/>
      <c r="JT233" s="1"/>
      <c r="JU233" s="1"/>
      <c r="JV233" s="1"/>
      <c r="JW233" s="1"/>
      <c r="JX233" s="1"/>
      <c r="JY233" s="1"/>
      <c r="JZ233" s="1"/>
      <c r="KA233" s="1"/>
      <c r="KB233" s="1"/>
      <c r="KC233" s="1"/>
      <c r="KD233" s="1"/>
      <c r="KE233" s="1"/>
      <c r="KF233" s="1"/>
      <c r="KG233" s="1"/>
      <c r="KH233" s="1"/>
      <c r="KI233" s="1"/>
      <c r="KJ233" s="1"/>
      <c r="KK233" s="1"/>
      <c r="KL233" s="1"/>
      <c r="KM233" s="1"/>
      <c r="KN233" s="1"/>
      <c r="KO233" s="1"/>
      <c r="KP233" s="1"/>
      <c r="KQ233" s="1"/>
      <c r="KR233" s="1"/>
      <c r="KS233" s="1"/>
      <c r="KT233" s="1"/>
      <c r="KU233" s="1"/>
      <c r="KV233" s="1"/>
      <c r="KW233" s="1"/>
      <c r="KX233" s="1"/>
      <c r="KY233" s="1"/>
      <c r="KZ233" s="1"/>
      <c r="LA233" s="1"/>
      <c r="LB233" s="1"/>
      <c r="LC233" s="1"/>
      <c r="LD233" s="1"/>
      <c r="LE233" s="1"/>
      <c r="LF233" s="1"/>
      <c r="LG233" s="1"/>
      <c r="LH233" s="1"/>
      <c r="LI233" s="1"/>
      <c r="LJ233" s="1"/>
      <c r="LK233" s="1"/>
      <c r="LL233" s="1"/>
      <c r="LM233" s="1"/>
      <c r="LN233" s="1"/>
      <c r="LO233" s="1"/>
      <c r="LP233" s="1"/>
    </row>
    <row r="234" spans="1:328" ht="1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2"/>
      <c r="BH234" s="2"/>
      <c r="BI234" s="2"/>
      <c r="BJ234" s="2"/>
      <c r="BK234" s="2"/>
      <c r="BL234" s="2"/>
      <c r="BM234" s="2"/>
      <c r="BN234" s="2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IY234" s="1"/>
      <c r="IZ234" s="1"/>
      <c r="JA234" s="1"/>
      <c r="JB234" s="1"/>
      <c r="JC234" s="1"/>
      <c r="JD234" s="1"/>
      <c r="JE234" s="1"/>
      <c r="JF234" s="1"/>
      <c r="JG234" s="1"/>
      <c r="JH234" s="1"/>
      <c r="JI234" s="1"/>
      <c r="JJ234" s="1"/>
      <c r="JK234" s="1"/>
      <c r="JL234" s="1"/>
      <c r="JM234" s="1"/>
      <c r="JN234" s="1"/>
      <c r="JO234" s="1"/>
      <c r="JP234" s="1"/>
      <c r="JQ234" s="1"/>
      <c r="JR234" s="1"/>
      <c r="JS234" s="1"/>
      <c r="JT234" s="1"/>
      <c r="JU234" s="1"/>
      <c r="JV234" s="1"/>
      <c r="JW234" s="1"/>
      <c r="JX234" s="1"/>
      <c r="JY234" s="1"/>
      <c r="JZ234" s="1"/>
      <c r="KA234" s="1"/>
      <c r="KB234" s="1"/>
      <c r="KC234" s="1"/>
      <c r="KD234" s="1"/>
      <c r="KE234" s="1"/>
      <c r="KF234" s="1"/>
      <c r="KG234" s="1"/>
      <c r="KH234" s="1"/>
      <c r="KI234" s="1"/>
      <c r="KJ234" s="1"/>
      <c r="KK234" s="1"/>
      <c r="KL234" s="1"/>
      <c r="KM234" s="1"/>
      <c r="KN234" s="1"/>
      <c r="KO234" s="1"/>
      <c r="KP234" s="1"/>
      <c r="KQ234" s="1"/>
      <c r="KR234" s="1"/>
      <c r="KS234" s="1"/>
      <c r="KT234" s="1"/>
      <c r="KU234" s="1"/>
      <c r="KV234" s="1"/>
      <c r="KW234" s="1"/>
      <c r="KX234" s="1"/>
      <c r="KY234" s="1"/>
      <c r="KZ234" s="1"/>
      <c r="LA234" s="1"/>
      <c r="LB234" s="1"/>
      <c r="LC234" s="1"/>
      <c r="LD234" s="1"/>
      <c r="LE234" s="1"/>
      <c r="LF234" s="1"/>
      <c r="LG234" s="1"/>
      <c r="LH234" s="1"/>
      <c r="LI234" s="1"/>
      <c r="LJ234" s="1"/>
      <c r="LK234" s="1"/>
      <c r="LL234" s="1"/>
      <c r="LM234" s="1"/>
      <c r="LN234" s="1"/>
      <c r="LO234" s="1"/>
      <c r="LP234" s="1"/>
    </row>
    <row r="235" spans="1:328" ht="1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2"/>
      <c r="BH235" s="2"/>
      <c r="BI235" s="2"/>
      <c r="BJ235" s="2"/>
      <c r="BK235" s="2"/>
      <c r="BL235" s="2"/>
      <c r="BM235" s="2"/>
      <c r="BN235" s="2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  <c r="IX235" s="1"/>
      <c r="IY235" s="1"/>
      <c r="IZ235" s="1"/>
      <c r="JA235" s="1"/>
      <c r="JB235" s="1"/>
      <c r="JC235" s="1"/>
      <c r="JD235" s="1"/>
      <c r="JE235" s="1"/>
      <c r="JF235" s="1"/>
      <c r="JG235" s="1"/>
      <c r="JH235" s="1"/>
      <c r="JI235" s="1"/>
      <c r="JJ235" s="1"/>
      <c r="JK235" s="1"/>
      <c r="JL235" s="1"/>
      <c r="JM235" s="1"/>
      <c r="JN235" s="1"/>
      <c r="JO235" s="1"/>
      <c r="JP235" s="1"/>
      <c r="JQ235" s="1"/>
      <c r="JR235" s="1"/>
      <c r="JS235" s="1"/>
      <c r="JT235" s="1"/>
      <c r="JU235" s="1"/>
      <c r="JV235" s="1"/>
      <c r="JW235" s="1"/>
      <c r="JX235" s="1"/>
      <c r="JY235" s="1"/>
      <c r="JZ235" s="1"/>
      <c r="KA235" s="1"/>
      <c r="KB235" s="1"/>
      <c r="KC235" s="1"/>
      <c r="KD235" s="1"/>
      <c r="KE235" s="1"/>
      <c r="KF235" s="1"/>
      <c r="KG235" s="1"/>
      <c r="KH235" s="1"/>
      <c r="KI235" s="1"/>
      <c r="KJ235" s="1"/>
      <c r="KK235" s="1"/>
      <c r="KL235" s="1"/>
      <c r="KM235" s="1"/>
      <c r="KN235" s="1"/>
      <c r="KO235" s="1"/>
      <c r="KP235" s="1"/>
      <c r="KQ235" s="1"/>
      <c r="KR235" s="1"/>
      <c r="KS235" s="1"/>
      <c r="KT235" s="1"/>
      <c r="KU235" s="1"/>
      <c r="KV235" s="1"/>
      <c r="KW235" s="1"/>
      <c r="KX235" s="1"/>
      <c r="KY235" s="1"/>
      <c r="KZ235" s="1"/>
      <c r="LA235" s="1"/>
      <c r="LB235" s="1"/>
      <c r="LC235" s="1"/>
      <c r="LD235" s="1"/>
      <c r="LE235" s="1"/>
      <c r="LF235" s="1"/>
      <c r="LG235" s="1"/>
      <c r="LH235" s="1"/>
      <c r="LI235" s="1"/>
      <c r="LJ235" s="1"/>
      <c r="LK235" s="1"/>
      <c r="LL235" s="1"/>
      <c r="LM235" s="1"/>
      <c r="LN235" s="1"/>
      <c r="LO235" s="1"/>
      <c r="LP235" s="1"/>
    </row>
    <row r="236" spans="1:328" ht="1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2"/>
      <c r="BH236" s="2"/>
      <c r="BI236" s="2"/>
      <c r="BJ236" s="2"/>
      <c r="BK236" s="2"/>
      <c r="BL236" s="2"/>
      <c r="BM236" s="2"/>
      <c r="BN236" s="2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  <c r="IX236" s="1"/>
      <c r="IY236" s="1"/>
      <c r="IZ236" s="1"/>
      <c r="JA236" s="1"/>
      <c r="JB236" s="1"/>
      <c r="JC236" s="1"/>
      <c r="JD236" s="1"/>
      <c r="JE236" s="1"/>
      <c r="JF236" s="1"/>
      <c r="JG236" s="1"/>
      <c r="JH236" s="1"/>
      <c r="JI236" s="1"/>
      <c r="JJ236" s="1"/>
      <c r="JK236" s="1"/>
      <c r="JL236" s="1"/>
      <c r="JM236" s="1"/>
      <c r="JN236" s="1"/>
      <c r="JO236" s="1"/>
      <c r="JP236" s="1"/>
      <c r="JQ236" s="1"/>
      <c r="JR236" s="1"/>
      <c r="JS236" s="1"/>
      <c r="JT236" s="1"/>
      <c r="JU236" s="1"/>
      <c r="JV236" s="1"/>
      <c r="JW236" s="1"/>
      <c r="JX236" s="1"/>
      <c r="JY236" s="1"/>
      <c r="JZ236" s="1"/>
      <c r="KA236" s="1"/>
      <c r="KB236" s="1"/>
      <c r="KC236" s="1"/>
      <c r="KD236" s="1"/>
      <c r="KE236" s="1"/>
      <c r="KF236" s="1"/>
      <c r="KG236" s="1"/>
      <c r="KH236" s="1"/>
      <c r="KI236" s="1"/>
      <c r="KJ236" s="1"/>
      <c r="KK236" s="1"/>
      <c r="KL236" s="1"/>
      <c r="KM236" s="1"/>
      <c r="KN236" s="1"/>
      <c r="KO236" s="1"/>
      <c r="KP236" s="1"/>
      <c r="KQ236" s="1"/>
      <c r="KR236" s="1"/>
      <c r="KS236" s="1"/>
      <c r="KT236" s="1"/>
      <c r="KU236" s="1"/>
      <c r="KV236" s="1"/>
      <c r="KW236" s="1"/>
      <c r="KX236" s="1"/>
      <c r="KY236" s="1"/>
      <c r="KZ236" s="1"/>
      <c r="LA236" s="1"/>
      <c r="LB236" s="1"/>
      <c r="LC236" s="1"/>
      <c r="LD236" s="1"/>
      <c r="LE236" s="1"/>
      <c r="LF236" s="1"/>
      <c r="LG236" s="1"/>
      <c r="LH236" s="1"/>
      <c r="LI236" s="1"/>
      <c r="LJ236" s="1"/>
      <c r="LK236" s="1"/>
      <c r="LL236" s="1"/>
      <c r="LM236" s="1"/>
      <c r="LN236" s="1"/>
      <c r="LO236" s="1"/>
      <c r="LP236" s="1"/>
    </row>
    <row r="237" spans="1:328" ht="1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2"/>
      <c r="BH237" s="2"/>
      <c r="BI237" s="2"/>
      <c r="BJ237" s="2"/>
      <c r="BK237" s="2"/>
      <c r="BL237" s="2"/>
      <c r="BM237" s="2"/>
      <c r="BN237" s="2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  <c r="IW237" s="1"/>
      <c r="IX237" s="1"/>
      <c r="IY237" s="1"/>
      <c r="IZ237" s="1"/>
      <c r="JA237" s="1"/>
      <c r="JB237" s="1"/>
      <c r="JC237" s="1"/>
      <c r="JD237" s="1"/>
      <c r="JE237" s="1"/>
      <c r="JF237" s="1"/>
      <c r="JG237" s="1"/>
      <c r="JH237" s="1"/>
      <c r="JI237" s="1"/>
      <c r="JJ237" s="1"/>
      <c r="JK237" s="1"/>
      <c r="JL237" s="1"/>
      <c r="JM237" s="1"/>
      <c r="JN237" s="1"/>
      <c r="JO237" s="1"/>
      <c r="JP237" s="1"/>
      <c r="JQ237" s="1"/>
      <c r="JR237" s="1"/>
      <c r="JS237" s="1"/>
      <c r="JT237" s="1"/>
      <c r="JU237" s="1"/>
      <c r="JV237" s="1"/>
      <c r="JW237" s="1"/>
      <c r="JX237" s="1"/>
      <c r="JY237" s="1"/>
      <c r="JZ237" s="1"/>
      <c r="KA237" s="1"/>
      <c r="KB237" s="1"/>
      <c r="KC237" s="1"/>
      <c r="KD237" s="1"/>
      <c r="KE237" s="1"/>
      <c r="KF237" s="1"/>
      <c r="KG237" s="1"/>
      <c r="KH237" s="1"/>
      <c r="KI237" s="1"/>
      <c r="KJ237" s="1"/>
      <c r="KK237" s="1"/>
      <c r="KL237" s="1"/>
      <c r="KM237" s="1"/>
      <c r="KN237" s="1"/>
      <c r="KO237" s="1"/>
      <c r="KP237" s="1"/>
      <c r="KQ237" s="1"/>
      <c r="KR237" s="1"/>
      <c r="KS237" s="1"/>
      <c r="KT237" s="1"/>
      <c r="KU237" s="1"/>
      <c r="KV237" s="1"/>
      <c r="KW237" s="1"/>
      <c r="KX237" s="1"/>
      <c r="KY237" s="1"/>
      <c r="KZ237" s="1"/>
      <c r="LA237" s="1"/>
      <c r="LB237" s="1"/>
      <c r="LC237" s="1"/>
      <c r="LD237" s="1"/>
      <c r="LE237" s="1"/>
      <c r="LF237" s="1"/>
      <c r="LG237" s="1"/>
      <c r="LH237" s="1"/>
      <c r="LI237" s="1"/>
      <c r="LJ237" s="1"/>
      <c r="LK237" s="1"/>
      <c r="LL237" s="1"/>
      <c r="LM237" s="1"/>
      <c r="LN237" s="1"/>
      <c r="LO237" s="1"/>
      <c r="LP237" s="1"/>
    </row>
    <row r="238" spans="1:328" ht="1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2"/>
      <c r="BH238" s="2"/>
      <c r="BI238" s="2"/>
      <c r="BJ238" s="2"/>
      <c r="BK238" s="2"/>
      <c r="BL238" s="2"/>
      <c r="BM238" s="2"/>
      <c r="BN238" s="2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  <c r="IW238" s="1"/>
      <c r="IX238" s="1"/>
      <c r="IY238" s="1"/>
      <c r="IZ238" s="1"/>
      <c r="JA238" s="1"/>
      <c r="JB238" s="1"/>
      <c r="JC238" s="1"/>
      <c r="JD238" s="1"/>
      <c r="JE238" s="1"/>
      <c r="JF238" s="1"/>
      <c r="JG238" s="1"/>
      <c r="JH238" s="1"/>
      <c r="JI238" s="1"/>
      <c r="JJ238" s="1"/>
      <c r="JK238" s="1"/>
      <c r="JL238" s="1"/>
      <c r="JM238" s="1"/>
      <c r="JN238" s="1"/>
      <c r="JO238" s="1"/>
      <c r="JP238" s="1"/>
      <c r="JQ238" s="1"/>
      <c r="JR238" s="1"/>
      <c r="JS238" s="1"/>
      <c r="JT238" s="1"/>
      <c r="JU238" s="1"/>
      <c r="JV238" s="1"/>
      <c r="JW238" s="1"/>
      <c r="JX238" s="1"/>
      <c r="JY238" s="1"/>
      <c r="JZ238" s="1"/>
      <c r="KA238" s="1"/>
      <c r="KB238" s="1"/>
      <c r="KC238" s="1"/>
      <c r="KD238" s="1"/>
      <c r="KE238" s="1"/>
      <c r="KF238" s="1"/>
      <c r="KG238" s="1"/>
      <c r="KH238" s="1"/>
      <c r="KI238" s="1"/>
      <c r="KJ238" s="1"/>
      <c r="KK238" s="1"/>
      <c r="KL238" s="1"/>
      <c r="KM238" s="1"/>
      <c r="KN238" s="1"/>
      <c r="KO238" s="1"/>
      <c r="KP238" s="1"/>
      <c r="KQ238" s="1"/>
      <c r="KR238" s="1"/>
      <c r="KS238" s="1"/>
      <c r="KT238" s="1"/>
      <c r="KU238" s="1"/>
      <c r="KV238" s="1"/>
      <c r="KW238" s="1"/>
      <c r="KX238" s="1"/>
      <c r="KY238" s="1"/>
      <c r="KZ238" s="1"/>
      <c r="LA238" s="1"/>
      <c r="LB238" s="1"/>
      <c r="LC238" s="1"/>
      <c r="LD238" s="1"/>
      <c r="LE238" s="1"/>
      <c r="LF238" s="1"/>
      <c r="LG238" s="1"/>
      <c r="LH238" s="1"/>
      <c r="LI238" s="1"/>
      <c r="LJ238" s="1"/>
      <c r="LK238" s="1"/>
      <c r="LL238" s="1"/>
      <c r="LM238" s="1"/>
      <c r="LN238" s="1"/>
      <c r="LO238" s="1"/>
      <c r="LP238" s="1"/>
    </row>
    <row r="239" spans="1:328" ht="1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2"/>
      <c r="BH239" s="2"/>
      <c r="BI239" s="2"/>
      <c r="BJ239" s="2"/>
      <c r="BK239" s="2"/>
      <c r="BL239" s="2"/>
      <c r="BM239" s="2"/>
      <c r="BN239" s="2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  <c r="IW239" s="1"/>
      <c r="IX239" s="1"/>
      <c r="IY239" s="1"/>
      <c r="IZ239" s="1"/>
      <c r="JA239" s="1"/>
      <c r="JB239" s="1"/>
      <c r="JC239" s="1"/>
      <c r="JD239" s="1"/>
      <c r="JE239" s="1"/>
      <c r="JF239" s="1"/>
      <c r="JG239" s="1"/>
      <c r="JH239" s="1"/>
      <c r="JI239" s="1"/>
      <c r="JJ239" s="1"/>
      <c r="JK239" s="1"/>
      <c r="JL239" s="1"/>
      <c r="JM239" s="1"/>
      <c r="JN239" s="1"/>
      <c r="JO239" s="1"/>
      <c r="JP239" s="1"/>
      <c r="JQ239" s="1"/>
      <c r="JR239" s="1"/>
      <c r="JS239" s="1"/>
      <c r="JT239" s="1"/>
      <c r="JU239" s="1"/>
      <c r="JV239" s="1"/>
      <c r="JW239" s="1"/>
      <c r="JX239" s="1"/>
      <c r="JY239" s="1"/>
      <c r="JZ239" s="1"/>
      <c r="KA239" s="1"/>
      <c r="KB239" s="1"/>
      <c r="KC239" s="1"/>
      <c r="KD239" s="1"/>
      <c r="KE239" s="1"/>
      <c r="KF239" s="1"/>
      <c r="KG239" s="1"/>
      <c r="KH239" s="1"/>
      <c r="KI239" s="1"/>
      <c r="KJ239" s="1"/>
      <c r="KK239" s="1"/>
      <c r="KL239" s="1"/>
      <c r="KM239" s="1"/>
      <c r="KN239" s="1"/>
      <c r="KO239" s="1"/>
      <c r="KP239" s="1"/>
      <c r="KQ239" s="1"/>
      <c r="KR239" s="1"/>
      <c r="KS239" s="1"/>
      <c r="KT239" s="1"/>
      <c r="KU239" s="1"/>
      <c r="KV239" s="1"/>
      <c r="KW239" s="1"/>
      <c r="KX239" s="1"/>
      <c r="KY239" s="1"/>
      <c r="KZ239" s="1"/>
      <c r="LA239" s="1"/>
      <c r="LB239" s="1"/>
      <c r="LC239" s="1"/>
      <c r="LD239" s="1"/>
      <c r="LE239" s="1"/>
      <c r="LF239" s="1"/>
      <c r="LG239" s="1"/>
      <c r="LH239" s="1"/>
      <c r="LI239" s="1"/>
      <c r="LJ239" s="1"/>
      <c r="LK239" s="1"/>
      <c r="LL239" s="1"/>
      <c r="LM239" s="1"/>
      <c r="LN239" s="1"/>
      <c r="LO239" s="1"/>
      <c r="LP239" s="1"/>
    </row>
    <row r="240" spans="1:328" ht="1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2"/>
      <c r="BH240" s="2"/>
      <c r="BI240" s="2"/>
      <c r="BJ240" s="2"/>
      <c r="BK240" s="2"/>
      <c r="BL240" s="2"/>
      <c r="BM240" s="2"/>
      <c r="BN240" s="2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  <c r="IW240" s="1"/>
      <c r="IX240" s="1"/>
      <c r="IY240" s="1"/>
      <c r="IZ240" s="1"/>
      <c r="JA240" s="1"/>
      <c r="JB240" s="1"/>
      <c r="JC240" s="1"/>
      <c r="JD240" s="1"/>
      <c r="JE240" s="1"/>
      <c r="JF240" s="1"/>
      <c r="JG240" s="1"/>
      <c r="JH240" s="1"/>
      <c r="JI240" s="1"/>
      <c r="JJ240" s="1"/>
      <c r="JK240" s="1"/>
      <c r="JL240" s="1"/>
      <c r="JM240" s="1"/>
      <c r="JN240" s="1"/>
      <c r="JO240" s="1"/>
      <c r="JP240" s="1"/>
      <c r="JQ240" s="1"/>
      <c r="JR240" s="1"/>
      <c r="JS240" s="1"/>
      <c r="JT240" s="1"/>
      <c r="JU240" s="1"/>
      <c r="JV240" s="1"/>
      <c r="JW240" s="1"/>
      <c r="JX240" s="1"/>
      <c r="JY240" s="1"/>
      <c r="JZ240" s="1"/>
      <c r="KA240" s="1"/>
      <c r="KB240" s="1"/>
      <c r="KC240" s="1"/>
      <c r="KD240" s="1"/>
      <c r="KE240" s="1"/>
      <c r="KF240" s="1"/>
      <c r="KG240" s="1"/>
      <c r="KH240" s="1"/>
      <c r="KI240" s="1"/>
      <c r="KJ240" s="1"/>
      <c r="KK240" s="1"/>
      <c r="KL240" s="1"/>
      <c r="KM240" s="1"/>
      <c r="KN240" s="1"/>
      <c r="KO240" s="1"/>
      <c r="KP240" s="1"/>
      <c r="KQ240" s="1"/>
      <c r="KR240" s="1"/>
      <c r="KS240" s="1"/>
      <c r="KT240" s="1"/>
      <c r="KU240" s="1"/>
      <c r="KV240" s="1"/>
      <c r="KW240" s="1"/>
      <c r="KX240" s="1"/>
      <c r="KY240" s="1"/>
      <c r="KZ240" s="1"/>
      <c r="LA240" s="1"/>
      <c r="LB240" s="1"/>
      <c r="LC240" s="1"/>
      <c r="LD240" s="1"/>
      <c r="LE240" s="1"/>
      <c r="LF240" s="1"/>
      <c r="LG240" s="1"/>
      <c r="LH240" s="1"/>
      <c r="LI240" s="1"/>
      <c r="LJ240" s="1"/>
      <c r="LK240" s="1"/>
      <c r="LL240" s="1"/>
      <c r="LM240" s="1"/>
      <c r="LN240" s="1"/>
      <c r="LO240" s="1"/>
      <c r="LP240" s="1"/>
    </row>
    <row r="241" spans="1:328" ht="1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2"/>
      <c r="BH241" s="2"/>
      <c r="BI241" s="2"/>
      <c r="BJ241" s="2"/>
      <c r="BK241" s="2"/>
      <c r="BL241" s="2"/>
      <c r="BM241" s="2"/>
      <c r="BN241" s="2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  <c r="IW241" s="1"/>
      <c r="IX241" s="1"/>
      <c r="IY241" s="1"/>
      <c r="IZ241" s="1"/>
      <c r="JA241" s="1"/>
      <c r="JB241" s="1"/>
      <c r="JC241" s="1"/>
      <c r="JD241" s="1"/>
      <c r="JE241" s="1"/>
      <c r="JF241" s="1"/>
      <c r="JG241" s="1"/>
      <c r="JH241" s="1"/>
      <c r="JI241" s="1"/>
      <c r="JJ241" s="1"/>
      <c r="JK241" s="1"/>
      <c r="JL241" s="1"/>
      <c r="JM241" s="1"/>
      <c r="JN241" s="1"/>
      <c r="JO241" s="1"/>
      <c r="JP241" s="1"/>
      <c r="JQ241" s="1"/>
      <c r="JR241" s="1"/>
      <c r="JS241" s="1"/>
      <c r="JT241" s="1"/>
      <c r="JU241" s="1"/>
      <c r="JV241" s="1"/>
      <c r="JW241" s="1"/>
      <c r="JX241" s="1"/>
      <c r="JY241" s="1"/>
      <c r="JZ241" s="1"/>
      <c r="KA241" s="1"/>
      <c r="KB241" s="1"/>
      <c r="KC241" s="1"/>
      <c r="KD241" s="1"/>
      <c r="KE241" s="1"/>
      <c r="KF241" s="1"/>
      <c r="KG241" s="1"/>
      <c r="KH241" s="1"/>
      <c r="KI241" s="1"/>
      <c r="KJ241" s="1"/>
      <c r="KK241" s="1"/>
      <c r="KL241" s="1"/>
      <c r="KM241" s="1"/>
      <c r="KN241" s="1"/>
      <c r="KO241" s="1"/>
      <c r="KP241" s="1"/>
      <c r="KQ241" s="1"/>
      <c r="KR241" s="1"/>
      <c r="KS241" s="1"/>
      <c r="KT241" s="1"/>
      <c r="KU241" s="1"/>
      <c r="KV241" s="1"/>
      <c r="KW241" s="1"/>
      <c r="KX241" s="1"/>
      <c r="KY241" s="1"/>
      <c r="KZ241" s="1"/>
      <c r="LA241" s="1"/>
      <c r="LB241" s="1"/>
      <c r="LC241" s="1"/>
      <c r="LD241" s="1"/>
      <c r="LE241" s="1"/>
      <c r="LF241" s="1"/>
      <c r="LG241" s="1"/>
      <c r="LH241" s="1"/>
      <c r="LI241" s="1"/>
      <c r="LJ241" s="1"/>
      <c r="LK241" s="1"/>
      <c r="LL241" s="1"/>
      <c r="LM241" s="1"/>
      <c r="LN241" s="1"/>
      <c r="LO241" s="1"/>
      <c r="LP241" s="1"/>
    </row>
    <row r="242" spans="1:328" ht="1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2"/>
      <c r="BH242" s="2"/>
      <c r="BI242" s="2"/>
      <c r="BJ242" s="2"/>
      <c r="BK242" s="2"/>
      <c r="BL242" s="2"/>
      <c r="BM242" s="2"/>
      <c r="BN242" s="2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  <c r="IW242" s="1"/>
      <c r="IX242" s="1"/>
      <c r="IY242" s="1"/>
      <c r="IZ242" s="1"/>
      <c r="JA242" s="1"/>
      <c r="JB242" s="1"/>
      <c r="JC242" s="1"/>
      <c r="JD242" s="1"/>
      <c r="JE242" s="1"/>
      <c r="JF242" s="1"/>
      <c r="JG242" s="1"/>
      <c r="JH242" s="1"/>
      <c r="JI242" s="1"/>
      <c r="JJ242" s="1"/>
      <c r="JK242" s="1"/>
      <c r="JL242" s="1"/>
      <c r="JM242" s="1"/>
      <c r="JN242" s="1"/>
      <c r="JO242" s="1"/>
      <c r="JP242" s="1"/>
      <c r="JQ242" s="1"/>
      <c r="JR242" s="1"/>
      <c r="JS242" s="1"/>
      <c r="JT242" s="1"/>
      <c r="JU242" s="1"/>
      <c r="JV242" s="1"/>
      <c r="JW242" s="1"/>
      <c r="JX242" s="1"/>
      <c r="JY242" s="1"/>
      <c r="JZ242" s="1"/>
      <c r="KA242" s="1"/>
      <c r="KB242" s="1"/>
      <c r="KC242" s="1"/>
      <c r="KD242" s="1"/>
      <c r="KE242" s="1"/>
      <c r="KF242" s="1"/>
      <c r="KG242" s="1"/>
      <c r="KH242" s="1"/>
      <c r="KI242" s="1"/>
      <c r="KJ242" s="1"/>
      <c r="KK242" s="1"/>
      <c r="KL242" s="1"/>
      <c r="KM242" s="1"/>
      <c r="KN242" s="1"/>
      <c r="KO242" s="1"/>
      <c r="KP242" s="1"/>
      <c r="KQ242" s="1"/>
      <c r="KR242" s="1"/>
      <c r="KS242" s="1"/>
      <c r="KT242" s="1"/>
      <c r="KU242" s="1"/>
      <c r="KV242" s="1"/>
      <c r="KW242" s="1"/>
      <c r="KX242" s="1"/>
      <c r="KY242" s="1"/>
      <c r="KZ242" s="1"/>
      <c r="LA242" s="1"/>
      <c r="LB242" s="1"/>
      <c r="LC242" s="1"/>
      <c r="LD242" s="1"/>
      <c r="LE242" s="1"/>
      <c r="LF242" s="1"/>
      <c r="LG242" s="1"/>
      <c r="LH242" s="1"/>
      <c r="LI242" s="1"/>
      <c r="LJ242" s="1"/>
      <c r="LK242" s="1"/>
      <c r="LL242" s="1"/>
      <c r="LM242" s="1"/>
      <c r="LN242" s="1"/>
      <c r="LO242" s="1"/>
      <c r="LP242" s="1"/>
    </row>
    <row r="243" spans="1:328" ht="1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2"/>
      <c r="BH243" s="2"/>
      <c r="BI243" s="2"/>
      <c r="BJ243" s="2"/>
      <c r="BK243" s="2"/>
      <c r="BL243" s="2"/>
      <c r="BM243" s="2"/>
      <c r="BN243" s="2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  <c r="IW243" s="1"/>
      <c r="IX243" s="1"/>
      <c r="IY243" s="1"/>
      <c r="IZ243" s="1"/>
      <c r="JA243" s="1"/>
      <c r="JB243" s="1"/>
      <c r="JC243" s="1"/>
      <c r="JD243" s="1"/>
      <c r="JE243" s="1"/>
      <c r="JF243" s="1"/>
      <c r="JG243" s="1"/>
      <c r="JH243" s="1"/>
      <c r="JI243" s="1"/>
      <c r="JJ243" s="1"/>
      <c r="JK243" s="1"/>
      <c r="JL243" s="1"/>
      <c r="JM243" s="1"/>
      <c r="JN243" s="1"/>
      <c r="JO243" s="1"/>
      <c r="JP243" s="1"/>
      <c r="JQ243" s="1"/>
      <c r="JR243" s="1"/>
      <c r="JS243" s="1"/>
      <c r="JT243" s="1"/>
      <c r="JU243" s="1"/>
      <c r="JV243" s="1"/>
      <c r="JW243" s="1"/>
      <c r="JX243" s="1"/>
      <c r="JY243" s="1"/>
      <c r="JZ243" s="1"/>
      <c r="KA243" s="1"/>
      <c r="KB243" s="1"/>
      <c r="KC243" s="1"/>
      <c r="KD243" s="1"/>
      <c r="KE243" s="1"/>
      <c r="KF243" s="1"/>
      <c r="KG243" s="1"/>
      <c r="KH243" s="1"/>
      <c r="KI243" s="1"/>
      <c r="KJ243" s="1"/>
      <c r="KK243" s="1"/>
      <c r="KL243" s="1"/>
      <c r="KM243" s="1"/>
      <c r="KN243" s="1"/>
      <c r="KO243" s="1"/>
      <c r="KP243" s="1"/>
      <c r="KQ243" s="1"/>
      <c r="KR243" s="1"/>
      <c r="KS243" s="1"/>
      <c r="KT243" s="1"/>
      <c r="KU243" s="1"/>
      <c r="KV243" s="1"/>
      <c r="KW243" s="1"/>
      <c r="KX243" s="1"/>
      <c r="KY243" s="1"/>
      <c r="KZ243" s="1"/>
      <c r="LA243" s="1"/>
      <c r="LB243" s="1"/>
      <c r="LC243" s="1"/>
      <c r="LD243" s="1"/>
      <c r="LE243" s="1"/>
      <c r="LF243" s="1"/>
      <c r="LG243" s="1"/>
      <c r="LH243" s="1"/>
      <c r="LI243" s="1"/>
      <c r="LJ243" s="1"/>
      <c r="LK243" s="1"/>
      <c r="LL243" s="1"/>
      <c r="LM243" s="1"/>
      <c r="LN243" s="1"/>
      <c r="LO243" s="1"/>
      <c r="LP243" s="1"/>
    </row>
    <row r="244" spans="1:328" ht="1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2"/>
      <c r="BH244" s="2"/>
      <c r="BI244" s="2"/>
      <c r="BJ244" s="2"/>
      <c r="BK244" s="2"/>
      <c r="BL244" s="2"/>
      <c r="BM244" s="2"/>
      <c r="BN244" s="2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  <c r="IW244" s="1"/>
      <c r="IX244" s="1"/>
      <c r="IY244" s="1"/>
      <c r="IZ244" s="1"/>
      <c r="JA244" s="1"/>
      <c r="JB244" s="1"/>
      <c r="JC244" s="1"/>
      <c r="JD244" s="1"/>
      <c r="JE244" s="1"/>
      <c r="JF244" s="1"/>
      <c r="JG244" s="1"/>
      <c r="JH244" s="1"/>
      <c r="JI244" s="1"/>
      <c r="JJ244" s="1"/>
      <c r="JK244" s="1"/>
      <c r="JL244" s="1"/>
      <c r="JM244" s="1"/>
      <c r="JN244" s="1"/>
      <c r="JO244" s="1"/>
      <c r="JP244" s="1"/>
      <c r="JQ244" s="1"/>
      <c r="JR244" s="1"/>
      <c r="JS244" s="1"/>
      <c r="JT244" s="1"/>
      <c r="JU244" s="1"/>
      <c r="JV244" s="1"/>
      <c r="JW244" s="1"/>
      <c r="JX244" s="1"/>
      <c r="JY244" s="1"/>
      <c r="JZ244" s="1"/>
      <c r="KA244" s="1"/>
      <c r="KB244" s="1"/>
      <c r="KC244" s="1"/>
      <c r="KD244" s="1"/>
      <c r="KE244" s="1"/>
      <c r="KF244" s="1"/>
      <c r="KG244" s="1"/>
      <c r="KH244" s="1"/>
      <c r="KI244" s="1"/>
      <c r="KJ244" s="1"/>
      <c r="KK244" s="1"/>
      <c r="KL244" s="1"/>
      <c r="KM244" s="1"/>
      <c r="KN244" s="1"/>
      <c r="KO244" s="1"/>
      <c r="KP244" s="1"/>
      <c r="KQ244" s="1"/>
      <c r="KR244" s="1"/>
      <c r="KS244" s="1"/>
      <c r="KT244" s="1"/>
      <c r="KU244" s="1"/>
      <c r="KV244" s="1"/>
      <c r="KW244" s="1"/>
      <c r="KX244" s="1"/>
      <c r="KY244" s="1"/>
      <c r="KZ244" s="1"/>
      <c r="LA244" s="1"/>
      <c r="LB244" s="1"/>
      <c r="LC244" s="1"/>
      <c r="LD244" s="1"/>
      <c r="LE244" s="1"/>
      <c r="LF244" s="1"/>
      <c r="LG244" s="1"/>
      <c r="LH244" s="1"/>
      <c r="LI244" s="1"/>
      <c r="LJ244" s="1"/>
      <c r="LK244" s="1"/>
      <c r="LL244" s="1"/>
      <c r="LM244" s="1"/>
      <c r="LN244" s="1"/>
      <c r="LO244" s="1"/>
      <c r="LP244" s="1"/>
    </row>
    <row r="245" spans="1:328" ht="1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2"/>
      <c r="BH245" s="2"/>
      <c r="BI245" s="2"/>
      <c r="BJ245" s="2"/>
      <c r="BK245" s="2"/>
      <c r="BL245" s="2"/>
      <c r="BM245" s="2"/>
      <c r="BN245" s="2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  <c r="IW245" s="1"/>
      <c r="IX245" s="1"/>
      <c r="IY245" s="1"/>
      <c r="IZ245" s="1"/>
      <c r="JA245" s="1"/>
      <c r="JB245" s="1"/>
      <c r="JC245" s="1"/>
      <c r="JD245" s="1"/>
      <c r="JE245" s="1"/>
      <c r="JF245" s="1"/>
      <c r="JG245" s="1"/>
      <c r="JH245" s="1"/>
      <c r="JI245" s="1"/>
      <c r="JJ245" s="1"/>
      <c r="JK245" s="1"/>
      <c r="JL245" s="1"/>
      <c r="JM245" s="1"/>
      <c r="JN245" s="1"/>
      <c r="JO245" s="1"/>
      <c r="JP245" s="1"/>
      <c r="JQ245" s="1"/>
      <c r="JR245" s="1"/>
      <c r="JS245" s="1"/>
      <c r="JT245" s="1"/>
      <c r="JU245" s="1"/>
      <c r="JV245" s="1"/>
      <c r="JW245" s="1"/>
      <c r="JX245" s="1"/>
      <c r="JY245" s="1"/>
      <c r="JZ245" s="1"/>
      <c r="KA245" s="1"/>
      <c r="KB245" s="1"/>
      <c r="KC245" s="1"/>
      <c r="KD245" s="1"/>
      <c r="KE245" s="1"/>
      <c r="KF245" s="1"/>
      <c r="KG245" s="1"/>
      <c r="KH245" s="1"/>
      <c r="KI245" s="1"/>
      <c r="KJ245" s="1"/>
      <c r="KK245" s="1"/>
      <c r="KL245" s="1"/>
      <c r="KM245" s="1"/>
      <c r="KN245" s="1"/>
      <c r="KO245" s="1"/>
      <c r="KP245" s="1"/>
      <c r="KQ245" s="1"/>
      <c r="KR245" s="1"/>
      <c r="KS245" s="1"/>
      <c r="KT245" s="1"/>
      <c r="KU245" s="1"/>
      <c r="KV245" s="1"/>
      <c r="KW245" s="1"/>
      <c r="KX245" s="1"/>
      <c r="KY245" s="1"/>
      <c r="KZ245" s="1"/>
      <c r="LA245" s="1"/>
      <c r="LB245" s="1"/>
      <c r="LC245" s="1"/>
      <c r="LD245" s="1"/>
      <c r="LE245" s="1"/>
      <c r="LF245" s="1"/>
      <c r="LG245" s="1"/>
      <c r="LH245" s="1"/>
      <c r="LI245" s="1"/>
      <c r="LJ245" s="1"/>
      <c r="LK245" s="1"/>
      <c r="LL245" s="1"/>
      <c r="LM245" s="1"/>
      <c r="LN245" s="1"/>
      <c r="LO245" s="1"/>
      <c r="LP245" s="1"/>
    </row>
    <row r="246" spans="1:328" ht="1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2"/>
      <c r="BH246" s="2"/>
      <c r="BI246" s="2"/>
      <c r="BJ246" s="2"/>
      <c r="BK246" s="2"/>
      <c r="BL246" s="2"/>
      <c r="BM246" s="2"/>
      <c r="BN246" s="2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  <c r="IW246" s="1"/>
      <c r="IX246" s="1"/>
      <c r="IY246" s="1"/>
      <c r="IZ246" s="1"/>
      <c r="JA246" s="1"/>
      <c r="JB246" s="1"/>
      <c r="JC246" s="1"/>
      <c r="JD246" s="1"/>
      <c r="JE246" s="1"/>
      <c r="JF246" s="1"/>
      <c r="JG246" s="1"/>
      <c r="JH246" s="1"/>
      <c r="JI246" s="1"/>
      <c r="JJ246" s="1"/>
      <c r="JK246" s="1"/>
      <c r="JL246" s="1"/>
      <c r="JM246" s="1"/>
      <c r="JN246" s="1"/>
      <c r="JO246" s="1"/>
      <c r="JP246" s="1"/>
      <c r="JQ246" s="1"/>
      <c r="JR246" s="1"/>
      <c r="JS246" s="1"/>
      <c r="JT246" s="1"/>
      <c r="JU246" s="1"/>
      <c r="JV246" s="1"/>
      <c r="JW246" s="1"/>
      <c r="JX246" s="1"/>
      <c r="JY246" s="1"/>
      <c r="JZ246" s="1"/>
      <c r="KA246" s="1"/>
      <c r="KB246" s="1"/>
      <c r="KC246" s="1"/>
      <c r="KD246" s="1"/>
      <c r="KE246" s="1"/>
      <c r="KF246" s="1"/>
      <c r="KG246" s="1"/>
      <c r="KH246" s="1"/>
      <c r="KI246" s="1"/>
      <c r="KJ246" s="1"/>
      <c r="KK246" s="1"/>
      <c r="KL246" s="1"/>
      <c r="KM246" s="1"/>
      <c r="KN246" s="1"/>
      <c r="KO246" s="1"/>
      <c r="KP246" s="1"/>
      <c r="KQ246" s="1"/>
      <c r="KR246" s="1"/>
      <c r="KS246" s="1"/>
      <c r="KT246" s="1"/>
      <c r="KU246" s="1"/>
      <c r="KV246" s="1"/>
      <c r="KW246" s="1"/>
      <c r="KX246" s="1"/>
      <c r="KY246" s="1"/>
      <c r="KZ246" s="1"/>
      <c r="LA246" s="1"/>
      <c r="LB246" s="1"/>
      <c r="LC246" s="1"/>
      <c r="LD246" s="1"/>
      <c r="LE246" s="1"/>
      <c r="LF246" s="1"/>
      <c r="LG246" s="1"/>
      <c r="LH246" s="1"/>
      <c r="LI246" s="1"/>
      <c r="LJ246" s="1"/>
      <c r="LK246" s="1"/>
      <c r="LL246" s="1"/>
      <c r="LM246" s="1"/>
      <c r="LN246" s="1"/>
      <c r="LO246" s="1"/>
      <c r="LP246" s="1"/>
    </row>
    <row r="247" spans="1:328" ht="1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2"/>
      <c r="BH247" s="2"/>
      <c r="BI247" s="2"/>
      <c r="BJ247" s="2"/>
      <c r="BK247" s="2"/>
      <c r="BL247" s="2"/>
      <c r="BM247" s="2"/>
      <c r="BN247" s="2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  <c r="IW247" s="1"/>
      <c r="IX247" s="1"/>
      <c r="IY247" s="1"/>
      <c r="IZ247" s="1"/>
      <c r="JA247" s="1"/>
      <c r="JB247" s="1"/>
      <c r="JC247" s="1"/>
      <c r="JD247" s="1"/>
      <c r="JE247" s="1"/>
      <c r="JF247" s="1"/>
      <c r="JG247" s="1"/>
      <c r="JH247" s="1"/>
      <c r="JI247" s="1"/>
      <c r="JJ247" s="1"/>
      <c r="JK247" s="1"/>
      <c r="JL247" s="1"/>
      <c r="JM247" s="1"/>
      <c r="JN247" s="1"/>
      <c r="JO247" s="1"/>
      <c r="JP247" s="1"/>
      <c r="JQ247" s="1"/>
      <c r="JR247" s="1"/>
      <c r="JS247" s="1"/>
      <c r="JT247" s="1"/>
      <c r="JU247" s="1"/>
      <c r="JV247" s="1"/>
      <c r="JW247" s="1"/>
      <c r="JX247" s="1"/>
      <c r="JY247" s="1"/>
      <c r="JZ247" s="1"/>
      <c r="KA247" s="1"/>
      <c r="KB247" s="1"/>
      <c r="KC247" s="1"/>
      <c r="KD247" s="1"/>
      <c r="KE247" s="1"/>
      <c r="KF247" s="1"/>
      <c r="KG247" s="1"/>
      <c r="KH247" s="1"/>
      <c r="KI247" s="1"/>
      <c r="KJ247" s="1"/>
      <c r="KK247" s="1"/>
      <c r="KL247" s="1"/>
      <c r="KM247" s="1"/>
      <c r="KN247" s="1"/>
      <c r="KO247" s="1"/>
      <c r="KP247" s="1"/>
      <c r="KQ247" s="1"/>
      <c r="KR247" s="1"/>
      <c r="KS247" s="1"/>
      <c r="KT247" s="1"/>
      <c r="KU247" s="1"/>
      <c r="KV247" s="1"/>
      <c r="KW247" s="1"/>
      <c r="KX247" s="1"/>
      <c r="KY247" s="1"/>
      <c r="KZ247" s="1"/>
      <c r="LA247" s="1"/>
      <c r="LB247" s="1"/>
      <c r="LC247" s="1"/>
      <c r="LD247" s="1"/>
      <c r="LE247" s="1"/>
      <c r="LF247" s="1"/>
      <c r="LG247" s="1"/>
      <c r="LH247" s="1"/>
      <c r="LI247" s="1"/>
      <c r="LJ247" s="1"/>
      <c r="LK247" s="1"/>
      <c r="LL247" s="1"/>
      <c r="LM247" s="1"/>
      <c r="LN247" s="1"/>
      <c r="LO247" s="1"/>
      <c r="LP247" s="1"/>
    </row>
    <row r="248" spans="1:328" ht="1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2"/>
      <c r="BH248" s="2"/>
      <c r="BI248" s="2"/>
      <c r="BJ248" s="2"/>
      <c r="BK248" s="2"/>
      <c r="BL248" s="2"/>
      <c r="BM248" s="2"/>
      <c r="BN248" s="2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  <c r="IW248" s="1"/>
      <c r="IX248" s="1"/>
      <c r="IY248" s="1"/>
      <c r="IZ248" s="1"/>
      <c r="JA248" s="1"/>
      <c r="JB248" s="1"/>
      <c r="JC248" s="1"/>
      <c r="JD248" s="1"/>
      <c r="JE248" s="1"/>
      <c r="JF248" s="1"/>
      <c r="JG248" s="1"/>
      <c r="JH248" s="1"/>
      <c r="JI248" s="1"/>
      <c r="JJ248" s="1"/>
      <c r="JK248" s="1"/>
      <c r="JL248" s="1"/>
      <c r="JM248" s="1"/>
      <c r="JN248" s="1"/>
      <c r="JO248" s="1"/>
      <c r="JP248" s="1"/>
      <c r="JQ248" s="1"/>
      <c r="JR248" s="1"/>
      <c r="JS248" s="1"/>
      <c r="JT248" s="1"/>
      <c r="JU248" s="1"/>
      <c r="JV248" s="1"/>
      <c r="JW248" s="1"/>
      <c r="JX248" s="1"/>
      <c r="JY248" s="1"/>
      <c r="JZ248" s="1"/>
      <c r="KA248" s="1"/>
      <c r="KB248" s="1"/>
      <c r="KC248" s="1"/>
      <c r="KD248" s="1"/>
      <c r="KE248" s="1"/>
      <c r="KF248" s="1"/>
      <c r="KG248" s="1"/>
      <c r="KH248" s="1"/>
      <c r="KI248" s="1"/>
      <c r="KJ248" s="1"/>
      <c r="KK248" s="1"/>
      <c r="KL248" s="1"/>
      <c r="KM248" s="1"/>
      <c r="KN248" s="1"/>
      <c r="KO248" s="1"/>
      <c r="KP248" s="1"/>
      <c r="KQ248" s="1"/>
      <c r="KR248" s="1"/>
      <c r="KS248" s="1"/>
      <c r="KT248" s="1"/>
      <c r="KU248" s="1"/>
      <c r="KV248" s="1"/>
      <c r="KW248" s="1"/>
      <c r="KX248" s="1"/>
      <c r="KY248" s="1"/>
      <c r="KZ248" s="1"/>
      <c r="LA248" s="1"/>
      <c r="LB248" s="1"/>
      <c r="LC248" s="1"/>
      <c r="LD248" s="1"/>
      <c r="LE248" s="1"/>
      <c r="LF248" s="1"/>
      <c r="LG248" s="1"/>
      <c r="LH248" s="1"/>
      <c r="LI248" s="1"/>
      <c r="LJ248" s="1"/>
      <c r="LK248" s="1"/>
      <c r="LL248" s="1"/>
      <c r="LM248" s="1"/>
      <c r="LN248" s="1"/>
      <c r="LO248" s="1"/>
      <c r="LP248" s="1"/>
    </row>
    <row r="249" spans="1:328" ht="1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2"/>
      <c r="BH249" s="2"/>
      <c r="BI249" s="2"/>
      <c r="BJ249" s="2"/>
      <c r="BK249" s="2"/>
      <c r="BL249" s="2"/>
      <c r="BM249" s="2"/>
      <c r="BN249" s="2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  <c r="IW249" s="1"/>
      <c r="IX249" s="1"/>
      <c r="IY249" s="1"/>
      <c r="IZ249" s="1"/>
      <c r="JA249" s="1"/>
      <c r="JB249" s="1"/>
      <c r="JC249" s="1"/>
      <c r="JD249" s="1"/>
      <c r="JE249" s="1"/>
      <c r="JF249" s="1"/>
      <c r="JG249" s="1"/>
      <c r="JH249" s="1"/>
      <c r="JI249" s="1"/>
      <c r="JJ249" s="1"/>
      <c r="JK249" s="1"/>
      <c r="JL249" s="1"/>
      <c r="JM249" s="1"/>
      <c r="JN249" s="1"/>
      <c r="JO249" s="1"/>
      <c r="JP249" s="1"/>
      <c r="JQ249" s="1"/>
      <c r="JR249" s="1"/>
      <c r="JS249" s="1"/>
      <c r="JT249" s="1"/>
      <c r="JU249" s="1"/>
      <c r="JV249" s="1"/>
      <c r="JW249" s="1"/>
      <c r="JX249" s="1"/>
      <c r="JY249" s="1"/>
      <c r="JZ249" s="1"/>
      <c r="KA249" s="1"/>
      <c r="KB249" s="1"/>
      <c r="KC249" s="1"/>
      <c r="KD249" s="1"/>
      <c r="KE249" s="1"/>
      <c r="KF249" s="1"/>
      <c r="KG249" s="1"/>
      <c r="KH249" s="1"/>
      <c r="KI249" s="1"/>
      <c r="KJ249" s="1"/>
      <c r="KK249" s="1"/>
      <c r="KL249" s="1"/>
      <c r="KM249" s="1"/>
      <c r="KN249" s="1"/>
      <c r="KO249" s="1"/>
      <c r="KP249" s="1"/>
      <c r="KQ249" s="1"/>
      <c r="KR249" s="1"/>
      <c r="KS249" s="1"/>
      <c r="KT249" s="1"/>
      <c r="KU249" s="1"/>
      <c r="KV249" s="1"/>
      <c r="KW249" s="1"/>
      <c r="KX249" s="1"/>
      <c r="KY249" s="1"/>
      <c r="KZ249" s="1"/>
      <c r="LA249" s="1"/>
      <c r="LB249" s="1"/>
      <c r="LC249" s="1"/>
      <c r="LD249" s="1"/>
      <c r="LE249" s="1"/>
      <c r="LF249" s="1"/>
      <c r="LG249" s="1"/>
      <c r="LH249" s="1"/>
      <c r="LI249" s="1"/>
      <c r="LJ249" s="1"/>
      <c r="LK249" s="1"/>
      <c r="LL249" s="1"/>
      <c r="LM249" s="1"/>
      <c r="LN249" s="1"/>
      <c r="LO249" s="1"/>
      <c r="LP249" s="1"/>
    </row>
    <row r="250" spans="1:328" ht="1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2"/>
      <c r="BH250" s="2"/>
      <c r="BI250" s="2"/>
      <c r="BJ250" s="2"/>
      <c r="BK250" s="2"/>
      <c r="BL250" s="2"/>
      <c r="BM250" s="2"/>
      <c r="BN250" s="2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  <c r="IX250" s="1"/>
      <c r="IY250" s="1"/>
      <c r="IZ250" s="1"/>
      <c r="JA250" s="1"/>
      <c r="JB250" s="1"/>
      <c r="JC250" s="1"/>
      <c r="JD250" s="1"/>
      <c r="JE250" s="1"/>
      <c r="JF250" s="1"/>
      <c r="JG250" s="1"/>
      <c r="JH250" s="1"/>
      <c r="JI250" s="1"/>
      <c r="JJ250" s="1"/>
      <c r="JK250" s="1"/>
      <c r="JL250" s="1"/>
      <c r="JM250" s="1"/>
      <c r="JN250" s="1"/>
      <c r="JO250" s="1"/>
      <c r="JP250" s="1"/>
      <c r="JQ250" s="1"/>
      <c r="JR250" s="1"/>
      <c r="JS250" s="1"/>
      <c r="JT250" s="1"/>
      <c r="JU250" s="1"/>
      <c r="JV250" s="1"/>
      <c r="JW250" s="1"/>
      <c r="JX250" s="1"/>
      <c r="JY250" s="1"/>
      <c r="JZ250" s="1"/>
      <c r="KA250" s="1"/>
      <c r="KB250" s="1"/>
      <c r="KC250" s="1"/>
      <c r="KD250" s="1"/>
      <c r="KE250" s="1"/>
      <c r="KF250" s="1"/>
      <c r="KG250" s="1"/>
      <c r="KH250" s="1"/>
      <c r="KI250" s="1"/>
      <c r="KJ250" s="1"/>
      <c r="KK250" s="1"/>
      <c r="KL250" s="1"/>
      <c r="KM250" s="1"/>
      <c r="KN250" s="1"/>
      <c r="KO250" s="1"/>
      <c r="KP250" s="1"/>
      <c r="KQ250" s="1"/>
      <c r="KR250" s="1"/>
      <c r="KS250" s="1"/>
      <c r="KT250" s="1"/>
      <c r="KU250" s="1"/>
      <c r="KV250" s="1"/>
      <c r="KW250" s="1"/>
      <c r="KX250" s="1"/>
      <c r="KY250" s="1"/>
      <c r="KZ250" s="1"/>
      <c r="LA250" s="1"/>
      <c r="LB250" s="1"/>
      <c r="LC250" s="1"/>
      <c r="LD250" s="1"/>
      <c r="LE250" s="1"/>
      <c r="LF250" s="1"/>
      <c r="LG250" s="1"/>
      <c r="LH250" s="1"/>
      <c r="LI250" s="1"/>
      <c r="LJ250" s="1"/>
      <c r="LK250" s="1"/>
      <c r="LL250" s="1"/>
      <c r="LM250" s="1"/>
      <c r="LN250" s="1"/>
      <c r="LO250" s="1"/>
      <c r="LP250" s="1"/>
    </row>
    <row r="251" spans="1:328" ht="1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2"/>
      <c r="BH251" s="2"/>
      <c r="BI251" s="2"/>
      <c r="BJ251" s="2"/>
      <c r="BK251" s="2"/>
      <c r="BL251" s="2"/>
      <c r="BM251" s="2"/>
      <c r="BN251" s="2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  <c r="IX251" s="1"/>
      <c r="IY251" s="1"/>
      <c r="IZ251" s="1"/>
      <c r="JA251" s="1"/>
      <c r="JB251" s="1"/>
      <c r="JC251" s="1"/>
      <c r="JD251" s="1"/>
      <c r="JE251" s="1"/>
      <c r="JF251" s="1"/>
      <c r="JG251" s="1"/>
      <c r="JH251" s="1"/>
      <c r="JI251" s="1"/>
      <c r="JJ251" s="1"/>
      <c r="JK251" s="1"/>
      <c r="JL251" s="1"/>
      <c r="JM251" s="1"/>
      <c r="JN251" s="1"/>
      <c r="JO251" s="1"/>
      <c r="JP251" s="1"/>
      <c r="JQ251" s="1"/>
      <c r="JR251" s="1"/>
      <c r="JS251" s="1"/>
      <c r="JT251" s="1"/>
      <c r="JU251" s="1"/>
      <c r="JV251" s="1"/>
      <c r="JW251" s="1"/>
      <c r="JX251" s="1"/>
      <c r="JY251" s="1"/>
      <c r="JZ251" s="1"/>
      <c r="KA251" s="1"/>
      <c r="KB251" s="1"/>
      <c r="KC251" s="1"/>
      <c r="KD251" s="1"/>
      <c r="KE251" s="1"/>
      <c r="KF251" s="1"/>
      <c r="KG251" s="1"/>
      <c r="KH251" s="1"/>
      <c r="KI251" s="1"/>
      <c r="KJ251" s="1"/>
      <c r="KK251" s="1"/>
      <c r="KL251" s="1"/>
      <c r="KM251" s="1"/>
      <c r="KN251" s="1"/>
      <c r="KO251" s="1"/>
      <c r="KP251" s="1"/>
      <c r="KQ251" s="1"/>
      <c r="KR251" s="1"/>
      <c r="KS251" s="1"/>
      <c r="KT251" s="1"/>
      <c r="KU251" s="1"/>
      <c r="KV251" s="1"/>
      <c r="KW251" s="1"/>
      <c r="KX251" s="1"/>
      <c r="KY251" s="1"/>
      <c r="KZ251" s="1"/>
      <c r="LA251" s="1"/>
      <c r="LB251" s="1"/>
      <c r="LC251" s="1"/>
      <c r="LD251" s="1"/>
      <c r="LE251" s="1"/>
      <c r="LF251" s="1"/>
      <c r="LG251" s="1"/>
      <c r="LH251" s="1"/>
      <c r="LI251" s="1"/>
      <c r="LJ251" s="1"/>
      <c r="LK251" s="1"/>
      <c r="LL251" s="1"/>
      <c r="LM251" s="1"/>
      <c r="LN251" s="1"/>
      <c r="LO251" s="1"/>
      <c r="LP251" s="1"/>
    </row>
    <row r="252" spans="1:328" ht="1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2"/>
      <c r="BH252" s="2"/>
      <c r="BI252" s="2"/>
      <c r="BJ252" s="2"/>
      <c r="BK252" s="2"/>
      <c r="BL252" s="2"/>
      <c r="BM252" s="2"/>
      <c r="BN252" s="2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  <c r="IX252" s="1"/>
      <c r="IY252" s="1"/>
      <c r="IZ252" s="1"/>
      <c r="JA252" s="1"/>
      <c r="JB252" s="1"/>
      <c r="JC252" s="1"/>
      <c r="JD252" s="1"/>
      <c r="JE252" s="1"/>
      <c r="JF252" s="1"/>
      <c r="JG252" s="1"/>
      <c r="JH252" s="1"/>
      <c r="JI252" s="1"/>
      <c r="JJ252" s="1"/>
      <c r="JK252" s="1"/>
      <c r="JL252" s="1"/>
      <c r="JM252" s="1"/>
      <c r="JN252" s="1"/>
      <c r="JO252" s="1"/>
      <c r="JP252" s="1"/>
      <c r="JQ252" s="1"/>
      <c r="JR252" s="1"/>
      <c r="JS252" s="1"/>
      <c r="JT252" s="1"/>
      <c r="JU252" s="1"/>
      <c r="JV252" s="1"/>
      <c r="JW252" s="1"/>
      <c r="JX252" s="1"/>
      <c r="JY252" s="1"/>
      <c r="JZ252" s="1"/>
      <c r="KA252" s="1"/>
      <c r="KB252" s="1"/>
      <c r="KC252" s="1"/>
      <c r="KD252" s="1"/>
      <c r="KE252" s="1"/>
      <c r="KF252" s="1"/>
      <c r="KG252" s="1"/>
      <c r="KH252" s="1"/>
      <c r="KI252" s="1"/>
      <c r="KJ252" s="1"/>
      <c r="KK252" s="1"/>
      <c r="KL252" s="1"/>
      <c r="KM252" s="1"/>
      <c r="KN252" s="1"/>
      <c r="KO252" s="1"/>
      <c r="KP252" s="1"/>
      <c r="KQ252" s="1"/>
      <c r="KR252" s="1"/>
      <c r="KS252" s="1"/>
      <c r="KT252" s="1"/>
      <c r="KU252" s="1"/>
      <c r="KV252" s="1"/>
      <c r="KW252" s="1"/>
      <c r="KX252" s="1"/>
      <c r="KY252" s="1"/>
      <c r="KZ252" s="1"/>
      <c r="LA252" s="1"/>
      <c r="LB252" s="1"/>
      <c r="LC252" s="1"/>
      <c r="LD252" s="1"/>
      <c r="LE252" s="1"/>
      <c r="LF252" s="1"/>
      <c r="LG252" s="1"/>
      <c r="LH252" s="1"/>
      <c r="LI252" s="1"/>
      <c r="LJ252" s="1"/>
      <c r="LK252" s="1"/>
      <c r="LL252" s="1"/>
      <c r="LM252" s="1"/>
      <c r="LN252" s="1"/>
      <c r="LO252" s="1"/>
      <c r="LP252" s="1"/>
    </row>
    <row r="253" spans="1:328" ht="1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2"/>
      <c r="BH253" s="2"/>
      <c r="BI253" s="2"/>
      <c r="BJ253" s="2"/>
      <c r="BK253" s="2"/>
      <c r="BL253" s="2"/>
      <c r="BM253" s="2"/>
      <c r="BN253" s="2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  <c r="IX253" s="1"/>
      <c r="IY253" s="1"/>
      <c r="IZ253" s="1"/>
      <c r="JA253" s="1"/>
      <c r="JB253" s="1"/>
      <c r="JC253" s="1"/>
      <c r="JD253" s="1"/>
      <c r="JE253" s="1"/>
      <c r="JF253" s="1"/>
      <c r="JG253" s="1"/>
      <c r="JH253" s="1"/>
      <c r="JI253" s="1"/>
      <c r="JJ253" s="1"/>
      <c r="JK253" s="1"/>
      <c r="JL253" s="1"/>
      <c r="JM253" s="1"/>
      <c r="JN253" s="1"/>
      <c r="JO253" s="1"/>
      <c r="JP253" s="1"/>
      <c r="JQ253" s="1"/>
      <c r="JR253" s="1"/>
      <c r="JS253" s="1"/>
      <c r="JT253" s="1"/>
      <c r="JU253" s="1"/>
      <c r="JV253" s="1"/>
      <c r="JW253" s="1"/>
      <c r="JX253" s="1"/>
      <c r="JY253" s="1"/>
      <c r="JZ253" s="1"/>
      <c r="KA253" s="1"/>
      <c r="KB253" s="1"/>
      <c r="KC253" s="1"/>
      <c r="KD253" s="1"/>
      <c r="KE253" s="1"/>
      <c r="KF253" s="1"/>
      <c r="KG253" s="1"/>
      <c r="KH253" s="1"/>
      <c r="KI253" s="1"/>
      <c r="KJ253" s="1"/>
      <c r="KK253" s="1"/>
      <c r="KL253" s="1"/>
      <c r="KM253" s="1"/>
      <c r="KN253" s="1"/>
      <c r="KO253" s="1"/>
      <c r="KP253" s="1"/>
      <c r="KQ253" s="1"/>
      <c r="KR253" s="1"/>
      <c r="KS253" s="1"/>
      <c r="KT253" s="1"/>
      <c r="KU253" s="1"/>
      <c r="KV253" s="1"/>
      <c r="KW253" s="1"/>
      <c r="KX253" s="1"/>
      <c r="KY253" s="1"/>
      <c r="KZ253" s="1"/>
      <c r="LA253" s="1"/>
      <c r="LB253" s="1"/>
      <c r="LC253" s="1"/>
      <c r="LD253" s="1"/>
      <c r="LE253" s="1"/>
      <c r="LF253" s="1"/>
      <c r="LG253" s="1"/>
      <c r="LH253" s="1"/>
      <c r="LI253" s="1"/>
      <c r="LJ253" s="1"/>
      <c r="LK253" s="1"/>
      <c r="LL253" s="1"/>
      <c r="LM253" s="1"/>
      <c r="LN253" s="1"/>
      <c r="LO253" s="1"/>
      <c r="LP253" s="1"/>
    </row>
    <row r="254" spans="1:328" ht="1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2"/>
      <c r="BH254" s="2"/>
      <c r="BI254" s="2"/>
      <c r="BJ254" s="2"/>
      <c r="BK254" s="2"/>
      <c r="BL254" s="2"/>
      <c r="BM254" s="2"/>
      <c r="BN254" s="2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  <c r="IW254" s="1"/>
      <c r="IX254" s="1"/>
      <c r="IY254" s="1"/>
      <c r="IZ254" s="1"/>
      <c r="JA254" s="1"/>
      <c r="JB254" s="1"/>
      <c r="JC254" s="1"/>
      <c r="JD254" s="1"/>
      <c r="JE254" s="1"/>
      <c r="JF254" s="1"/>
      <c r="JG254" s="1"/>
      <c r="JH254" s="1"/>
      <c r="JI254" s="1"/>
      <c r="JJ254" s="1"/>
      <c r="JK254" s="1"/>
      <c r="JL254" s="1"/>
      <c r="JM254" s="1"/>
      <c r="JN254" s="1"/>
      <c r="JO254" s="1"/>
      <c r="JP254" s="1"/>
      <c r="JQ254" s="1"/>
      <c r="JR254" s="1"/>
      <c r="JS254" s="1"/>
      <c r="JT254" s="1"/>
      <c r="JU254" s="1"/>
      <c r="JV254" s="1"/>
      <c r="JW254" s="1"/>
      <c r="JX254" s="1"/>
      <c r="JY254" s="1"/>
      <c r="JZ254" s="1"/>
      <c r="KA254" s="1"/>
      <c r="KB254" s="1"/>
      <c r="KC254" s="1"/>
      <c r="KD254" s="1"/>
      <c r="KE254" s="1"/>
      <c r="KF254" s="1"/>
      <c r="KG254" s="1"/>
      <c r="KH254" s="1"/>
      <c r="KI254" s="1"/>
      <c r="KJ254" s="1"/>
      <c r="KK254" s="1"/>
      <c r="KL254" s="1"/>
      <c r="KM254" s="1"/>
      <c r="KN254" s="1"/>
      <c r="KO254" s="1"/>
      <c r="KP254" s="1"/>
      <c r="KQ254" s="1"/>
      <c r="KR254" s="1"/>
      <c r="KS254" s="1"/>
      <c r="KT254" s="1"/>
      <c r="KU254" s="1"/>
      <c r="KV254" s="1"/>
      <c r="KW254" s="1"/>
      <c r="KX254" s="1"/>
      <c r="KY254" s="1"/>
      <c r="KZ254" s="1"/>
      <c r="LA254" s="1"/>
      <c r="LB254" s="1"/>
      <c r="LC254" s="1"/>
      <c r="LD254" s="1"/>
      <c r="LE254" s="1"/>
      <c r="LF254" s="1"/>
      <c r="LG254" s="1"/>
      <c r="LH254" s="1"/>
      <c r="LI254" s="1"/>
      <c r="LJ254" s="1"/>
      <c r="LK254" s="1"/>
      <c r="LL254" s="1"/>
      <c r="LM254" s="1"/>
      <c r="LN254" s="1"/>
      <c r="LO254" s="1"/>
      <c r="LP254" s="1"/>
    </row>
    <row r="255" spans="1:328" ht="1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2"/>
      <c r="BH255" s="2"/>
      <c r="BI255" s="2"/>
      <c r="BJ255" s="2"/>
      <c r="BK255" s="2"/>
      <c r="BL255" s="2"/>
      <c r="BM255" s="2"/>
      <c r="BN255" s="2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  <c r="IW255" s="1"/>
      <c r="IX255" s="1"/>
      <c r="IY255" s="1"/>
      <c r="IZ255" s="1"/>
      <c r="JA255" s="1"/>
      <c r="JB255" s="1"/>
      <c r="JC255" s="1"/>
      <c r="JD255" s="1"/>
      <c r="JE255" s="1"/>
      <c r="JF255" s="1"/>
      <c r="JG255" s="1"/>
      <c r="JH255" s="1"/>
      <c r="JI255" s="1"/>
      <c r="JJ255" s="1"/>
      <c r="JK255" s="1"/>
      <c r="JL255" s="1"/>
      <c r="JM255" s="1"/>
      <c r="JN255" s="1"/>
      <c r="JO255" s="1"/>
      <c r="JP255" s="1"/>
      <c r="JQ255" s="1"/>
      <c r="JR255" s="1"/>
      <c r="JS255" s="1"/>
      <c r="JT255" s="1"/>
      <c r="JU255" s="1"/>
      <c r="JV255" s="1"/>
      <c r="JW255" s="1"/>
      <c r="JX255" s="1"/>
      <c r="JY255" s="1"/>
      <c r="JZ255" s="1"/>
      <c r="KA255" s="1"/>
      <c r="KB255" s="1"/>
      <c r="KC255" s="1"/>
      <c r="KD255" s="1"/>
      <c r="KE255" s="1"/>
      <c r="KF255" s="1"/>
      <c r="KG255" s="1"/>
      <c r="KH255" s="1"/>
      <c r="KI255" s="1"/>
      <c r="KJ255" s="1"/>
      <c r="KK255" s="1"/>
      <c r="KL255" s="1"/>
      <c r="KM255" s="1"/>
      <c r="KN255" s="1"/>
      <c r="KO255" s="1"/>
      <c r="KP255" s="1"/>
      <c r="KQ255" s="1"/>
      <c r="KR255" s="1"/>
      <c r="KS255" s="1"/>
      <c r="KT255" s="1"/>
      <c r="KU255" s="1"/>
      <c r="KV255" s="1"/>
      <c r="KW255" s="1"/>
      <c r="KX255" s="1"/>
      <c r="KY255" s="1"/>
      <c r="KZ255" s="1"/>
      <c r="LA255" s="1"/>
      <c r="LB255" s="1"/>
      <c r="LC255" s="1"/>
      <c r="LD255" s="1"/>
      <c r="LE255" s="1"/>
      <c r="LF255" s="1"/>
      <c r="LG255" s="1"/>
      <c r="LH255" s="1"/>
      <c r="LI255" s="1"/>
      <c r="LJ255" s="1"/>
      <c r="LK255" s="1"/>
      <c r="LL255" s="1"/>
      <c r="LM255" s="1"/>
      <c r="LN255" s="1"/>
      <c r="LO255" s="1"/>
      <c r="LP255" s="1"/>
    </row>
    <row r="256" spans="1:328" ht="1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2"/>
      <c r="BH256" s="2"/>
      <c r="BI256" s="2"/>
      <c r="BJ256" s="2"/>
      <c r="BK256" s="2"/>
      <c r="BL256" s="2"/>
      <c r="BM256" s="2"/>
      <c r="BN256" s="2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  <c r="IW256" s="1"/>
      <c r="IX256" s="1"/>
      <c r="IY256" s="1"/>
      <c r="IZ256" s="1"/>
      <c r="JA256" s="1"/>
      <c r="JB256" s="1"/>
      <c r="JC256" s="1"/>
      <c r="JD256" s="1"/>
      <c r="JE256" s="1"/>
      <c r="JF256" s="1"/>
      <c r="JG256" s="1"/>
      <c r="JH256" s="1"/>
      <c r="JI256" s="1"/>
      <c r="JJ256" s="1"/>
      <c r="JK256" s="1"/>
      <c r="JL256" s="1"/>
      <c r="JM256" s="1"/>
      <c r="JN256" s="1"/>
      <c r="JO256" s="1"/>
      <c r="JP256" s="1"/>
      <c r="JQ256" s="1"/>
      <c r="JR256" s="1"/>
      <c r="JS256" s="1"/>
      <c r="JT256" s="1"/>
      <c r="JU256" s="1"/>
      <c r="JV256" s="1"/>
      <c r="JW256" s="1"/>
      <c r="JX256" s="1"/>
      <c r="JY256" s="1"/>
      <c r="JZ256" s="1"/>
      <c r="KA256" s="1"/>
      <c r="KB256" s="1"/>
      <c r="KC256" s="1"/>
      <c r="KD256" s="1"/>
      <c r="KE256" s="1"/>
      <c r="KF256" s="1"/>
      <c r="KG256" s="1"/>
      <c r="KH256" s="1"/>
      <c r="KI256" s="1"/>
      <c r="KJ256" s="1"/>
      <c r="KK256" s="1"/>
      <c r="KL256" s="1"/>
      <c r="KM256" s="1"/>
      <c r="KN256" s="1"/>
      <c r="KO256" s="1"/>
      <c r="KP256" s="1"/>
      <c r="KQ256" s="1"/>
      <c r="KR256" s="1"/>
      <c r="KS256" s="1"/>
      <c r="KT256" s="1"/>
      <c r="KU256" s="1"/>
      <c r="KV256" s="1"/>
      <c r="KW256" s="1"/>
      <c r="KX256" s="1"/>
      <c r="KY256" s="1"/>
      <c r="KZ256" s="1"/>
      <c r="LA256" s="1"/>
      <c r="LB256" s="1"/>
      <c r="LC256" s="1"/>
      <c r="LD256" s="1"/>
      <c r="LE256" s="1"/>
      <c r="LF256" s="1"/>
      <c r="LG256" s="1"/>
      <c r="LH256" s="1"/>
      <c r="LI256" s="1"/>
      <c r="LJ256" s="1"/>
      <c r="LK256" s="1"/>
      <c r="LL256" s="1"/>
      <c r="LM256" s="1"/>
      <c r="LN256" s="1"/>
      <c r="LO256" s="1"/>
      <c r="LP256" s="1"/>
    </row>
    <row r="257" spans="1:328" ht="1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2"/>
      <c r="BH257" s="2"/>
      <c r="BI257" s="2"/>
      <c r="BJ257" s="2"/>
      <c r="BK257" s="2"/>
      <c r="BL257" s="2"/>
      <c r="BM257" s="2"/>
      <c r="BN257" s="2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  <c r="IW257" s="1"/>
      <c r="IX257" s="1"/>
      <c r="IY257" s="1"/>
      <c r="IZ257" s="1"/>
      <c r="JA257" s="1"/>
      <c r="JB257" s="1"/>
      <c r="JC257" s="1"/>
      <c r="JD257" s="1"/>
      <c r="JE257" s="1"/>
      <c r="JF257" s="1"/>
      <c r="JG257" s="1"/>
      <c r="JH257" s="1"/>
      <c r="JI257" s="1"/>
      <c r="JJ257" s="1"/>
      <c r="JK257" s="1"/>
      <c r="JL257" s="1"/>
      <c r="JM257" s="1"/>
      <c r="JN257" s="1"/>
      <c r="JO257" s="1"/>
      <c r="JP257" s="1"/>
      <c r="JQ257" s="1"/>
      <c r="JR257" s="1"/>
      <c r="JS257" s="1"/>
      <c r="JT257" s="1"/>
      <c r="JU257" s="1"/>
      <c r="JV257" s="1"/>
      <c r="JW257" s="1"/>
      <c r="JX257" s="1"/>
      <c r="JY257" s="1"/>
      <c r="JZ257" s="1"/>
      <c r="KA257" s="1"/>
      <c r="KB257" s="1"/>
      <c r="KC257" s="1"/>
      <c r="KD257" s="1"/>
      <c r="KE257" s="1"/>
      <c r="KF257" s="1"/>
      <c r="KG257" s="1"/>
      <c r="KH257" s="1"/>
      <c r="KI257" s="1"/>
      <c r="KJ257" s="1"/>
      <c r="KK257" s="1"/>
      <c r="KL257" s="1"/>
      <c r="KM257" s="1"/>
      <c r="KN257" s="1"/>
      <c r="KO257" s="1"/>
      <c r="KP257" s="1"/>
      <c r="KQ257" s="1"/>
      <c r="KR257" s="1"/>
      <c r="KS257" s="1"/>
      <c r="KT257" s="1"/>
      <c r="KU257" s="1"/>
      <c r="KV257" s="1"/>
      <c r="KW257" s="1"/>
      <c r="KX257" s="1"/>
      <c r="KY257" s="1"/>
      <c r="KZ257" s="1"/>
      <c r="LA257" s="1"/>
      <c r="LB257" s="1"/>
      <c r="LC257" s="1"/>
      <c r="LD257" s="1"/>
      <c r="LE257" s="1"/>
      <c r="LF257" s="1"/>
      <c r="LG257" s="1"/>
      <c r="LH257" s="1"/>
      <c r="LI257" s="1"/>
      <c r="LJ257" s="1"/>
      <c r="LK257" s="1"/>
      <c r="LL257" s="1"/>
      <c r="LM257" s="1"/>
      <c r="LN257" s="1"/>
      <c r="LO257" s="1"/>
      <c r="LP257" s="1"/>
    </row>
    <row r="258" spans="1:328" ht="1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2"/>
      <c r="BH258" s="2"/>
      <c r="BI258" s="2"/>
      <c r="BJ258" s="2"/>
      <c r="BK258" s="2"/>
      <c r="BL258" s="2"/>
      <c r="BM258" s="2"/>
      <c r="BN258" s="2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  <c r="IW258" s="1"/>
      <c r="IX258" s="1"/>
      <c r="IY258" s="1"/>
      <c r="IZ258" s="1"/>
      <c r="JA258" s="1"/>
      <c r="JB258" s="1"/>
      <c r="JC258" s="1"/>
      <c r="JD258" s="1"/>
      <c r="JE258" s="1"/>
      <c r="JF258" s="1"/>
      <c r="JG258" s="1"/>
      <c r="JH258" s="1"/>
      <c r="JI258" s="1"/>
      <c r="JJ258" s="1"/>
      <c r="JK258" s="1"/>
      <c r="JL258" s="1"/>
      <c r="JM258" s="1"/>
      <c r="JN258" s="1"/>
      <c r="JO258" s="1"/>
      <c r="JP258" s="1"/>
      <c r="JQ258" s="1"/>
      <c r="JR258" s="1"/>
      <c r="JS258" s="1"/>
      <c r="JT258" s="1"/>
      <c r="JU258" s="1"/>
      <c r="JV258" s="1"/>
      <c r="JW258" s="1"/>
      <c r="JX258" s="1"/>
      <c r="JY258" s="1"/>
      <c r="JZ258" s="1"/>
      <c r="KA258" s="1"/>
      <c r="KB258" s="1"/>
      <c r="KC258" s="1"/>
      <c r="KD258" s="1"/>
      <c r="KE258" s="1"/>
      <c r="KF258" s="1"/>
      <c r="KG258" s="1"/>
      <c r="KH258" s="1"/>
      <c r="KI258" s="1"/>
      <c r="KJ258" s="1"/>
      <c r="KK258" s="1"/>
      <c r="KL258" s="1"/>
      <c r="KM258" s="1"/>
      <c r="KN258" s="1"/>
      <c r="KO258" s="1"/>
      <c r="KP258" s="1"/>
      <c r="KQ258" s="1"/>
      <c r="KR258" s="1"/>
      <c r="KS258" s="1"/>
      <c r="KT258" s="1"/>
      <c r="KU258" s="1"/>
      <c r="KV258" s="1"/>
      <c r="KW258" s="1"/>
      <c r="KX258" s="1"/>
      <c r="KY258" s="1"/>
      <c r="KZ258" s="1"/>
      <c r="LA258" s="1"/>
      <c r="LB258" s="1"/>
      <c r="LC258" s="1"/>
      <c r="LD258" s="1"/>
      <c r="LE258" s="1"/>
      <c r="LF258" s="1"/>
      <c r="LG258" s="1"/>
      <c r="LH258" s="1"/>
      <c r="LI258" s="1"/>
      <c r="LJ258" s="1"/>
      <c r="LK258" s="1"/>
      <c r="LL258" s="1"/>
      <c r="LM258" s="1"/>
      <c r="LN258" s="1"/>
      <c r="LO258" s="1"/>
      <c r="LP258" s="1"/>
    </row>
    <row r="259" spans="1:328" ht="1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2"/>
      <c r="BH259" s="2"/>
      <c r="BI259" s="2"/>
      <c r="BJ259" s="2"/>
      <c r="BK259" s="2"/>
      <c r="BL259" s="2"/>
      <c r="BM259" s="2"/>
      <c r="BN259" s="2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  <c r="IW259" s="1"/>
      <c r="IX259" s="1"/>
      <c r="IY259" s="1"/>
      <c r="IZ259" s="1"/>
      <c r="JA259" s="1"/>
      <c r="JB259" s="1"/>
      <c r="JC259" s="1"/>
      <c r="JD259" s="1"/>
      <c r="JE259" s="1"/>
      <c r="JF259" s="1"/>
      <c r="JG259" s="1"/>
      <c r="JH259" s="1"/>
      <c r="JI259" s="1"/>
      <c r="JJ259" s="1"/>
      <c r="JK259" s="1"/>
      <c r="JL259" s="1"/>
      <c r="JM259" s="1"/>
      <c r="JN259" s="1"/>
      <c r="JO259" s="1"/>
      <c r="JP259" s="1"/>
      <c r="JQ259" s="1"/>
      <c r="JR259" s="1"/>
      <c r="JS259" s="1"/>
      <c r="JT259" s="1"/>
      <c r="JU259" s="1"/>
      <c r="JV259" s="1"/>
      <c r="JW259" s="1"/>
      <c r="JX259" s="1"/>
      <c r="JY259" s="1"/>
      <c r="JZ259" s="1"/>
      <c r="KA259" s="1"/>
      <c r="KB259" s="1"/>
      <c r="KC259" s="1"/>
      <c r="KD259" s="1"/>
      <c r="KE259" s="1"/>
      <c r="KF259" s="1"/>
      <c r="KG259" s="1"/>
      <c r="KH259" s="1"/>
      <c r="KI259" s="1"/>
      <c r="KJ259" s="1"/>
      <c r="KK259" s="1"/>
      <c r="KL259" s="1"/>
      <c r="KM259" s="1"/>
      <c r="KN259" s="1"/>
      <c r="KO259" s="1"/>
      <c r="KP259" s="1"/>
      <c r="KQ259" s="1"/>
      <c r="KR259" s="1"/>
      <c r="KS259" s="1"/>
      <c r="KT259" s="1"/>
      <c r="KU259" s="1"/>
      <c r="KV259" s="1"/>
      <c r="KW259" s="1"/>
      <c r="KX259" s="1"/>
      <c r="KY259" s="1"/>
      <c r="KZ259" s="1"/>
      <c r="LA259" s="1"/>
      <c r="LB259" s="1"/>
      <c r="LC259" s="1"/>
      <c r="LD259" s="1"/>
      <c r="LE259" s="1"/>
      <c r="LF259" s="1"/>
      <c r="LG259" s="1"/>
      <c r="LH259" s="1"/>
      <c r="LI259" s="1"/>
      <c r="LJ259" s="1"/>
      <c r="LK259" s="1"/>
      <c r="LL259" s="1"/>
      <c r="LM259" s="1"/>
      <c r="LN259" s="1"/>
      <c r="LO259" s="1"/>
      <c r="LP259" s="1"/>
    </row>
    <row r="260" spans="1:328" ht="1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2"/>
      <c r="BH260" s="2"/>
      <c r="BI260" s="2"/>
      <c r="BJ260" s="2"/>
      <c r="BK260" s="2"/>
      <c r="BL260" s="2"/>
      <c r="BM260" s="2"/>
      <c r="BN260" s="2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  <c r="IW260" s="1"/>
      <c r="IX260" s="1"/>
      <c r="IY260" s="1"/>
      <c r="IZ260" s="1"/>
      <c r="JA260" s="1"/>
      <c r="JB260" s="1"/>
      <c r="JC260" s="1"/>
      <c r="JD260" s="1"/>
      <c r="JE260" s="1"/>
      <c r="JF260" s="1"/>
      <c r="JG260" s="1"/>
      <c r="JH260" s="1"/>
      <c r="JI260" s="1"/>
      <c r="JJ260" s="1"/>
      <c r="JK260" s="1"/>
      <c r="JL260" s="1"/>
      <c r="JM260" s="1"/>
      <c r="JN260" s="1"/>
      <c r="JO260" s="1"/>
      <c r="JP260" s="1"/>
      <c r="JQ260" s="1"/>
      <c r="JR260" s="1"/>
      <c r="JS260" s="1"/>
      <c r="JT260" s="1"/>
      <c r="JU260" s="1"/>
      <c r="JV260" s="1"/>
      <c r="JW260" s="1"/>
      <c r="JX260" s="1"/>
      <c r="JY260" s="1"/>
      <c r="JZ260" s="1"/>
      <c r="KA260" s="1"/>
      <c r="KB260" s="1"/>
      <c r="KC260" s="1"/>
      <c r="KD260" s="1"/>
      <c r="KE260" s="1"/>
      <c r="KF260" s="1"/>
      <c r="KG260" s="1"/>
      <c r="KH260" s="1"/>
      <c r="KI260" s="1"/>
      <c r="KJ260" s="1"/>
      <c r="KK260" s="1"/>
      <c r="KL260" s="1"/>
      <c r="KM260" s="1"/>
      <c r="KN260" s="1"/>
      <c r="KO260" s="1"/>
      <c r="KP260" s="1"/>
      <c r="KQ260" s="1"/>
      <c r="KR260" s="1"/>
      <c r="KS260" s="1"/>
      <c r="KT260" s="1"/>
      <c r="KU260" s="1"/>
      <c r="KV260" s="1"/>
      <c r="KW260" s="1"/>
      <c r="KX260" s="1"/>
      <c r="KY260" s="1"/>
      <c r="KZ260" s="1"/>
      <c r="LA260" s="1"/>
      <c r="LB260" s="1"/>
      <c r="LC260" s="1"/>
      <c r="LD260" s="1"/>
      <c r="LE260" s="1"/>
      <c r="LF260" s="1"/>
      <c r="LG260" s="1"/>
      <c r="LH260" s="1"/>
      <c r="LI260" s="1"/>
      <c r="LJ260" s="1"/>
      <c r="LK260" s="1"/>
      <c r="LL260" s="1"/>
      <c r="LM260" s="1"/>
      <c r="LN260" s="1"/>
      <c r="LO260" s="1"/>
      <c r="LP260" s="1"/>
    </row>
    <row r="261" spans="1:328" ht="1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2"/>
      <c r="BH261" s="2"/>
      <c r="BI261" s="2"/>
      <c r="BJ261" s="2"/>
      <c r="BK261" s="2"/>
      <c r="BL261" s="2"/>
      <c r="BM261" s="2"/>
      <c r="BN261" s="2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  <c r="IW261" s="1"/>
      <c r="IX261" s="1"/>
      <c r="IY261" s="1"/>
      <c r="IZ261" s="1"/>
      <c r="JA261" s="1"/>
      <c r="JB261" s="1"/>
      <c r="JC261" s="1"/>
      <c r="JD261" s="1"/>
      <c r="JE261" s="1"/>
      <c r="JF261" s="1"/>
      <c r="JG261" s="1"/>
      <c r="JH261" s="1"/>
      <c r="JI261" s="1"/>
      <c r="JJ261" s="1"/>
      <c r="JK261" s="1"/>
      <c r="JL261" s="1"/>
      <c r="JM261" s="1"/>
      <c r="JN261" s="1"/>
      <c r="JO261" s="1"/>
      <c r="JP261" s="1"/>
      <c r="JQ261" s="1"/>
      <c r="JR261" s="1"/>
      <c r="JS261" s="1"/>
      <c r="JT261" s="1"/>
      <c r="JU261" s="1"/>
      <c r="JV261" s="1"/>
      <c r="JW261" s="1"/>
      <c r="JX261" s="1"/>
      <c r="JY261" s="1"/>
      <c r="JZ261" s="1"/>
      <c r="KA261" s="1"/>
      <c r="KB261" s="1"/>
      <c r="KC261" s="1"/>
      <c r="KD261" s="1"/>
      <c r="KE261" s="1"/>
      <c r="KF261" s="1"/>
      <c r="KG261" s="1"/>
      <c r="KH261" s="1"/>
      <c r="KI261" s="1"/>
      <c r="KJ261" s="1"/>
      <c r="KK261" s="1"/>
      <c r="KL261" s="1"/>
      <c r="KM261" s="1"/>
      <c r="KN261" s="1"/>
      <c r="KO261" s="1"/>
      <c r="KP261" s="1"/>
      <c r="KQ261" s="1"/>
      <c r="KR261" s="1"/>
      <c r="KS261" s="1"/>
      <c r="KT261" s="1"/>
      <c r="KU261" s="1"/>
      <c r="KV261" s="1"/>
      <c r="KW261" s="1"/>
      <c r="KX261" s="1"/>
      <c r="KY261" s="1"/>
      <c r="KZ261" s="1"/>
      <c r="LA261" s="1"/>
      <c r="LB261" s="1"/>
      <c r="LC261" s="1"/>
      <c r="LD261" s="1"/>
      <c r="LE261" s="1"/>
      <c r="LF261" s="1"/>
      <c r="LG261" s="1"/>
      <c r="LH261" s="1"/>
      <c r="LI261" s="1"/>
      <c r="LJ261" s="1"/>
      <c r="LK261" s="1"/>
      <c r="LL261" s="1"/>
      <c r="LM261" s="1"/>
      <c r="LN261" s="1"/>
      <c r="LO261" s="1"/>
      <c r="LP261" s="1"/>
    </row>
    <row r="262" spans="1:328" ht="1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2"/>
      <c r="BH262" s="2"/>
      <c r="BI262" s="2"/>
      <c r="BJ262" s="2"/>
      <c r="BK262" s="2"/>
      <c r="BL262" s="2"/>
      <c r="BM262" s="2"/>
      <c r="BN262" s="2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  <c r="IW262" s="1"/>
      <c r="IX262" s="1"/>
      <c r="IY262" s="1"/>
      <c r="IZ262" s="1"/>
      <c r="JA262" s="1"/>
      <c r="JB262" s="1"/>
      <c r="JC262" s="1"/>
      <c r="JD262" s="1"/>
      <c r="JE262" s="1"/>
      <c r="JF262" s="1"/>
      <c r="JG262" s="1"/>
      <c r="JH262" s="1"/>
      <c r="JI262" s="1"/>
      <c r="JJ262" s="1"/>
      <c r="JK262" s="1"/>
      <c r="JL262" s="1"/>
      <c r="JM262" s="1"/>
      <c r="JN262" s="1"/>
      <c r="JO262" s="1"/>
      <c r="JP262" s="1"/>
      <c r="JQ262" s="1"/>
      <c r="JR262" s="1"/>
      <c r="JS262" s="1"/>
      <c r="JT262" s="1"/>
      <c r="JU262" s="1"/>
      <c r="JV262" s="1"/>
      <c r="JW262" s="1"/>
      <c r="JX262" s="1"/>
      <c r="JY262" s="1"/>
      <c r="JZ262" s="1"/>
      <c r="KA262" s="1"/>
      <c r="KB262" s="1"/>
      <c r="KC262" s="1"/>
      <c r="KD262" s="1"/>
      <c r="KE262" s="1"/>
      <c r="KF262" s="1"/>
      <c r="KG262" s="1"/>
      <c r="KH262" s="1"/>
      <c r="KI262" s="1"/>
      <c r="KJ262" s="1"/>
      <c r="KK262" s="1"/>
      <c r="KL262" s="1"/>
      <c r="KM262" s="1"/>
      <c r="KN262" s="1"/>
      <c r="KO262" s="1"/>
      <c r="KP262" s="1"/>
      <c r="KQ262" s="1"/>
      <c r="KR262" s="1"/>
      <c r="KS262" s="1"/>
      <c r="KT262" s="1"/>
      <c r="KU262" s="1"/>
      <c r="KV262" s="1"/>
      <c r="KW262" s="1"/>
      <c r="KX262" s="1"/>
      <c r="KY262" s="1"/>
      <c r="KZ262" s="1"/>
      <c r="LA262" s="1"/>
      <c r="LB262" s="1"/>
      <c r="LC262" s="1"/>
      <c r="LD262" s="1"/>
      <c r="LE262" s="1"/>
      <c r="LF262" s="1"/>
      <c r="LG262" s="1"/>
      <c r="LH262" s="1"/>
      <c r="LI262" s="1"/>
      <c r="LJ262" s="1"/>
      <c r="LK262" s="1"/>
      <c r="LL262" s="1"/>
      <c r="LM262" s="1"/>
      <c r="LN262" s="1"/>
      <c r="LO262" s="1"/>
      <c r="LP262" s="1"/>
    </row>
    <row r="263" spans="1:328" ht="1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2"/>
      <c r="BH263" s="2"/>
      <c r="BI263" s="2"/>
      <c r="BJ263" s="2"/>
      <c r="BK263" s="2"/>
      <c r="BL263" s="2"/>
      <c r="BM263" s="2"/>
      <c r="BN263" s="2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  <c r="IW263" s="1"/>
      <c r="IX263" s="1"/>
      <c r="IY263" s="1"/>
      <c r="IZ263" s="1"/>
      <c r="JA263" s="1"/>
      <c r="JB263" s="1"/>
      <c r="JC263" s="1"/>
      <c r="JD263" s="1"/>
      <c r="JE263" s="1"/>
      <c r="JF263" s="1"/>
      <c r="JG263" s="1"/>
      <c r="JH263" s="1"/>
      <c r="JI263" s="1"/>
      <c r="JJ263" s="1"/>
      <c r="JK263" s="1"/>
      <c r="JL263" s="1"/>
      <c r="JM263" s="1"/>
      <c r="JN263" s="1"/>
      <c r="JO263" s="1"/>
      <c r="JP263" s="1"/>
      <c r="JQ263" s="1"/>
      <c r="JR263" s="1"/>
      <c r="JS263" s="1"/>
      <c r="JT263" s="1"/>
      <c r="JU263" s="1"/>
      <c r="JV263" s="1"/>
      <c r="JW263" s="1"/>
      <c r="JX263" s="1"/>
      <c r="JY263" s="1"/>
      <c r="JZ263" s="1"/>
      <c r="KA263" s="1"/>
      <c r="KB263" s="1"/>
      <c r="KC263" s="1"/>
      <c r="KD263" s="1"/>
      <c r="KE263" s="1"/>
      <c r="KF263" s="1"/>
      <c r="KG263" s="1"/>
      <c r="KH263" s="1"/>
      <c r="KI263" s="1"/>
      <c r="KJ263" s="1"/>
      <c r="KK263" s="1"/>
      <c r="KL263" s="1"/>
      <c r="KM263" s="1"/>
      <c r="KN263" s="1"/>
      <c r="KO263" s="1"/>
      <c r="KP263" s="1"/>
      <c r="KQ263" s="1"/>
      <c r="KR263" s="1"/>
      <c r="KS263" s="1"/>
      <c r="KT263" s="1"/>
      <c r="KU263" s="1"/>
      <c r="KV263" s="1"/>
      <c r="KW263" s="1"/>
      <c r="KX263" s="1"/>
      <c r="KY263" s="1"/>
      <c r="KZ263" s="1"/>
      <c r="LA263" s="1"/>
      <c r="LB263" s="1"/>
      <c r="LC263" s="1"/>
      <c r="LD263" s="1"/>
      <c r="LE263" s="1"/>
      <c r="LF263" s="1"/>
      <c r="LG263" s="1"/>
      <c r="LH263" s="1"/>
      <c r="LI263" s="1"/>
      <c r="LJ263" s="1"/>
      <c r="LK263" s="1"/>
      <c r="LL263" s="1"/>
      <c r="LM263" s="1"/>
      <c r="LN263" s="1"/>
      <c r="LO263" s="1"/>
      <c r="LP263" s="1"/>
    </row>
    <row r="264" spans="1:328" ht="1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2"/>
      <c r="BH264" s="2"/>
      <c r="BI264" s="2"/>
      <c r="BJ264" s="2"/>
      <c r="BK264" s="2"/>
      <c r="BL264" s="2"/>
      <c r="BM264" s="2"/>
      <c r="BN264" s="2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  <c r="IW264" s="1"/>
      <c r="IX264" s="1"/>
      <c r="IY264" s="1"/>
      <c r="IZ264" s="1"/>
      <c r="JA264" s="1"/>
      <c r="JB264" s="1"/>
      <c r="JC264" s="1"/>
      <c r="JD264" s="1"/>
      <c r="JE264" s="1"/>
      <c r="JF264" s="1"/>
      <c r="JG264" s="1"/>
      <c r="JH264" s="1"/>
      <c r="JI264" s="1"/>
      <c r="JJ264" s="1"/>
      <c r="JK264" s="1"/>
      <c r="JL264" s="1"/>
      <c r="JM264" s="1"/>
      <c r="JN264" s="1"/>
      <c r="JO264" s="1"/>
      <c r="JP264" s="1"/>
      <c r="JQ264" s="1"/>
      <c r="JR264" s="1"/>
      <c r="JS264" s="1"/>
      <c r="JT264" s="1"/>
      <c r="JU264" s="1"/>
      <c r="JV264" s="1"/>
      <c r="JW264" s="1"/>
      <c r="JX264" s="1"/>
      <c r="JY264" s="1"/>
      <c r="JZ264" s="1"/>
      <c r="KA264" s="1"/>
      <c r="KB264" s="1"/>
      <c r="KC264" s="1"/>
      <c r="KD264" s="1"/>
      <c r="KE264" s="1"/>
      <c r="KF264" s="1"/>
      <c r="KG264" s="1"/>
      <c r="KH264" s="1"/>
      <c r="KI264" s="1"/>
      <c r="KJ264" s="1"/>
      <c r="KK264" s="1"/>
      <c r="KL264" s="1"/>
      <c r="KM264" s="1"/>
      <c r="KN264" s="1"/>
      <c r="KO264" s="1"/>
      <c r="KP264" s="1"/>
      <c r="KQ264" s="1"/>
      <c r="KR264" s="1"/>
      <c r="KS264" s="1"/>
      <c r="KT264" s="1"/>
      <c r="KU264" s="1"/>
      <c r="KV264" s="1"/>
      <c r="KW264" s="1"/>
      <c r="KX264" s="1"/>
      <c r="KY264" s="1"/>
      <c r="KZ264" s="1"/>
      <c r="LA264" s="1"/>
      <c r="LB264" s="1"/>
      <c r="LC264" s="1"/>
      <c r="LD264" s="1"/>
      <c r="LE264" s="1"/>
      <c r="LF264" s="1"/>
      <c r="LG264" s="1"/>
      <c r="LH264" s="1"/>
      <c r="LI264" s="1"/>
      <c r="LJ264" s="1"/>
      <c r="LK264" s="1"/>
      <c r="LL264" s="1"/>
      <c r="LM264" s="1"/>
      <c r="LN264" s="1"/>
      <c r="LO264" s="1"/>
      <c r="LP264" s="1"/>
    </row>
    <row r="265" spans="1:328" ht="1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2"/>
      <c r="BH265" s="2"/>
      <c r="BI265" s="2"/>
      <c r="BJ265" s="2"/>
      <c r="BK265" s="2"/>
      <c r="BL265" s="2"/>
      <c r="BM265" s="2"/>
      <c r="BN265" s="2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  <c r="IW265" s="1"/>
      <c r="IX265" s="1"/>
      <c r="IY265" s="1"/>
      <c r="IZ265" s="1"/>
      <c r="JA265" s="1"/>
      <c r="JB265" s="1"/>
      <c r="JC265" s="1"/>
      <c r="JD265" s="1"/>
      <c r="JE265" s="1"/>
      <c r="JF265" s="1"/>
      <c r="JG265" s="1"/>
      <c r="JH265" s="1"/>
      <c r="JI265" s="1"/>
      <c r="JJ265" s="1"/>
      <c r="JK265" s="1"/>
      <c r="JL265" s="1"/>
      <c r="JM265" s="1"/>
      <c r="JN265" s="1"/>
      <c r="JO265" s="1"/>
      <c r="JP265" s="1"/>
      <c r="JQ265" s="1"/>
      <c r="JR265" s="1"/>
      <c r="JS265" s="1"/>
      <c r="JT265" s="1"/>
      <c r="JU265" s="1"/>
      <c r="JV265" s="1"/>
      <c r="JW265" s="1"/>
      <c r="JX265" s="1"/>
      <c r="JY265" s="1"/>
      <c r="JZ265" s="1"/>
      <c r="KA265" s="1"/>
      <c r="KB265" s="1"/>
      <c r="KC265" s="1"/>
      <c r="KD265" s="1"/>
      <c r="KE265" s="1"/>
      <c r="KF265" s="1"/>
      <c r="KG265" s="1"/>
      <c r="KH265" s="1"/>
      <c r="KI265" s="1"/>
      <c r="KJ265" s="1"/>
      <c r="KK265" s="1"/>
      <c r="KL265" s="1"/>
      <c r="KM265" s="1"/>
      <c r="KN265" s="1"/>
      <c r="KO265" s="1"/>
      <c r="KP265" s="1"/>
      <c r="KQ265" s="1"/>
      <c r="KR265" s="1"/>
      <c r="KS265" s="1"/>
      <c r="KT265" s="1"/>
      <c r="KU265" s="1"/>
      <c r="KV265" s="1"/>
      <c r="KW265" s="1"/>
      <c r="KX265" s="1"/>
      <c r="KY265" s="1"/>
      <c r="KZ265" s="1"/>
      <c r="LA265" s="1"/>
      <c r="LB265" s="1"/>
      <c r="LC265" s="1"/>
      <c r="LD265" s="1"/>
      <c r="LE265" s="1"/>
      <c r="LF265" s="1"/>
      <c r="LG265" s="1"/>
      <c r="LH265" s="1"/>
      <c r="LI265" s="1"/>
      <c r="LJ265" s="1"/>
      <c r="LK265" s="1"/>
      <c r="LL265" s="1"/>
      <c r="LM265" s="1"/>
      <c r="LN265" s="1"/>
      <c r="LO265" s="1"/>
      <c r="LP265" s="1"/>
    </row>
    <row r="266" spans="1:328" ht="1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2"/>
      <c r="BH266" s="2"/>
      <c r="BI266" s="2"/>
      <c r="BJ266" s="2"/>
      <c r="BK266" s="2"/>
      <c r="BL266" s="2"/>
      <c r="BM266" s="2"/>
      <c r="BN266" s="2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  <c r="IW266" s="1"/>
      <c r="IX266" s="1"/>
      <c r="IY266" s="1"/>
      <c r="IZ266" s="1"/>
      <c r="JA266" s="1"/>
      <c r="JB266" s="1"/>
      <c r="JC266" s="1"/>
      <c r="JD266" s="1"/>
      <c r="JE266" s="1"/>
      <c r="JF266" s="1"/>
      <c r="JG266" s="1"/>
      <c r="JH266" s="1"/>
      <c r="JI266" s="1"/>
      <c r="JJ266" s="1"/>
      <c r="JK266" s="1"/>
      <c r="JL266" s="1"/>
      <c r="JM266" s="1"/>
      <c r="JN266" s="1"/>
      <c r="JO266" s="1"/>
      <c r="JP266" s="1"/>
      <c r="JQ266" s="1"/>
      <c r="JR266" s="1"/>
      <c r="JS266" s="1"/>
      <c r="JT266" s="1"/>
      <c r="JU266" s="1"/>
      <c r="JV266" s="1"/>
      <c r="JW266" s="1"/>
      <c r="JX266" s="1"/>
      <c r="JY266" s="1"/>
      <c r="JZ266" s="1"/>
      <c r="KA266" s="1"/>
      <c r="KB266" s="1"/>
      <c r="KC266" s="1"/>
      <c r="KD266" s="1"/>
      <c r="KE266" s="1"/>
      <c r="KF266" s="1"/>
      <c r="KG266" s="1"/>
      <c r="KH266" s="1"/>
      <c r="KI266" s="1"/>
      <c r="KJ266" s="1"/>
      <c r="KK266" s="1"/>
      <c r="KL266" s="1"/>
      <c r="KM266" s="1"/>
      <c r="KN266" s="1"/>
      <c r="KO266" s="1"/>
      <c r="KP266" s="1"/>
      <c r="KQ266" s="1"/>
      <c r="KR266" s="1"/>
      <c r="KS266" s="1"/>
      <c r="KT266" s="1"/>
      <c r="KU266" s="1"/>
      <c r="KV266" s="1"/>
      <c r="KW266" s="1"/>
      <c r="KX266" s="1"/>
      <c r="KY266" s="1"/>
      <c r="KZ266" s="1"/>
      <c r="LA266" s="1"/>
      <c r="LB266" s="1"/>
      <c r="LC266" s="1"/>
      <c r="LD266" s="1"/>
      <c r="LE266" s="1"/>
      <c r="LF266" s="1"/>
      <c r="LG266" s="1"/>
      <c r="LH266" s="1"/>
      <c r="LI266" s="1"/>
      <c r="LJ266" s="1"/>
      <c r="LK266" s="1"/>
      <c r="LL266" s="1"/>
      <c r="LM266" s="1"/>
      <c r="LN266" s="1"/>
      <c r="LO266" s="1"/>
      <c r="LP266" s="1"/>
    </row>
    <row r="267" spans="1:328" ht="1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2"/>
      <c r="BH267" s="2"/>
      <c r="BI267" s="2"/>
      <c r="BJ267" s="2"/>
      <c r="BK267" s="2"/>
      <c r="BL267" s="2"/>
      <c r="BM267" s="2"/>
      <c r="BN267" s="2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  <c r="IW267" s="1"/>
      <c r="IX267" s="1"/>
      <c r="IY267" s="1"/>
      <c r="IZ267" s="1"/>
      <c r="JA267" s="1"/>
      <c r="JB267" s="1"/>
      <c r="JC267" s="1"/>
      <c r="JD267" s="1"/>
      <c r="JE267" s="1"/>
      <c r="JF267" s="1"/>
      <c r="JG267" s="1"/>
      <c r="JH267" s="1"/>
      <c r="JI267" s="1"/>
      <c r="JJ267" s="1"/>
      <c r="JK267" s="1"/>
      <c r="JL267" s="1"/>
      <c r="JM267" s="1"/>
      <c r="JN267" s="1"/>
      <c r="JO267" s="1"/>
      <c r="JP267" s="1"/>
      <c r="JQ267" s="1"/>
      <c r="JR267" s="1"/>
      <c r="JS267" s="1"/>
      <c r="JT267" s="1"/>
      <c r="JU267" s="1"/>
      <c r="JV267" s="1"/>
      <c r="JW267" s="1"/>
      <c r="JX267" s="1"/>
      <c r="JY267" s="1"/>
      <c r="JZ267" s="1"/>
      <c r="KA267" s="1"/>
      <c r="KB267" s="1"/>
      <c r="KC267" s="1"/>
      <c r="KD267" s="1"/>
      <c r="KE267" s="1"/>
      <c r="KF267" s="1"/>
      <c r="KG267" s="1"/>
      <c r="KH267" s="1"/>
      <c r="KI267" s="1"/>
      <c r="KJ267" s="1"/>
      <c r="KK267" s="1"/>
      <c r="KL267" s="1"/>
      <c r="KM267" s="1"/>
      <c r="KN267" s="1"/>
      <c r="KO267" s="1"/>
      <c r="KP267" s="1"/>
      <c r="KQ267" s="1"/>
      <c r="KR267" s="1"/>
      <c r="KS267" s="1"/>
      <c r="KT267" s="1"/>
      <c r="KU267" s="1"/>
      <c r="KV267" s="1"/>
      <c r="KW267" s="1"/>
      <c r="KX267" s="1"/>
      <c r="KY267" s="1"/>
      <c r="KZ267" s="1"/>
      <c r="LA267" s="1"/>
      <c r="LB267" s="1"/>
      <c r="LC267" s="1"/>
      <c r="LD267" s="1"/>
      <c r="LE267" s="1"/>
      <c r="LF267" s="1"/>
      <c r="LG267" s="1"/>
      <c r="LH267" s="1"/>
      <c r="LI267" s="1"/>
      <c r="LJ267" s="1"/>
      <c r="LK267" s="1"/>
      <c r="LL267" s="1"/>
      <c r="LM267" s="1"/>
      <c r="LN267" s="1"/>
      <c r="LO267" s="1"/>
      <c r="LP267" s="1"/>
    </row>
    <row r="268" spans="1:328" ht="1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2"/>
      <c r="BH268" s="2"/>
      <c r="BI268" s="2"/>
      <c r="BJ268" s="2"/>
      <c r="BK268" s="2"/>
      <c r="BL268" s="2"/>
      <c r="BM268" s="2"/>
      <c r="BN268" s="2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  <c r="IW268" s="1"/>
      <c r="IX268" s="1"/>
      <c r="IY268" s="1"/>
      <c r="IZ268" s="1"/>
      <c r="JA268" s="1"/>
      <c r="JB268" s="1"/>
      <c r="JC268" s="1"/>
      <c r="JD268" s="1"/>
      <c r="JE268" s="1"/>
      <c r="JF268" s="1"/>
      <c r="JG268" s="1"/>
      <c r="JH268" s="1"/>
      <c r="JI268" s="1"/>
      <c r="JJ268" s="1"/>
      <c r="JK268" s="1"/>
      <c r="JL268" s="1"/>
      <c r="JM268" s="1"/>
      <c r="JN268" s="1"/>
      <c r="JO268" s="1"/>
      <c r="JP268" s="1"/>
      <c r="JQ268" s="1"/>
      <c r="JR268" s="1"/>
      <c r="JS268" s="1"/>
      <c r="JT268" s="1"/>
      <c r="JU268" s="1"/>
      <c r="JV268" s="1"/>
      <c r="JW268" s="1"/>
      <c r="JX268" s="1"/>
      <c r="JY268" s="1"/>
      <c r="JZ268" s="1"/>
      <c r="KA268" s="1"/>
      <c r="KB268" s="1"/>
      <c r="KC268" s="1"/>
      <c r="KD268" s="1"/>
      <c r="KE268" s="1"/>
      <c r="KF268" s="1"/>
      <c r="KG268" s="1"/>
      <c r="KH268" s="1"/>
      <c r="KI268" s="1"/>
      <c r="KJ268" s="1"/>
      <c r="KK268" s="1"/>
      <c r="KL268" s="1"/>
      <c r="KM268" s="1"/>
      <c r="KN268" s="1"/>
      <c r="KO268" s="1"/>
      <c r="KP268" s="1"/>
      <c r="KQ268" s="1"/>
      <c r="KR268" s="1"/>
      <c r="KS268" s="1"/>
      <c r="KT268" s="1"/>
      <c r="KU268" s="1"/>
      <c r="KV268" s="1"/>
      <c r="KW268" s="1"/>
      <c r="KX268" s="1"/>
      <c r="KY268" s="1"/>
      <c r="KZ268" s="1"/>
      <c r="LA268" s="1"/>
      <c r="LB268" s="1"/>
      <c r="LC268" s="1"/>
      <c r="LD268" s="1"/>
      <c r="LE268" s="1"/>
      <c r="LF268" s="1"/>
      <c r="LG268" s="1"/>
      <c r="LH268" s="1"/>
      <c r="LI268" s="1"/>
      <c r="LJ268" s="1"/>
      <c r="LK268" s="1"/>
      <c r="LL268" s="1"/>
      <c r="LM268" s="1"/>
      <c r="LN268" s="1"/>
      <c r="LO268" s="1"/>
      <c r="LP268" s="1"/>
    </row>
  </sheetData>
  <sheetProtection password="EA2F" sheet="1" objects="1" scenarios="1" selectLockedCells="1"/>
  <mergeCells count="794">
    <mergeCell ref="BD12:BG14"/>
    <mergeCell ref="BH12:BM14"/>
    <mergeCell ref="BB22:BP22"/>
    <mergeCell ref="BB23:BP29"/>
    <mergeCell ref="A172:AR175"/>
    <mergeCell ref="A176:AR179"/>
    <mergeCell ref="A180:AR183"/>
    <mergeCell ref="A184:AR187"/>
    <mergeCell ref="A188:AR191"/>
    <mergeCell ref="AP127:AR127"/>
    <mergeCell ref="V128:AA128"/>
    <mergeCell ref="AB128:AC128"/>
    <mergeCell ref="AD128:AF128"/>
    <mergeCell ref="AH128:AM128"/>
    <mergeCell ref="AN128:AO128"/>
    <mergeCell ref="AP128:AR128"/>
    <mergeCell ref="V127:AA127"/>
    <mergeCell ref="AB127:AC127"/>
    <mergeCell ref="AD127:AF127"/>
    <mergeCell ref="AH127:AM127"/>
    <mergeCell ref="AN127:AO127"/>
    <mergeCell ref="AN136:AR136"/>
    <mergeCell ref="AJ137:AM137"/>
    <mergeCell ref="AN137:AR137"/>
    <mergeCell ref="A192:AR195"/>
    <mergeCell ref="BB6:BP8"/>
    <mergeCell ref="A164:AR167"/>
    <mergeCell ref="A168:AR171"/>
    <mergeCell ref="A139:AR139"/>
    <mergeCell ref="V129:AA129"/>
    <mergeCell ref="AB129:AC129"/>
    <mergeCell ref="AD129:AF129"/>
    <mergeCell ref="AH129:AM129"/>
    <mergeCell ref="AN129:AO129"/>
    <mergeCell ref="AP129:AR129"/>
    <mergeCell ref="AG134:AI135"/>
    <mergeCell ref="A140:AR143"/>
    <mergeCell ref="A144:AR147"/>
    <mergeCell ref="A148:AR151"/>
    <mergeCell ref="A152:AR155"/>
    <mergeCell ref="A156:AR159"/>
    <mergeCell ref="A160:AR163"/>
    <mergeCell ref="AP126:AR126"/>
    <mergeCell ref="AN126:AO126"/>
    <mergeCell ref="AH126:AM126"/>
    <mergeCell ref="AD126:AF126"/>
    <mergeCell ref="AB126:AC126"/>
    <mergeCell ref="V126:AA126"/>
    <mergeCell ref="AB124:AC124"/>
    <mergeCell ref="V124:AA124"/>
    <mergeCell ref="AP120:AR120"/>
    <mergeCell ref="AN120:AO120"/>
    <mergeCell ref="AH120:AM120"/>
    <mergeCell ref="AD120:AF120"/>
    <mergeCell ref="AB120:AC120"/>
    <mergeCell ref="V120:AA120"/>
    <mergeCell ref="AP125:AR125"/>
    <mergeCell ref="AN125:AO125"/>
    <mergeCell ref="AH125:AM125"/>
    <mergeCell ref="AD125:AF125"/>
    <mergeCell ref="AB125:AC125"/>
    <mergeCell ref="V125:AA125"/>
    <mergeCell ref="AH122:AM122"/>
    <mergeCell ref="AD122:AF122"/>
    <mergeCell ref="AB121:AC121"/>
    <mergeCell ref="V121:AA121"/>
    <mergeCell ref="AB123:AC123"/>
    <mergeCell ref="V123:AA123"/>
    <mergeCell ref="AB122:AC122"/>
    <mergeCell ref="V122:AA122"/>
    <mergeCell ref="AP124:AR124"/>
    <mergeCell ref="AN124:AO124"/>
    <mergeCell ref="AH124:AM124"/>
    <mergeCell ref="AD124:AF124"/>
    <mergeCell ref="AP121:AR121"/>
    <mergeCell ref="AN121:AO121"/>
    <mergeCell ref="AH121:AM121"/>
    <mergeCell ref="AD121:AF121"/>
    <mergeCell ref="AP123:AR123"/>
    <mergeCell ref="AN123:AO123"/>
    <mergeCell ref="AH123:AM123"/>
    <mergeCell ref="AD123:AF123"/>
    <mergeCell ref="AN115:AO115"/>
    <mergeCell ref="AH115:AM115"/>
    <mergeCell ref="A116:T117"/>
    <mergeCell ref="A118:T119"/>
    <mergeCell ref="AP117:AR117"/>
    <mergeCell ref="AP118:AR118"/>
    <mergeCell ref="V117:AA117"/>
    <mergeCell ref="AB117:AC117"/>
    <mergeCell ref="AP122:AR122"/>
    <mergeCell ref="AN122:AO122"/>
    <mergeCell ref="V119:AA119"/>
    <mergeCell ref="AB116:AC116"/>
    <mergeCell ref="AD116:AF116"/>
    <mergeCell ref="V116:AA116"/>
    <mergeCell ref="AD117:AF117"/>
    <mergeCell ref="AH117:AM117"/>
    <mergeCell ref="AN117:AO117"/>
    <mergeCell ref="V118:AA118"/>
    <mergeCell ref="AB118:AC118"/>
    <mergeCell ref="AD118:AF118"/>
    <mergeCell ref="AH118:AM118"/>
    <mergeCell ref="AN118:AO118"/>
    <mergeCell ref="AY57:BB57"/>
    <mergeCell ref="AY58:BB58"/>
    <mergeCell ref="AY59:BB59"/>
    <mergeCell ref="AY60:BB60"/>
    <mergeCell ref="AY61:BB61"/>
    <mergeCell ref="AY62:BB62"/>
    <mergeCell ref="AN107:AO107"/>
    <mergeCell ref="AP107:AR107"/>
    <mergeCell ref="AH108:AM108"/>
    <mergeCell ref="AN108:AO108"/>
    <mergeCell ref="AP108:AR108"/>
    <mergeCell ref="AN104:AO104"/>
    <mergeCell ref="AP104:AR104"/>
    <mergeCell ref="AA77:AR77"/>
    <mergeCell ref="AB102:AC102"/>
    <mergeCell ref="AD102:AF102"/>
    <mergeCell ref="AH102:AM102"/>
    <mergeCell ref="AN102:AO102"/>
    <mergeCell ref="AH104:AM104"/>
    <mergeCell ref="AH107:AM107"/>
    <mergeCell ref="AH106:AM106"/>
    <mergeCell ref="V108:AA108"/>
    <mergeCell ref="AB108:AC108"/>
    <mergeCell ref="AC63:AF63"/>
    <mergeCell ref="AJ135:AM135"/>
    <mergeCell ref="AN135:AR135"/>
    <mergeCell ref="U134:W135"/>
    <mergeCell ref="AN131:AR131"/>
    <mergeCell ref="AN132:AR132"/>
    <mergeCell ref="AJ133:AM133"/>
    <mergeCell ref="AN133:AR133"/>
    <mergeCell ref="U136:W137"/>
    <mergeCell ref="X136:Z137"/>
    <mergeCell ref="X134:Z135"/>
    <mergeCell ref="AA134:AC135"/>
    <mergeCell ref="AD134:AF135"/>
    <mergeCell ref="AA136:AC137"/>
    <mergeCell ref="AD136:AF137"/>
    <mergeCell ref="AG136:AI137"/>
    <mergeCell ref="AJ136:AM136"/>
    <mergeCell ref="AJ134:AM134"/>
    <mergeCell ref="AN134:AR134"/>
    <mergeCell ref="B132:F133"/>
    <mergeCell ref="G132:H133"/>
    <mergeCell ref="N132:Q133"/>
    <mergeCell ref="R132:T133"/>
    <mergeCell ref="U132:W133"/>
    <mergeCell ref="X132:Z133"/>
    <mergeCell ref="AA132:AC133"/>
    <mergeCell ref="AD132:AF133"/>
    <mergeCell ref="AG132:AI133"/>
    <mergeCell ref="B134:F135"/>
    <mergeCell ref="X131:Z131"/>
    <mergeCell ref="AA131:AC131"/>
    <mergeCell ref="AD131:AF131"/>
    <mergeCell ref="AG131:AI131"/>
    <mergeCell ref="AJ131:AM131"/>
    <mergeCell ref="AJ132:AM132"/>
    <mergeCell ref="U131:W131"/>
    <mergeCell ref="A131:A137"/>
    <mergeCell ref="B131:F131"/>
    <mergeCell ref="G131:H131"/>
    <mergeCell ref="N131:Q131"/>
    <mergeCell ref="R131:T131"/>
    <mergeCell ref="I131:M131"/>
    <mergeCell ref="I132:M133"/>
    <mergeCell ref="I134:M135"/>
    <mergeCell ref="I136:M137"/>
    <mergeCell ref="B136:F137"/>
    <mergeCell ref="G136:H137"/>
    <mergeCell ref="N136:Q137"/>
    <mergeCell ref="R136:T137"/>
    <mergeCell ref="G134:H135"/>
    <mergeCell ref="N134:Q135"/>
    <mergeCell ref="R134:T135"/>
    <mergeCell ref="AA78:AR79"/>
    <mergeCell ref="AN54:AO54"/>
    <mergeCell ref="AP54:AR54"/>
    <mergeCell ref="AA58:AB58"/>
    <mergeCell ref="V99:AA99"/>
    <mergeCell ref="AA86:AR86"/>
    <mergeCell ref="S95:V95"/>
    <mergeCell ref="W95:Z95"/>
    <mergeCell ref="AA95:AR95"/>
    <mergeCell ref="AN99:AO99"/>
    <mergeCell ref="AP99:AR99"/>
    <mergeCell ref="P60:T60"/>
    <mergeCell ref="U60:W60"/>
    <mergeCell ref="P58:T58"/>
    <mergeCell ref="AP55:AR55"/>
    <mergeCell ref="AD55:AF55"/>
    <mergeCell ref="AB55:AC55"/>
    <mergeCell ref="V55:AA55"/>
    <mergeCell ref="P57:T57"/>
    <mergeCell ref="U61:W61"/>
    <mergeCell ref="U58:W58"/>
    <mergeCell ref="U57:W57"/>
    <mergeCell ref="AC57:AF57"/>
    <mergeCell ref="X58:Y58"/>
    <mergeCell ref="S87:V87"/>
    <mergeCell ref="W87:Z87"/>
    <mergeCell ref="AN106:AO106"/>
    <mergeCell ref="AP106:AR106"/>
    <mergeCell ref="U62:W62"/>
    <mergeCell ref="W93:Z93"/>
    <mergeCell ref="AP111:AR111"/>
    <mergeCell ref="V114:AA114"/>
    <mergeCell ref="AB114:AC114"/>
    <mergeCell ref="AH111:AM111"/>
    <mergeCell ref="AN111:AO111"/>
    <mergeCell ref="AH110:AM110"/>
    <mergeCell ref="AN110:AO110"/>
    <mergeCell ref="AP110:AR110"/>
    <mergeCell ref="AB113:AC113"/>
    <mergeCell ref="AP113:AR113"/>
    <mergeCell ref="AH114:AM114"/>
    <mergeCell ref="AN114:AO114"/>
    <mergeCell ref="AH112:AM112"/>
    <mergeCell ref="AN112:AO112"/>
    <mergeCell ref="AP114:AR114"/>
    <mergeCell ref="Q65:AR66"/>
    <mergeCell ref="V107:AA107"/>
    <mergeCell ref="A126:T127"/>
    <mergeCell ref="AP116:AR116"/>
    <mergeCell ref="A120:T121"/>
    <mergeCell ref="A122:T123"/>
    <mergeCell ref="A124:T125"/>
    <mergeCell ref="AP112:AR112"/>
    <mergeCell ref="AH116:AM116"/>
    <mergeCell ref="AN116:AO116"/>
    <mergeCell ref="AP115:AR115"/>
    <mergeCell ref="AH113:AM113"/>
    <mergeCell ref="AN113:AO113"/>
    <mergeCell ref="V115:AA115"/>
    <mergeCell ref="V112:AA112"/>
    <mergeCell ref="AB112:AC112"/>
    <mergeCell ref="AD112:AF112"/>
    <mergeCell ref="V113:AA113"/>
    <mergeCell ref="AD114:AF114"/>
    <mergeCell ref="AP119:AR119"/>
    <mergeCell ref="AN119:AO119"/>
    <mergeCell ref="AH119:AM119"/>
    <mergeCell ref="AD119:AF119"/>
    <mergeCell ref="AB115:AC115"/>
    <mergeCell ref="AD115:AF115"/>
    <mergeCell ref="AB119:AC119"/>
    <mergeCell ref="Z4:AE5"/>
    <mergeCell ref="AF4:AH5"/>
    <mergeCell ref="AJ4:AM5"/>
    <mergeCell ref="AN4:AR5"/>
    <mergeCell ref="B73:K75"/>
    <mergeCell ref="AH40:AM40"/>
    <mergeCell ref="AG59:AR59"/>
    <mergeCell ref="AC60:AF60"/>
    <mergeCell ref="AG60:AR60"/>
    <mergeCell ref="U59:W59"/>
    <mergeCell ref="AP52:AR52"/>
    <mergeCell ref="AH53:AM53"/>
    <mergeCell ref="AN53:AO53"/>
    <mergeCell ref="AG58:AR58"/>
    <mergeCell ref="AG57:AR57"/>
    <mergeCell ref="AC58:AF58"/>
    <mergeCell ref="N65:P66"/>
    <mergeCell ref="K41:Q41"/>
    <mergeCell ref="V50:AA50"/>
    <mergeCell ref="AH51:AM51"/>
    <mergeCell ref="AN51:AO51"/>
    <mergeCell ref="V45:AA45"/>
    <mergeCell ref="K44:Q44"/>
    <mergeCell ref="AP53:AR53"/>
    <mergeCell ref="A112:T113"/>
    <mergeCell ref="A114:T115"/>
    <mergeCell ref="A99:T99"/>
    <mergeCell ref="A102:T103"/>
    <mergeCell ref="A104:T105"/>
    <mergeCell ref="AD100:AF100"/>
    <mergeCell ref="V101:AA101"/>
    <mergeCell ref="AD107:AF107"/>
    <mergeCell ref="V110:AA110"/>
    <mergeCell ref="AB110:AC110"/>
    <mergeCell ref="AD110:AF110"/>
    <mergeCell ref="AH100:AM100"/>
    <mergeCell ref="AN100:AO100"/>
    <mergeCell ref="AP100:AR100"/>
    <mergeCell ref="AH101:AM101"/>
    <mergeCell ref="AP103:AR103"/>
    <mergeCell ref="V109:AA109"/>
    <mergeCell ref="AB111:AC111"/>
    <mergeCell ref="AD111:AF111"/>
    <mergeCell ref="AP109:AR109"/>
    <mergeCell ref="AB106:AC106"/>
    <mergeCell ref="AD106:AF106"/>
    <mergeCell ref="AB101:AC101"/>
    <mergeCell ref="AD101:AF101"/>
    <mergeCell ref="AN101:AO101"/>
    <mergeCell ref="AP101:AR101"/>
    <mergeCell ref="AP102:AR102"/>
    <mergeCell ref="V100:AA100"/>
    <mergeCell ref="AB100:AC100"/>
    <mergeCell ref="AB107:AC107"/>
    <mergeCell ref="AN109:AO109"/>
    <mergeCell ref="K49:Q49"/>
    <mergeCell ref="V46:AA46"/>
    <mergeCell ref="V49:AA49"/>
    <mergeCell ref="V47:AA47"/>
    <mergeCell ref="AD113:AF113"/>
    <mergeCell ref="A65:A75"/>
    <mergeCell ref="V40:AA40"/>
    <mergeCell ref="R50:S50"/>
    <mergeCell ref="K53:Q53"/>
    <mergeCell ref="R51:S51"/>
    <mergeCell ref="V53:AA53"/>
    <mergeCell ref="R54:S54"/>
    <mergeCell ref="K54:Q54"/>
    <mergeCell ref="R52:S52"/>
    <mergeCell ref="R43:S43"/>
    <mergeCell ref="R46:S46"/>
    <mergeCell ref="K46:Q46"/>
    <mergeCell ref="V48:AA48"/>
    <mergeCell ref="V41:AA41"/>
    <mergeCell ref="V42:AA42"/>
    <mergeCell ref="V44:AA44"/>
    <mergeCell ref="K42:Q42"/>
    <mergeCell ref="AD99:AF99"/>
    <mergeCell ref="AB109:AC109"/>
    <mergeCell ref="C47:D48"/>
    <mergeCell ref="K52:Q52"/>
    <mergeCell ref="G37:G55"/>
    <mergeCell ref="J37:J55"/>
    <mergeCell ref="A51:D51"/>
    <mergeCell ref="R44:S44"/>
    <mergeCell ref="K51:Q51"/>
    <mergeCell ref="A50:D50"/>
    <mergeCell ref="A41:B41"/>
    <mergeCell ref="D38:D39"/>
    <mergeCell ref="K48:Q48"/>
    <mergeCell ref="R40:S40"/>
    <mergeCell ref="R45:S45"/>
    <mergeCell ref="A48:B48"/>
    <mergeCell ref="D45:D46"/>
    <mergeCell ref="R37:S37"/>
    <mergeCell ref="R38:S38"/>
    <mergeCell ref="K38:Q38"/>
    <mergeCell ref="R39:S39"/>
    <mergeCell ref="R47:S47"/>
    <mergeCell ref="K47:Q47"/>
    <mergeCell ref="R48:S48"/>
    <mergeCell ref="R49:S49"/>
    <mergeCell ref="K50:Q50"/>
    <mergeCell ref="AB47:AC47"/>
    <mergeCell ref="AB49:AC49"/>
    <mergeCell ref="AB50:AC50"/>
    <mergeCell ref="AP49:AR49"/>
    <mergeCell ref="AH50:AM50"/>
    <mergeCell ref="AN50:AO50"/>
    <mergeCell ref="AP50:AR50"/>
    <mergeCell ref="AP46:AR46"/>
    <mergeCell ref="AH47:AM47"/>
    <mergeCell ref="AN47:AO47"/>
    <mergeCell ref="AP47:AR47"/>
    <mergeCell ref="AH46:AM46"/>
    <mergeCell ref="AD49:AF49"/>
    <mergeCell ref="AD47:AF47"/>
    <mergeCell ref="AB48:AC48"/>
    <mergeCell ref="AH45:AM45"/>
    <mergeCell ref="AP45:AR45"/>
    <mergeCell ref="AN42:AO42"/>
    <mergeCell ref="AP42:AR42"/>
    <mergeCell ref="AH43:AM43"/>
    <mergeCell ref="AN43:AO43"/>
    <mergeCell ref="AP43:AR43"/>
    <mergeCell ref="AP48:AR48"/>
    <mergeCell ref="AN46:AO46"/>
    <mergeCell ref="AB45:AC45"/>
    <mergeCell ref="AN45:AO45"/>
    <mergeCell ref="AD52:AF52"/>
    <mergeCell ref="AH52:AM52"/>
    <mergeCell ref="AN41:AO41"/>
    <mergeCell ref="AB46:AC46"/>
    <mergeCell ref="AN52:AO52"/>
    <mergeCell ref="Z37:AB38"/>
    <mergeCell ref="AB54:AC54"/>
    <mergeCell ref="AB51:AC51"/>
    <mergeCell ref="V51:AA51"/>
    <mergeCell ref="AB52:AC52"/>
    <mergeCell ref="AB53:AC53"/>
    <mergeCell ref="AD54:AF54"/>
    <mergeCell ref="AD53:AF53"/>
    <mergeCell ref="V52:AA52"/>
    <mergeCell ref="AH54:AM54"/>
    <mergeCell ref="AH42:AM42"/>
    <mergeCell ref="AH48:AM48"/>
    <mergeCell ref="AN48:AO48"/>
    <mergeCell ref="AD48:AF48"/>
    <mergeCell ref="AH49:AM49"/>
    <mergeCell ref="AN49:AO49"/>
    <mergeCell ref="AD46:AF46"/>
    <mergeCell ref="AE36:AN36"/>
    <mergeCell ref="AD41:AF41"/>
    <mergeCell ref="AB41:AC41"/>
    <mergeCell ref="AN37:AR37"/>
    <mergeCell ref="AN38:AR38"/>
    <mergeCell ref="AN39:AR39"/>
    <mergeCell ref="AB44:AC44"/>
    <mergeCell ref="AH44:AM44"/>
    <mergeCell ref="AH38:AJ38"/>
    <mergeCell ref="AK38:AL38"/>
    <mergeCell ref="AH39:AL39"/>
    <mergeCell ref="AP41:AR41"/>
    <mergeCell ref="AD44:AF44"/>
    <mergeCell ref="AN44:AO44"/>
    <mergeCell ref="AP44:AR44"/>
    <mergeCell ref="AC37:AG37"/>
    <mergeCell ref="V43:AA43"/>
    <mergeCell ref="AB43:AC43"/>
    <mergeCell ref="R42:S42"/>
    <mergeCell ref="R41:S41"/>
    <mergeCell ref="AD43:AF43"/>
    <mergeCell ref="AD42:AF42"/>
    <mergeCell ref="AC38:AE38"/>
    <mergeCell ref="AF38:AG38"/>
    <mergeCell ref="AC39:AG39"/>
    <mergeCell ref="V39:AB39"/>
    <mergeCell ref="AB40:AC40"/>
    <mergeCell ref="AB42:AC42"/>
    <mergeCell ref="AD40:AF40"/>
    <mergeCell ref="V37:Y38"/>
    <mergeCell ref="AH14:AP14"/>
    <mergeCell ref="AB22:AH22"/>
    <mergeCell ref="V22:AA25"/>
    <mergeCell ref="AP22:AR22"/>
    <mergeCell ref="V15:AA15"/>
    <mergeCell ref="AM33:AO33"/>
    <mergeCell ref="AP21:AR21"/>
    <mergeCell ref="AQ14:AR14"/>
    <mergeCell ref="AB17:AR18"/>
    <mergeCell ref="AK24:AL24"/>
    <mergeCell ref="AI24:AJ24"/>
    <mergeCell ref="AE24:AH24"/>
    <mergeCell ref="AI22:AL22"/>
    <mergeCell ref="AK25:AO25"/>
    <mergeCell ref="V21:AA21"/>
    <mergeCell ref="AG27:AM27"/>
    <mergeCell ref="AB24:AD24"/>
    <mergeCell ref="AB19:AR19"/>
    <mergeCell ref="AI23:AL23"/>
    <mergeCell ref="AM23:AR23"/>
    <mergeCell ref="AM21:AO21"/>
    <mergeCell ref="AQ24:AR24"/>
    <mergeCell ref="AM24:AP24"/>
    <mergeCell ref="AM22:AO22"/>
    <mergeCell ref="AN30:AR30"/>
    <mergeCell ref="AD33:AF33"/>
    <mergeCell ref="AB25:AG25"/>
    <mergeCell ref="V34:AA35"/>
    <mergeCell ref="R29:S29"/>
    <mergeCell ref="R30:S30"/>
    <mergeCell ref="R32:S32"/>
    <mergeCell ref="AG33:AI33"/>
    <mergeCell ref="AP34:AR35"/>
    <mergeCell ref="AB34:AC35"/>
    <mergeCell ref="AJ34:AL35"/>
    <mergeCell ref="AP25:AR25"/>
    <mergeCell ref="R27:S27"/>
    <mergeCell ref="J24:S25"/>
    <mergeCell ref="R31:S31"/>
    <mergeCell ref="AG34:AI35"/>
    <mergeCell ref="AD34:AF35"/>
    <mergeCell ref="J7:L8"/>
    <mergeCell ref="Q8:T8"/>
    <mergeCell ref="G13:Q13"/>
    <mergeCell ref="M8:P8"/>
    <mergeCell ref="M7:P7"/>
    <mergeCell ref="A4:D5"/>
    <mergeCell ref="G11:Q11"/>
    <mergeCell ref="G12:Q12"/>
    <mergeCell ref="R10:T10"/>
    <mergeCell ref="A10:F10"/>
    <mergeCell ref="R11:T11"/>
    <mergeCell ref="G10:Q10"/>
    <mergeCell ref="R13:T13"/>
    <mergeCell ref="B11:F11"/>
    <mergeCell ref="M4:R5"/>
    <mergeCell ref="S4:X5"/>
    <mergeCell ref="A1:H2"/>
    <mergeCell ref="V16:AA16"/>
    <mergeCell ref="AA12:AB12"/>
    <mergeCell ref="AC12:AD12"/>
    <mergeCell ref="C19:D20"/>
    <mergeCell ref="V19:AA19"/>
    <mergeCell ref="E4:K5"/>
    <mergeCell ref="AA1:AF2"/>
    <mergeCell ref="V7:Z8"/>
    <mergeCell ref="AE10:AF10"/>
    <mergeCell ref="AE11:AF11"/>
    <mergeCell ref="AE12:AF12"/>
    <mergeCell ref="B12:F12"/>
    <mergeCell ref="B13:F13"/>
    <mergeCell ref="V14:AG14"/>
    <mergeCell ref="J15:S16"/>
    <mergeCell ref="AG10:AH10"/>
    <mergeCell ref="AC11:AD11"/>
    <mergeCell ref="I1:R2"/>
    <mergeCell ref="Q7:T7"/>
    <mergeCell ref="A7:I8"/>
    <mergeCell ref="G18:I19"/>
    <mergeCell ref="J18:S19"/>
    <mergeCell ref="R12:T12"/>
    <mergeCell ref="AG1:AR2"/>
    <mergeCell ref="AG12:AH12"/>
    <mergeCell ref="V12:Z12"/>
    <mergeCell ref="AG11:AH11"/>
    <mergeCell ref="AA11:AB11"/>
    <mergeCell ref="AP33:AR33"/>
    <mergeCell ref="V33:AC33"/>
    <mergeCell ref="AB21:AH21"/>
    <mergeCell ref="V10:Z11"/>
    <mergeCell ref="V17:AA18"/>
    <mergeCell ref="V27:AA28"/>
    <mergeCell ref="V29:AA31"/>
    <mergeCell ref="AJ33:AL33"/>
    <mergeCell ref="AA10:AB10"/>
    <mergeCell ref="AC10:AD10"/>
    <mergeCell ref="AF23:AH23"/>
    <mergeCell ref="AI21:AL21"/>
    <mergeCell ref="AB27:AF28"/>
    <mergeCell ref="AJ10:AR10"/>
    <mergeCell ref="AJ11:AR12"/>
    <mergeCell ref="AH25:AJ25"/>
    <mergeCell ref="AB23:AE23"/>
    <mergeCell ref="AN27:AR27"/>
    <mergeCell ref="AN28:AR28"/>
    <mergeCell ref="A15:D15"/>
    <mergeCell ref="A17:C18"/>
    <mergeCell ref="D17:D18"/>
    <mergeCell ref="A36:D36"/>
    <mergeCell ref="G21:I22"/>
    <mergeCell ref="A30:D30"/>
    <mergeCell ref="C33:D34"/>
    <mergeCell ref="G15:I16"/>
    <mergeCell ref="A23:D23"/>
    <mergeCell ref="A24:C25"/>
    <mergeCell ref="D24:D25"/>
    <mergeCell ref="G24:I25"/>
    <mergeCell ref="A31:C32"/>
    <mergeCell ref="A34:B34"/>
    <mergeCell ref="G36:Q36"/>
    <mergeCell ref="D31:D32"/>
    <mergeCell ref="J21:N21"/>
    <mergeCell ref="O21:S21"/>
    <mergeCell ref="R33:S33"/>
    <mergeCell ref="Q22:S22"/>
    <mergeCell ref="R28:S28"/>
    <mergeCell ref="R36:S36"/>
    <mergeCell ref="O22:P22"/>
    <mergeCell ref="G28:G34"/>
    <mergeCell ref="J22:K22"/>
    <mergeCell ref="G27:Q27"/>
    <mergeCell ref="A20:B20"/>
    <mergeCell ref="C26:D27"/>
    <mergeCell ref="A27:B27"/>
    <mergeCell ref="A29:D29"/>
    <mergeCell ref="A43:D43"/>
    <mergeCell ref="K45:Q45"/>
    <mergeCell ref="K43:Q43"/>
    <mergeCell ref="A45:C46"/>
    <mergeCell ref="A44:D44"/>
    <mergeCell ref="C40:D41"/>
    <mergeCell ref="K39:Q39"/>
    <mergeCell ref="A37:D37"/>
    <mergeCell ref="A38:C39"/>
    <mergeCell ref="K37:Q37"/>
    <mergeCell ref="L22:N22"/>
    <mergeCell ref="A22:D22"/>
    <mergeCell ref="O92:R92"/>
    <mergeCell ref="S92:V92"/>
    <mergeCell ref="W92:Z92"/>
    <mergeCell ref="AA92:AR92"/>
    <mergeCell ref="A106:T107"/>
    <mergeCell ref="V105:AA105"/>
    <mergeCell ref="AB99:AC99"/>
    <mergeCell ref="K97:N97"/>
    <mergeCell ref="B92:J92"/>
    <mergeCell ref="AA93:AR93"/>
    <mergeCell ref="B97:J97"/>
    <mergeCell ref="B95:J95"/>
    <mergeCell ref="B94:J94"/>
    <mergeCell ref="B93:J93"/>
    <mergeCell ref="AH105:AM105"/>
    <mergeCell ref="AN105:AO105"/>
    <mergeCell ref="AP105:AR105"/>
    <mergeCell ref="V104:AA104"/>
    <mergeCell ref="AB104:AC104"/>
    <mergeCell ref="AD104:AF104"/>
    <mergeCell ref="K94:N94"/>
    <mergeCell ref="K96:N96"/>
    <mergeCell ref="K95:N95"/>
    <mergeCell ref="O95:R95"/>
    <mergeCell ref="W78:Z79"/>
    <mergeCell ref="K84:N85"/>
    <mergeCell ref="B82:J83"/>
    <mergeCell ref="B84:J85"/>
    <mergeCell ref="B89:J89"/>
    <mergeCell ref="K89:N89"/>
    <mergeCell ref="AA87:AR87"/>
    <mergeCell ref="O88:R88"/>
    <mergeCell ref="A52:C53"/>
    <mergeCell ref="D52:D53"/>
    <mergeCell ref="P62:T62"/>
    <mergeCell ref="F71:K71"/>
    <mergeCell ref="B71:E71"/>
    <mergeCell ref="N73:R75"/>
    <mergeCell ref="R53:S53"/>
    <mergeCell ref="AG62:AR62"/>
    <mergeCell ref="A60:I60"/>
    <mergeCell ref="M62:O62"/>
    <mergeCell ref="V54:AA54"/>
    <mergeCell ref="AC59:AF59"/>
    <mergeCell ref="X57:AB57"/>
    <mergeCell ref="AH55:AM55"/>
    <mergeCell ref="AN55:AO55"/>
    <mergeCell ref="AC62:AF62"/>
    <mergeCell ref="O82:R83"/>
    <mergeCell ref="S82:V83"/>
    <mergeCell ref="W82:Z83"/>
    <mergeCell ref="AA82:AR83"/>
    <mergeCell ref="K77:N77"/>
    <mergeCell ref="B72:K72"/>
    <mergeCell ref="Q71:AR72"/>
    <mergeCell ref="B69:E69"/>
    <mergeCell ref="A110:T111"/>
    <mergeCell ref="V111:AA111"/>
    <mergeCell ref="A77:A97"/>
    <mergeCell ref="V103:AA103"/>
    <mergeCell ref="V102:AA102"/>
    <mergeCell ref="A100:T101"/>
    <mergeCell ref="B90:J90"/>
    <mergeCell ref="B91:J91"/>
    <mergeCell ref="B96:J96"/>
    <mergeCell ref="V106:AA106"/>
    <mergeCell ref="B86:J86"/>
    <mergeCell ref="B88:J88"/>
    <mergeCell ref="B78:J79"/>
    <mergeCell ref="K78:N79"/>
    <mergeCell ref="O78:R79"/>
    <mergeCell ref="S78:V79"/>
    <mergeCell ref="O93:R93"/>
    <mergeCell ref="A108:T109"/>
    <mergeCell ref="AB103:AC103"/>
    <mergeCell ref="AD103:AF103"/>
    <mergeCell ref="AH103:AM103"/>
    <mergeCell ref="AN103:AO103"/>
    <mergeCell ref="AH109:AM109"/>
    <mergeCell ref="AD108:AF108"/>
    <mergeCell ref="AD109:AF109"/>
    <mergeCell ref="O97:R97"/>
    <mergeCell ref="S97:V97"/>
    <mergeCell ref="W97:Z97"/>
    <mergeCell ref="AA97:AR97"/>
    <mergeCell ref="O94:R94"/>
    <mergeCell ref="S94:V94"/>
    <mergeCell ref="W94:Z94"/>
    <mergeCell ref="AA94:AR94"/>
    <mergeCell ref="O96:R96"/>
    <mergeCell ref="S96:V96"/>
    <mergeCell ref="W96:Z96"/>
    <mergeCell ref="AA96:AR96"/>
    <mergeCell ref="S93:V93"/>
    <mergeCell ref="AB105:AC105"/>
    <mergeCell ref="AD105:AF105"/>
    <mergeCell ref="AA7:AR7"/>
    <mergeCell ref="W88:Z88"/>
    <mergeCell ref="AA88:AR88"/>
    <mergeCell ref="O89:R89"/>
    <mergeCell ref="S89:V89"/>
    <mergeCell ref="W89:Z89"/>
    <mergeCell ref="AA89:AR89"/>
    <mergeCell ref="K93:N93"/>
    <mergeCell ref="K92:N92"/>
    <mergeCell ref="AA8:AI8"/>
    <mergeCell ref="AJ8:AR8"/>
    <mergeCell ref="M57:O57"/>
    <mergeCell ref="J63:L63"/>
    <mergeCell ref="M63:O63"/>
    <mergeCell ref="P63:T63"/>
    <mergeCell ref="U63:W63"/>
    <mergeCell ref="F68:K68"/>
    <mergeCell ref="Q69:AR70"/>
    <mergeCell ref="F69:K69"/>
    <mergeCell ref="F70:K70"/>
    <mergeCell ref="AH37:AL37"/>
    <mergeCell ref="AH41:AM41"/>
    <mergeCell ref="AN40:AO40"/>
    <mergeCell ref="B87:J87"/>
    <mergeCell ref="K91:N91"/>
    <mergeCell ref="O91:R91"/>
    <mergeCell ref="S91:V91"/>
    <mergeCell ref="W91:Z91"/>
    <mergeCell ref="AA91:AR91"/>
    <mergeCell ref="S77:V77"/>
    <mergeCell ref="O90:R90"/>
    <mergeCell ref="P61:T61"/>
    <mergeCell ref="P59:T59"/>
    <mergeCell ref="AG63:AR63"/>
    <mergeCell ref="AC61:AF61"/>
    <mergeCell ref="O84:R85"/>
    <mergeCell ref="S84:V85"/>
    <mergeCell ref="W84:Z85"/>
    <mergeCell ref="AA84:AR85"/>
    <mergeCell ref="K88:N88"/>
    <mergeCell ref="K87:N87"/>
    <mergeCell ref="K90:N90"/>
    <mergeCell ref="O87:R87"/>
    <mergeCell ref="S88:V88"/>
    <mergeCell ref="S73:AR75"/>
    <mergeCell ref="S86:V86"/>
    <mergeCell ref="W86:Z86"/>
    <mergeCell ref="O77:R77"/>
    <mergeCell ref="B66:E66"/>
    <mergeCell ref="F67:K67"/>
    <mergeCell ref="F65:K65"/>
    <mergeCell ref="J62:L62"/>
    <mergeCell ref="Q67:AR68"/>
    <mergeCell ref="B68:E68"/>
    <mergeCell ref="BD10:BM11"/>
    <mergeCell ref="BD15:BM19"/>
    <mergeCell ref="S90:V90"/>
    <mergeCell ref="W90:Z90"/>
    <mergeCell ref="AA90:AR90"/>
    <mergeCell ref="J57:L57"/>
    <mergeCell ref="B77:J77"/>
    <mergeCell ref="M65:M75"/>
    <mergeCell ref="N67:P68"/>
    <mergeCell ref="N69:P70"/>
    <mergeCell ref="N71:P72"/>
    <mergeCell ref="W77:Z77"/>
    <mergeCell ref="B67:E67"/>
    <mergeCell ref="K86:N86"/>
    <mergeCell ref="W80:Z81"/>
    <mergeCell ref="AA80:AR81"/>
    <mergeCell ref="B65:E65"/>
    <mergeCell ref="K82:N83"/>
    <mergeCell ref="O86:R86"/>
    <mergeCell ref="A16:D16"/>
    <mergeCell ref="B80:J81"/>
    <mergeCell ref="K80:N81"/>
    <mergeCell ref="O80:R81"/>
    <mergeCell ref="S80:V81"/>
    <mergeCell ref="C54:D55"/>
    <mergeCell ref="A55:B55"/>
    <mergeCell ref="J58:L58"/>
    <mergeCell ref="M61:O61"/>
    <mergeCell ref="M59:O59"/>
    <mergeCell ref="A61:I61"/>
    <mergeCell ref="A59:I59"/>
    <mergeCell ref="A58:I58"/>
    <mergeCell ref="A57:I57"/>
    <mergeCell ref="M60:O60"/>
    <mergeCell ref="M58:O58"/>
    <mergeCell ref="J61:L61"/>
    <mergeCell ref="J60:L60"/>
    <mergeCell ref="J59:L59"/>
    <mergeCell ref="B70:E70"/>
    <mergeCell ref="A63:I63"/>
    <mergeCell ref="A62:I62"/>
    <mergeCell ref="F66:K66"/>
    <mergeCell ref="X59:AB59"/>
    <mergeCell ref="X60:AB60"/>
    <mergeCell ref="X61:AB61"/>
    <mergeCell ref="X62:AB62"/>
    <mergeCell ref="X63:AB63"/>
    <mergeCell ref="BQ30:BR30"/>
    <mergeCell ref="BS30:BX30"/>
    <mergeCell ref="AB15:AR16"/>
    <mergeCell ref="BB32:BP32"/>
    <mergeCell ref="BB33:BP37"/>
    <mergeCell ref="BB38:BP47"/>
    <mergeCell ref="BB30:BK30"/>
    <mergeCell ref="BL30:BP30"/>
    <mergeCell ref="AG61:AR61"/>
    <mergeCell ref="AB29:AF31"/>
    <mergeCell ref="AG28:AM28"/>
    <mergeCell ref="AG29:AM29"/>
    <mergeCell ref="AG30:AM31"/>
    <mergeCell ref="AM34:AO35"/>
    <mergeCell ref="AD45:AF45"/>
    <mergeCell ref="AP40:AR40"/>
    <mergeCell ref="AD51:AF51"/>
    <mergeCell ref="AD50:AF50"/>
    <mergeCell ref="AP51:AR51"/>
  </mergeCells>
  <conditionalFormatting sqref="J58:O63">
    <cfRule type="cellIs" dxfId="1" priority="2" operator="equal">
      <formula>"None"</formula>
    </cfRule>
  </conditionalFormatting>
  <conditionalFormatting sqref="AA11:AH11">
    <cfRule type="cellIs" dxfId="0" priority="1" operator="equal">
      <formula>0</formula>
    </cfRule>
  </conditionalFormatting>
  <dataValidations xWindow="296" yWindow="592" count="16">
    <dataValidation allowBlank="1" showErrorMessage="1" promptTitle="Armor Type" prompt="Select the type of armor worn." sqref="AI22:AL22"/>
    <dataValidation type="list" allowBlank="1" showErrorMessage="1" sqref="E4:K5">
      <formula1>Races</formula1>
    </dataValidation>
    <dataValidation type="list" allowBlank="1" showInputMessage="1" showErrorMessage="1" sqref="AF4:AH5">
      <formula1>alignements</formula1>
    </dataValidation>
    <dataValidation type="list" allowBlank="1" showInputMessage="1" showErrorMessage="1" sqref="C19:D20 C26:D27 C33:D34 C40:D41 C47:D48 C54:D55">
      <formula1>Carac</formula1>
    </dataValidation>
    <dataValidation type="list" allowBlank="1" showInputMessage="1" showErrorMessage="1" sqref="B11:B13">
      <formula1>Classe</formula1>
    </dataValidation>
    <dataValidation type="list" allowBlank="1" showInputMessage="1" showErrorMessage="1" sqref="R11:T13">
      <formula1>Niveau</formula1>
    </dataValidation>
    <dataValidation type="list" allowBlank="1" showInputMessage="1" showErrorMessage="1" sqref="S4:X5">
      <formula1>Background</formula1>
    </dataValidation>
    <dataValidation type="list" allowBlank="1" showInputMessage="1" showErrorMessage="1" sqref="AJ8 AA8">
      <formula1>Langues</formula1>
    </dataValidation>
    <dataValidation operator="equal" allowBlank="1" showInputMessage="1" showErrorMessage="1" sqref="BD12:BM14"/>
    <dataValidation type="list" allowBlank="1" showInputMessage="1" showErrorMessage="1" sqref="BL30:BP30">
      <formula1>Couleur</formula1>
    </dataValidation>
    <dataValidation type="list" allowBlank="1" showInputMessage="1" showErrorMessage="1" sqref="V41:AA55 AH41:AM55 V100:AA129">
      <formula1>Equipement</formula1>
    </dataValidation>
    <dataValidation type="list" allowBlank="1" showInputMessage="1" showErrorMessage="1" sqref="A59:I63">
      <formula1>Arme12</formula1>
    </dataValidation>
    <dataValidation type="list" allowBlank="1" showInputMessage="1" showErrorMessage="1" sqref="AB22:AH22">
      <formula1>Armure1</formula1>
    </dataValidation>
    <dataValidation type="list" allowBlank="1" showInputMessage="1" showErrorMessage="1" sqref="AD41:AF55 AP41:AR55 AD100:AF129">
      <formula1>Poids</formula1>
    </dataValidation>
    <dataValidation type="list" allowBlank="1" showInputMessage="1" showErrorMessage="1" sqref="AE24:AH24">
      <formula1>Bouclier</formula1>
    </dataValidation>
    <dataValidation type="list" allowBlank="1" showInputMessage="1" showErrorMessage="1" sqref="J58:L63">
      <formula1>Caract</formula1>
    </dataValidation>
  </dataValidations>
  <pageMargins left="0.23622047244094491" right="0.23622047244094491" top="0.35433070866141736" bottom="0.35433070866141736" header="0.31496062992125984" footer="0.31496062992125984"/>
  <pageSetup paperSize="9" scale="79" fitToHeight="0" orientation="portrait" r:id="rId1"/>
  <rowBreaks count="2" manualBreakCount="2">
    <brk id="63" max="43" man="1"/>
    <brk id="129" max="43" man="1"/>
  </rowBreaks>
  <colBreaks count="1" manualBreakCount="1">
    <brk id="44" max="127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7</xdr:col>
                    <xdr:colOff>0</xdr:colOff>
                    <xdr:row>36</xdr:row>
                    <xdr:rowOff>180975</xdr:rowOff>
                  </from>
                  <to>
                    <xdr:col>8</xdr:col>
                    <xdr:colOff>95250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7</xdr:col>
                    <xdr:colOff>0</xdr:colOff>
                    <xdr:row>35</xdr:row>
                    <xdr:rowOff>171450</xdr:rowOff>
                  </from>
                  <to>
                    <xdr:col>8</xdr:col>
                    <xdr:colOff>95250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8</xdr:col>
                    <xdr:colOff>0</xdr:colOff>
                    <xdr:row>35</xdr:row>
                    <xdr:rowOff>171450</xdr:rowOff>
                  </from>
                  <to>
                    <xdr:col>9</xdr:col>
                    <xdr:colOff>76200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7</xdr:col>
                    <xdr:colOff>28575</xdr:colOff>
                    <xdr:row>26</xdr:row>
                    <xdr:rowOff>171450</xdr:rowOff>
                  </from>
                  <to>
                    <xdr:col>8</xdr:col>
                    <xdr:colOff>123825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7</xdr:col>
                    <xdr:colOff>28575</xdr:colOff>
                    <xdr:row>27</xdr:row>
                    <xdr:rowOff>171450</xdr:rowOff>
                  </from>
                  <to>
                    <xdr:col>8</xdr:col>
                    <xdr:colOff>123825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7</xdr:col>
                    <xdr:colOff>28575</xdr:colOff>
                    <xdr:row>28</xdr:row>
                    <xdr:rowOff>161925</xdr:rowOff>
                  </from>
                  <to>
                    <xdr:col>8</xdr:col>
                    <xdr:colOff>123825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7</xdr:col>
                    <xdr:colOff>28575</xdr:colOff>
                    <xdr:row>29</xdr:row>
                    <xdr:rowOff>152400</xdr:rowOff>
                  </from>
                  <to>
                    <xdr:col>8</xdr:col>
                    <xdr:colOff>123825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7</xdr:col>
                    <xdr:colOff>28575</xdr:colOff>
                    <xdr:row>30</xdr:row>
                    <xdr:rowOff>171450</xdr:rowOff>
                  </from>
                  <to>
                    <xdr:col>8</xdr:col>
                    <xdr:colOff>123825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7</xdr:col>
                    <xdr:colOff>28575</xdr:colOff>
                    <xdr:row>31</xdr:row>
                    <xdr:rowOff>152400</xdr:rowOff>
                  </from>
                  <to>
                    <xdr:col>8</xdr:col>
                    <xdr:colOff>123825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3" name="Check Box 11">
              <controlPr defaultSize="0" autoFill="0" autoLine="0" autoPict="0">
                <anchor moveWithCells="1">
                  <from>
                    <xdr:col>42</xdr:col>
                    <xdr:colOff>123825</xdr:colOff>
                    <xdr:row>29</xdr:row>
                    <xdr:rowOff>142875</xdr:rowOff>
                  </from>
                  <to>
                    <xdr:col>44</xdr:col>
                    <xdr:colOff>85725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4" name="Check Box 12">
              <controlPr defaultSize="0" autoFill="0" autoLine="0" autoPict="0">
                <anchor moveWithCells="1">
                  <from>
                    <xdr:col>40</xdr:col>
                    <xdr:colOff>180975</xdr:colOff>
                    <xdr:row>29</xdr:row>
                    <xdr:rowOff>142875</xdr:rowOff>
                  </from>
                  <to>
                    <xdr:col>42</xdr:col>
                    <xdr:colOff>133350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5" name="Check Box 13">
              <controlPr defaultSize="0" autoFill="0" autoLine="0" autoPict="0">
                <anchor moveWithCells="1">
                  <from>
                    <xdr:col>39</xdr:col>
                    <xdr:colOff>47625</xdr:colOff>
                    <xdr:row>29</xdr:row>
                    <xdr:rowOff>142875</xdr:rowOff>
                  </from>
                  <to>
                    <xdr:col>40</xdr:col>
                    <xdr:colOff>161925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6" name="Check Box 14">
              <controlPr defaultSize="0" autoFill="0" autoLine="0" autoPict="0">
                <anchor moveWithCells="1">
                  <from>
                    <xdr:col>40</xdr:col>
                    <xdr:colOff>180975</xdr:colOff>
                    <xdr:row>27</xdr:row>
                    <xdr:rowOff>152400</xdr:rowOff>
                  </from>
                  <to>
                    <xdr:col>42</xdr:col>
                    <xdr:colOff>133350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7" name="Check Box 15">
              <controlPr defaultSize="0" autoFill="0" autoLine="0" autoPict="0">
                <anchor moveWithCells="1">
                  <from>
                    <xdr:col>39</xdr:col>
                    <xdr:colOff>47625</xdr:colOff>
                    <xdr:row>27</xdr:row>
                    <xdr:rowOff>142875</xdr:rowOff>
                  </from>
                  <to>
                    <xdr:col>40</xdr:col>
                    <xdr:colOff>152400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8" name="Check Box 16">
              <controlPr defaultSize="0" autoFill="0" autoLine="0" autoPict="0">
                <anchor moveWithCells="1">
                  <from>
                    <xdr:col>42</xdr:col>
                    <xdr:colOff>123825</xdr:colOff>
                    <xdr:row>27</xdr:row>
                    <xdr:rowOff>142875</xdr:rowOff>
                  </from>
                  <to>
                    <xdr:col>44</xdr:col>
                    <xdr:colOff>76200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9" name="Check Box 17">
              <controlPr defaultSize="0" autoFill="0" autoLine="0" autoPict="0">
                <anchor moveWithCells="1">
                  <from>
                    <xdr:col>7</xdr:col>
                    <xdr:colOff>0</xdr:colOff>
                    <xdr:row>37</xdr:row>
                    <xdr:rowOff>180975</xdr:rowOff>
                  </from>
                  <to>
                    <xdr:col>8</xdr:col>
                    <xdr:colOff>95250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0" name="Check Box 18">
              <controlPr defaultSize="0" autoFill="0" autoLine="0" autoPict="0">
                <anchor moveWithCells="1">
                  <from>
                    <xdr:col>8</xdr:col>
                    <xdr:colOff>0</xdr:colOff>
                    <xdr:row>36</xdr:row>
                    <xdr:rowOff>180975</xdr:rowOff>
                  </from>
                  <to>
                    <xdr:col>9</xdr:col>
                    <xdr:colOff>76200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1" name="Check Box 19">
              <controlPr defaultSize="0" autoFill="0" autoLine="0" autoPict="0">
                <anchor moveWithCells="1">
                  <from>
                    <xdr:col>7</xdr:col>
                    <xdr:colOff>0</xdr:colOff>
                    <xdr:row>38</xdr:row>
                    <xdr:rowOff>161925</xdr:rowOff>
                  </from>
                  <to>
                    <xdr:col>8</xdr:col>
                    <xdr:colOff>95250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2" name="Check Box 20">
              <controlPr defaultSize="0" autoFill="0" autoLine="0" autoPict="0">
                <anchor moveWithCells="1">
                  <from>
                    <xdr:col>8</xdr:col>
                    <xdr:colOff>0</xdr:colOff>
                    <xdr:row>37</xdr:row>
                    <xdr:rowOff>180975</xdr:rowOff>
                  </from>
                  <to>
                    <xdr:col>9</xdr:col>
                    <xdr:colOff>76200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3" name="Check Box 21">
              <controlPr defaultSize="0" autoFill="0" autoLine="0" autoPict="0">
                <anchor moveWithCells="1">
                  <from>
                    <xdr:col>7</xdr:col>
                    <xdr:colOff>0</xdr:colOff>
                    <xdr:row>39</xdr:row>
                    <xdr:rowOff>161925</xdr:rowOff>
                  </from>
                  <to>
                    <xdr:col>8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4" name="Check Box 22">
              <controlPr defaultSize="0" autoFill="0" autoLine="0" autoPict="0">
                <anchor moveWithCells="1">
                  <from>
                    <xdr:col>8</xdr:col>
                    <xdr:colOff>0</xdr:colOff>
                    <xdr:row>38</xdr:row>
                    <xdr:rowOff>161925</xdr:rowOff>
                  </from>
                  <to>
                    <xdr:col>9</xdr:col>
                    <xdr:colOff>76200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5" name="Check Box 23">
              <controlPr defaultSize="0" autoFill="0" autoLine="0" autoPict="0">
                <anchor moveWithCells="1">
                  <from>
                    <xdr:col>7</xdr:col>
                    <xdr:colOff>0</xdr:colOff>
                    <xdr:row>40</xdr:row>
                    <xdr:rowOff>161925</xdr:rowOff>
                  </from>
                  <to>
                    <xdr:col>8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6" name="Check Box 24">
              <controlPr defaultSize="0" autoFill="0" autoLine="0" autoPict="0">
                <anchor moveWithCells="1">
                  <from>
                    <xdr:col>8</xdr:col>
                    <xdr:colOff>0</xdr:colOff>
                    <xdr:row>39</xdr:row>
                    <xdr:rowOff>161925</xdr:rowOff>
                  </from>
                  <to>
                    <xdr:col>9</xdr:col>
                    <xdr:colOff>76200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7" name="Check Box 25">
              <controlPr defaultSize="0" autoFill="0" autoLine="0" autoPict="0">
                <anchor moveWithCells="1">
                  <from>
                    <xdr:col>7</xdr:col>
                    <xdr:colOff>0</xdr:colOff>
                    <xdr:row>41</xdr:row>
                    <xdr:rowOff>171450</xdr:rowOff>
                  </from>
                  <to>
                    <xdr:col>8</xdr:col>
                    <xdr:colOff>95250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8" name="Check Box 26">
              <controlPr defaultSize="0" autoFill="0" autoLine="0" autoPict="0">
                <anchor moveWithCells="1">
                  <from>
                    <xdr:col>8</xdr:col>
                    <xdr:colOff>0</xdr:colOff>
                    <xdr:row>40</xdr:row>
                    <xdr:rowOff>161925</xdr:rowOff>
                  </from>
                  <to>
                    <xdr:col>9</xdr:col>
                    <xdr:colOff>76200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9" name="Check Box 27">
              <controlPr defaultSize="0" autoFill="0" autoLine="0" autoPict="0">
                <anchor moveWithCells="1">
                  <from>
                    <xdr:col>7</xdr:col>
                    <xdr:colOff>0</xdr:colOff>
                    <xdr:row>42</xdr:row>
                    <xdr:rowOff>171450</xdr:rowOff>
                  </from>
                  <to>
                    <xdr:col>8</xdr:col>
                    <xdr:colOff>95250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0" name="Check Box 28">
              <controlPr defaultSize="0" autoFill="0" autoLine="0" autoPict="0">
                <anchor moveWithCells="1">
                  <from>
                    <xdr:col>8</xdr:col>
                    <xdr:colOff>0</xdr:colOff>
                    <xdr:row>41</xdr:row>
                    <xdr:rowOff>171450</xdr:rowOff>
                  </from>
                  <to>
                    <xdr:col>9</xdr:col>
                    <xdr:colOff>76200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1" name="Check Box 29">
              <controlPr defaultSize="0" autoFill="0" autoLine="0" autoPict="0">
                <anchor mov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8</xdr:col>
                    <xdr:colOff>95250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2" name="Check Box 30">
              <controlPr defaultSize="0" autoFill="0" autoLine="0" autoPict="0">
                <anchor moveWithCells="1">
                  <from>
                    <xdr:col>8</xdr:col>
                    <xdr:colOff>0</xdr:colOff>
                    <xdr:row>42</xdr:row>
                    <xdr:rowOff>171450</xdr:rowOff>
                  </from>
                  <to>
                    <xdr:col>9</xdr:col>
                    <xdr:colOff>76200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3" name="Check Box 31">
              <controlPr defaultSize="0" autoFill="0" autoLine="0" autoPict="0">
                <anchor moveWithCells="1">
                  <from>
                    <xdr:col>7</xdr:col>
                    <xdr:colOff>0</xdr:colOff>
                    <xdr:row>44</xdr:row>
                    <xdr:rowOff>180975</xdr:rowOff>
                  </from>
                  <to>
                    <xdr:col>8</xdr:col>
                    <xdr:colOff>95250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4" name="Check Box 32">
              <controlPr defaultSize="0" autoFill="0" autoLine="0" autoPict="0">
                <anchor moveWithCells="1">
                  <from>
                    <xdr:col>8</xdr:col>
                    <xdr:colOff>0</xdr:colOff>
                    <xdr:row>44</xdr:row>
                    <xdr:rowOff>0</xdr:rowOff>
                  </from>
                  <to>
                    <xdr:col>9</xdr:col>
                    <xdr:colOff>76200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5" name="Check Box 33">
              <controlPr defaultSize="0" autoFill="0" autoLine="0" autoPict="0">
                <anchor moveWithCells="1">
                  <from>
                    <xdr:col>7</xdr:col>
                    <xdr:colOff>0</xdr:colOff>
                    <xdr:row>45</xdr:row>
                    <xdr:rowOff>180975</xdr:rowOff>
                  </from>
                  <to>
                    <xdr:col>8</xdr:col>
                    <xdr:colOff>95250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6" name="Check Box 34">
              <controlPr defaultSize="0" autoFill="0" autoLine="0" autoPict="0">
                <anchor moveWithCells="1">
                  <from>
                    <xdr:col>8</xdr:col>
                    <xdr:colOff>0</xdr:colOff>
                    <xdr:row>44</xdr:row>
                    <xdr:rowOff>180975</xdr:rowOff>
                  </from>
                  <to>
                    <xdr:col>9</xdr:col>
                    <xdr:colOff>76200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7" name="Check Box 35">
              <controlPr defaultSize="0" autoFill="0" autoLine="0" autoPict="0">
                <anchor moveWithCells="1">
                  <from>
                    <xdr:col>7</xdr:col>
                    <xdr:colOff>0</xdr:colOff>
                    <xdr:row>47</xdr:row>
                    <xdr:rowOff>0</xdr:rowOff>
                  </from>
                  <to>
                    <xdr:col>8</xdr:col>
                    <xdr:colOff>95250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8" name="Check Box 36">
              <controlPr defaultSize="0" autoFill="0" autoLine="0" autoPict="0">
                <anchor moveWithCells="1">
                  <from>
                    <xdr:col>8</xdr:col>
                    <xdr:colOff>0</xdr:colOff>
                    <xdr:row>45</xdr:row>
                    <xdr:rowOff>180975</xdr:rowOff>
                  </from>
                  <to>
                    <xdr:col>9</xdr:col>
                    <xdr:colOff>76200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39" name="Check Box 37">
              <controlPr defaultSize="0" autoFill="0" autoLine="0" autoPict="0">
                <anchor moveWithCells="1">
                  <from>
                    <xdr:col>7</xdr:col>
                    <xdr:colOff>0</xdr:colOff>
                    <xdr:row>48</xdr:row>
                    <xdr:rowOff>0</xdr:rowOff>
                  </from>
                  <to>
                    <xdr:col>8</xdr:col>
                    <xdr:colOff>95250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0" name="Check Box 38">
              <controlPr defaultSize="0" autoFill="0" autoLine="0" autoPict="0">
                <anchor moveWithCells="1">
                  <from>
                    <xdr:col>8</xdr:col>
                    <xdr:colOff>0</xdr:colOff>
                    <xdr:row>47</xdr:row>
                    <xdr:rowOff>0</xdr:rowOff>
                  </from>
                  <to>
                    <xdr:col>9</xdr:col>
                    <xdr:colOff>76200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1" name="Check Box 39">
              <controlPr defaultSize="0" autoFill="0" autoLine="0" autoPict="0">
                <anchor moveWithCells="1">
                  <from>
                    <xdr:col>7</xdr:col>
                    <xdr:colOff>0</xdr:colOff>
                    <xdr:row>49</xdr:row>
                    <xdr:rowOff>0</xdr:rowOff>
                  </from>
                  <to>
                    <xdr:col>8</xdr:col>
                    <xdr:colOff>95250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2" name="Check Box 40">
              <controlPr defaultSize="0" autoFill="0" autoLine="0" autoPict="0">
                <anchor moveWithCells="1">
                  <from>
                    <xdr:col>8</xdr:col>
                    <xdr:colOff>0</xdr:colOff>
                    <xdr:row>48</xdr:row>
                    <xdr:rowOff>0</xdr:rowOff>
                  </from>
                  <to>
                    <xdr:col>9</xdr:col>
                    <xdr:colOff>76200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3" name="Check Box 41">
              <controlPr defaultSize="0" autoFill="0" autoLine="0" autoPict="0">
                <anchor moveWithCells="1">
                  <from>
                    <xdr:col>7</xdr:col>
                    <xdr:colOff>0</xdr:colOff>
                    <xdr:row>50</xdr:row>
                    <xdr:rowOff>9525</xdr:rowOff>
                  </from>
                  <to>
                    <xdr:col>8</xdr:col>
                    <xdr:colOff>95250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4" name="Check Box 42">
              <controlPr defaultSize="0" autoFill="0" autoLine="0" autoPict="0">
                <anchor moveWithCells="1">
                  <from>
                    <xdr:col>8</xdr:col>
                    <xdr:colOff>0</xdr:colOff>
                    <xdr:row>49</xdr:row>
                    <xdr:rowOff>0</xdr:rowOff>
                  </from>
                  <to>
                    <xdr:col>9</xdr:col>
                    <xdr:colOff>76200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5" name="Check Box 43">
              <controlPr defaultSize="0" autoFill="0" autoLine="0" autoPict="0">
                <anchor moveWithCells="1">
                  <from>
                    <xdr:col>7</xdr:col>
                    <xdr:colOff>0</xdr:colOff>
                    <xdr:row>51</xdr:row>
                    <xdr:rowOff>19050</xdr:rowOff>
                  </from>
                  <to>
                    <xdr:col>8</xdr:col>
                    <xdr:colOff>95250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6" name="Check Box 44">
              <controlPr defaultSize="0" autoFill="0" autoLine="0" autoPict="0">
                <anchor moveWithCells="1">
                  <from>
                    <xdr:col>8</xdr:col>
                    <xdr:colOff>0</xdr:colOff>
                    <xdr:row>50</xdr:row>
                    <xdr:rowOff>9525</xdr:rowOff>
                  </from>
                  <to>
                    <xdr:col>9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7" name="Check Box 45">
              <controlPr defaultSize="0" autoFill="0" autoLine="0" autoPict="0">
                <anchor moveWithCells="1">
                  <from>
                    <xdr:col>7</xdr:col>
                    <xdr:colOff>0</xdr:colOff>
                    <xdr:row>52</xdr:row>
                    <xdr:rowOff>19050</xdr:rowOff>
                  </from>
                  <to>
                    <xdr:col>8</xdr:col>
                    <xdr:colOff>95250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8" name="Check Box 46">
              <controlPr defaultSize="0" autoFill="0" autoLine="0" autoPict="0">
                <anchor moveWithCells="1">
                  <from>
                    <xdr:col>8</xdr:col>
                    <xdr:colOff>0</xdr:colOff>
                    <xdr:row>51</xdr:row>
                    <xdr:rowOff>19050</xdr:rowOff>
                  </from>
                  <to>
                    <xdr:col>9</xdr:col>
                    <xdr:colOff>76200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49" name="Check Box 47">
              <controlPr defaultSize="0" autoFill="0" autoLine="0" autoPict="0">
                <anchor moveWithCells="1">
                  <from>
                    <xdr:col>7</xdr:col>
                    <xdr:colOff>0</xdr:colOff>
                    <xdr:row>53</xdr:row>
                    <xdr:rowOff>19050</xdr:rowOff>
                  </from>
                  <to>
                    <xdr:col>8</xdr:col>
                    <xdr:colOff>95250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50" name="Check Box 48">
              <controlPr defaultSize="0" autoFill="0" autoLine="0" autoPict="0">
                <anchor moveWithCells="1">
                  <from>
                    <xdr:col>8</xdr:col>
                    <xdr:colOff>0</xdr:colOff>
                    <xdr:row>52</xdr:row>
                    <xdr:rowOff>19050</xdr:rowOff>
                  </from>
                  <to>
                    <xdr:col>9</xdr:col>
                    <xdr:colOff>76200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51" name="Check Box 49">
              <controlPr defaultSize="0" autoFill="0" autoLine="0" autoPict="0">
                <anchor moveWithCells="1">
                  <from>
                    <xdr:col>8</xdr:col>
                    <xdr:colOff>0</xdr:colOff>
                    <xdr:row>53</xdr:row>
                    <xdr:rowOff>19050</xdr:rowOff>
                  </from>
                  <to>
                    <xdr:col>9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296" yWindow="592" count="3">
        <x14:dataValidation type="list" allowBlank="1" showInputMessage="1" showErrorMessage="1">
          <x14:formula1>
            <xm:f>OFFSET(Feuil1!B2,0,VLOOKUP(A11,Feuil1!B12:D23,2)-1,VLOOKUP(A11,Feuil1!B12:D23,3),1)</xm:f>
          </x14:formula1>
          <xm:sqref>G11:Q11</xm:sqref>
        </x14:dataValidation>
        <x14:dataValidation type="list" allowBlank="1" showInputMessage="1" showErrorMessage="1">
          <x14:formula1>
            <xm:f>OFFSET(Feuil1!B2,0,VLOOKUP(A12,Feuil1!B12:D23,2)-1,VLOOKUP(A12,Feuil1!B12:D23,3),1)</xm:f>
          </x14:formula1>
          <xm:sqref>G12:Q12</xm:sqref>
        </x14:dataValidation>
        <x14:dataValidation type="list" allowBlank="1" showInputMessage="1" showErrorMessage="1">
          <x14:formula1>
            <xm:f>OFFSET(Feuil1!B2,0,VLOOKUP(A13,Feuil1!B12:D23,2)-1,VLOOKUP(A13,Feuil1!B12:D23,3),1)</xm:f>
          </x14:formula1>
          <xm:sqref>G13:Q13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pane xSplit="1" topLeftCell="F1" activePane="topRight" state="frozen"/>
      <selection pane="topRight" activeCell="G15" sqref="G3:K15"/>
    </sheetView>
  </sheetViews>
  <sheetFormatPr baseColWidth="10" defaultRowHeight="15"/>
  <cols>
    <col min="1" max="1" width="26.5703125" bestFit="1" customWidth="1"/>
    <col min="2" max="2" width="56.28515625" bestFit="1" customWidth="1"/>
    <col min="3" max="3" width="82" bestFit="1" customWidth="1"/>
    <col min="4" max="4" width="56.5703125" bestFit="1" customWidth="1"/>
    <col min="5" max="5" width="21.5703125" bestFit="1" customWidth="1"/>
    <col min="6" max="6" width="128.7109375" bestFit="1" customWidth="1"/>
    <col min="7" max="10" width="11.42578125" customWidth="1"/>
  </cols>
  <sheetData>
    <row r="1" spans="1:11" ht="15.75" thickBot="1">
      <c r="A1" s="908" t="s">
        <v>139</v>
      </c>
      <c r="B1" s="910" t="s">
        <v>75</v>
      </c>
      <c r="C1" s="911"/>
      <c r="D1" s="911"/>
      <c r="E1" s="911"/>
      <c r="F1" s="912"/>
    </row>
    <row r="2" spans="1:11" ht="15.75" thickBot="1">
      <c r="A2" s="909"/>
      <c r="B2" s="61" t="s">
        <v>116</v>
      </c>
      <c r="C2" s="62" t="s">
        <v>114</v>
      </c>
      <c r="D2" s="63" t="s">
        <v>112</v>
      </c>
      <c r="E2" s="62" t="s">
        <v>918</v>
      </c>
      <c r="F2" s="64" t="s">
        <v>919</v>
      </c>
    </row>
    <row r="3" spans="1:11" ht="15.75" thickBot="1">
      <c r="A3" s="65" t="s">
        <v>140</v>
      </c>
      <c r="B3" s="66" t="s">
        <v>920</v>
      </c>
      <c r="C3" s="67" t="s">
        <v>925</v>
      </c>
      <c r="D3" s="68" t="str">
        <f>""</f>
        <v/>
      </c>
      <c r="E3" s="67" t="s">
        <v>937</v>
      </c>
      <c r="F3" s="68" t="s">
        <v>944</v>
      </c>
      <c r="G3" s="131" t="str">
        <f>IF(OR(classe1="Barbare",Classe2="Barbare",Classe3="Barbare"),B3,"")</f>
        <v/>
      </c>
      <c r="H3" s="132" t="str">
        <f>IF(OR(classe1="Barbare",Classe2="Barbare",Classe3="Barbare"),C3,"")</f>
        <v/>
      </c>
      <c r="I3" s="132" t="str">
        <f>IF(OR(classe1="Barbare",Classe2="Barbare",Classe3="Barbare"),D3,"")</f>
        <v/>
      </c>
      <c r="J3" s="132" t="str">
        <f>IF(OR(classe1="Barbare",Classe2="Barbare",Classe3="Barbare"),E3,"")</f>
        <v/>
      </c>
      <c r="K3" s="133" t="str">
        <f>IF(OR(classe1="Barbare",Classe2="Barbare",Classe3="Barbare"),F3,"")</f>
        <v/>
      </c>
    </row>
    <row r="4" spans="1:11" ht="15.75" thickBot="1">
      <c r="A4" s="65" t="s">
        <v>141</v>
      </c>
      <c r="B4" s="66" t="s">
        <v>920</v>
      </c>
      <c r="C4" s="67" t="s">
        <v>926</v>
      </c>
      <c r="D4" s="68" t="s">
        <v>933</v>
      </c>
      <c r="E4" s="67" t="s">
        <v>938</v>
      </c>
      <c r="F4" s="68" t="s">
        <v>945</v>
      </c>
      <c r="G4" s="134" t="str">
        <f>IF(OR(classe1="Barde",Classe2="Barde",Classe3="Barde"),B4,"")</f>
        <v/>
      </c>
      <c r="H4" s="135" t="str">
        <f>IF(OR(classe1="Barde",Classe2="Barde",Classe3="Barde"),C4,"")</f>
        <v/>
      </c>
      <c r="I4" s="135" t="str">
        <f>IF(OR(classe1="Barde",Classe2="Barde",Classe3="Barde"),D4,"")</f>
        <v/>
      </c>
      <c r="J4" s="135" t="str">
        <f>IF(OR(classe1="Barde",Classe2="Barde",Classe3="Barde"),E4,"")</f>
        <v/>
      </c>
      <c r="K4" s="136" t="str">
        <f>IF(OR(classe1="Barde",Classe2="Barde",Classe3="Barde"),F4,"")</f>
        <v/>
      </c>
    </row>
    <row r="5" spans="1:11" ht="15.75" thickBot="1">
      <c r="A5" s="65" t="s">
        <v>142</v>
      </c>
      <c r="B5" s="66" t="s">
        <v>922</v>
      </c>
      <c r="C5" s="67" t="s">
        <v>927</v>
      </c>
      <c r="D5" s="68" t="str">
        <f>""</f>
        <v/>
      </c>
      <c r="E5" s="67" t="s">
        <v>939</v>
      </c>
      <c r="F5" s="68" t="s">
        <v>946</v>
      </c>
      <c r="G5" s="134" t="str">
        <f>IF(OR(classe1="Clerc",Classe2="Clerc",Classe3="Clerc"),B5,"")</f>
        <v/>
      </c>
      <c r="H5" s="135" t="str">
        <f>IF(OR(classe1="Clerc",Classe2="Clerc",Classe3="Clerc"),C5,"")</f>
        <v/>
      </c>
      <c r="I5" s="135" t="str">
        <f>IF(OR(classe1="Clerc",Classe2="Clerc",Classe3="Clerc"),D5,"")</f>
        <v/>
      </c>
      <c r="J5" s="135" t="str">
        <f>IF(OR(classe1="Clerc",Classe2="Clerc",Classe3="Clerc"),E5,"")</f>
        <v/>
      </c>
      <c r="K5" s="136" t="str">
        <f>IF(OR(classe1="Clerc",Classe2="Clerc",Classe3="Clerc"),F5,"")</f>
        <v/>
      </c>
    </row>
    <row r="6" spans="1:11" ht="15.75" thickBot="1">
      <c r="A6" s="65" t="s">
        <v>143</v>
      </c>
      <c r="B6" s="66" t="s">
        <v>924</v>
      </c>
      <c r="C6" s="67" t="s">
        <v>928</v>
      </c>
      <c r="D6" s="68" t="s">
        <v>934</v>
      </c>
      <c r="E6" s="67" t="s">
        <v>940</v>
      </c>
      <c r="F6" s="68" t="s">
        <v>947</v>
      </c>
      <c r="G6" s="134" t="str">
        <f>IF(OR(classe1="Druide",Classe2="Druide",Classe3="Druide"),B6,"")</f>
        <v/>
      </c>
      <c r="H6" s="135" t="str">
        <f>IF(OR(classe1="Druide",Classe2="Druide",Classe3="Druide"),C6,"")</f>
        <v/>
      </c>
      <c r="I6" s="135" t="str">
        <f>IF(OR(classe1="Druide",Classe2="Druide",Classe3="Druide"),D6,"")</f>
        <v/>
      </c>
      <c r="J6" s="135" t="str">
        <f>IF(OR(classe1="Druide",Classe2="Druide",Classe3="Druide"),E6,"")</f>
        <v/>
      </c>
      <c r="K6" s="136" t="str">
        <f>IF(OR(classe1="Druide",Classe2="Druide",Classe3="Druide"),F6,"")</f>
        <v/>
      </c>
    </row>
    <row r="7" spans="1:11" ht="15.75" thickBot="1">
      <c r="A7" s="65" t="s">
        <v>144</v>
      </c>
      <c r="B7" s="66" t="str">
        <f>""</f>
        <v/>
      </c>
      <c r="C7" s="67" t="s">
        <v>929</v>
      </c>
      <c r="D7" s="68" t="str">
        <f>""</f>
        <v/>
      </c>
      <c r="E7" s="67" t="s">
        <v>941</v>
      </c>
      <c r="F7" s="68" t="s">
        <v>948</v>
      </c>
      <c r="G7" s="134" t="str">
        <f>IF(OR(classe1="Ensorceleur",Classe2="Ensorceleur",Classe3="Ensorceleur"),B7,"")</f>
        <v/>
      </c>
      <c r="H7" s="135" t="str">
        <f>IF(OR(classe1="Ensorceleur",Classe2="Ensorceleur",Classe3="Ensorceleur"),C7,"")</f>
        <v/>
      </c>
      <c r="I7" s="135" t="str">
        <f>IF(OR(classe1="Ensorceleur",Classe2="Ensorceleur",Classe3="Ensorceleur"),D7,"")</f>
        <v/>
      </c>
      <c r="J7" s="135" t="str">
        <f>IF(OR(classe1="Ensorceleur",Classe2="Ensorceleur",Classe3="Ensorceleur"),E7,"")</f>
        <v/>
      </c>
      <c r="K7" s="136" t="str">
        <f>IF(OR(classe1="Ensorceleur",Classe2="Ensorceleur",Classe3="Ensorceleur"),F7,"")</f>
        <v/>
      </c>
    </row>
    <row r="8" spans="1:11" ht="15.75" thickBot="1">
      <c r="A8" s="65" t="s">
        <v>145</v>
      </c>
      <c r="B8" s="66" t="s">
        <v>923</v>
      </c>
      <c r="C8" s="67" t="s">
        <v>925</v>
      </c>
      <c r="D8" s="68" t="str">
        <f>""</f>
        <v/>
      </c>
      <c r="E8" s="67" t="s">
        <v>937</v>
      </c>
      <c r="F8" s="68" t="s">
        <v>949</v>
      </c>
      <c r="G8" s="134" t="str">
        <f>IF(OR(classe1="Guerrier",Classe2="Guerrier",Classe3="Guerrier"),B8,"")</f>
        <v/>
      </c>
      <c r="H8" s="135" t="str">
        <f>IF(OR(classe1="Guerrier",Classe2="Guerrier",Classe3="Guerrier"),C8,"")</f>
        <v/>
      </c>
      <c r="I8" s="135" t="str">
        <f>IF(OR(classe1="Guerrier",Classe2="Guerrier",Classe3="Guerrier"),D8,"")</f>
        <v/>
      </c>
      <c r="J8" s="135" t="str">
        <f>IF(OR(classe1="Guerrier",Classe2="Guerrier",Classe3="Guerrier"),E8,"")</f>
        <v/>
      </c>
      <c r="K8" s="136" t="str">
        <f>IF(OR(classe1="Guerrier",Classe2="Guerrier",Classe3="Guerrier"),F8,"")</f>
        <v/>
      </c>
    </row>
    <row r="9" spans="1:11" ht="15.75" thickBot="1">
      <c r="A9" s="65" t="s">
        <v>146</v>
      </c>
      <c r="B9" s="66" t="str">
        <f>""</f>
        <v/>
      </c>
      <c r="C9" s="67" t="s">
        <v>930</v>
      </c>
      <c r="D9" s="68" t="str">
        <f>""</f>
        <v/>
      </c>
      <c r="E9" s="67" t="s">
        <v>940</v>
      </c>
      <c r="F9" s="68" t="s">
        <v>950</v>
      </c>
      <c r="G9" s="134" t="str">
        <f>IF(OR(classe1="Magicien",Classe2="Magicien",Classe3="Magicien"),B9,"")</f>
        <v/>
      </c>
      <c r="H9" s="135" t="str">
        <f>IF(OR(classe1="Magicien",Classe2="Magicien",Classe3="Magicien"),C9,"")</f>
        <v/>
      </c>
      <c r="I9" s="135" t="str">
        <f>IF(OR(classe1="Magicien",Classe2="Magicien",Classe3="Magicien"),D9,"")</f>
        <v/>
      </c>
      <c r="J9" s="135" t="str">
        <f>IF(OR(classe1="Magicien",Classe2="Magicien",Classe3="Magicien"),E9,"")</f>
        <v/>
      </c>
      <c r="K9" s="136" t="str">
        <f>IF(OR(classe1="Magicien",Classe2="Magicien",Classe3="Magicien"),F9,"")</f>
        <v/>
      </c>
    </row>
    <row r="10" spans="1:11" ht="15.75" thickBot="1">
      <c r="A10" s="65" t="s">
        <v>147</v>
      </c>
      <c r="B10" s="66" t="str">
        <f>""</f>
        <v/>
      </c>
      <c r="C10" s="67" t="s">
        <v>931</v>
      </c>
      <c r="D10" s="68" t="s">
        <v>935</v>
      </c>
      <c r="E10" s="67" t="s">
        <v>942</v>
      </c>
      <c r="F10" s="68" t="s">
        <v>951</v>
      </c>
      <c r="G10" s="134" t="str">
        <f>IF(OR(classe1="Moine",Classe2="Moine",Classe3="Moine"),B10,"")</f>
        <v/>
      </c>
      <c r="H10" s="135" t="str">
        <f>IF(OR(classe1="Moine",Classe2="Moine",Classe3="Moine"),C10,"")</f>
        <v/>
      </c>
      <c r="I10" s="135" t="str">
        <f>IF(OR(classe1="Moine",Classe2="Moine",Classe3="Moine"),D10,"")</f>
        <v/>
      </c>
      <c r="J10" s="135" t="str">
        <f>IF(OR(classe1="Moine",Classe2="Moine",Classe3="Moine"),E10,"")</f>
        <v/>
      </c>
      <c r="K10" s="136" t="str">
        <f>IF(OR(classe1="Moine",Classe2="Moine",Classe3="Moine"),F10,"")</f>
        <v/>
      </c>
    </row>
    <row r="11" spans="1:11" ht="15.75" thickBot="1">
      <c r="A11" s="65" t="s">
        <v>148</v>
      </c>
      <c r="B11" s="66" t="s">
        <v>923</v>
      </c>
      <c r="C11" s="67" t="s">
        <v>925</v>
      </c>
      <c r="D11" s="68" t="str">
        <f>""</f>
        <v/>
      </c>
      <c r="E11" s="69" t="s">
        <v>939</v>
      </c>
      <c r="F11" s="68" t="s">
        <v>952</v>
      </c>
      <c r="G11" s="134" t="str">
        <f>IF(OR(classe1="Paladin",Classe2="Paladin",Classe3="Paladin"),B11,"")</f>
        <v/>
      </c>
      <c r="H11" s="135" t="str">
        <f>IF(OR(classe1="Paladin",Classe2="Paladin",Classe3="Paladin"),C11,"")</f>
        <v/>
      </c>
      <c r="I11" s="135" t="str">
        <f>IF(OR(classe1="Paladin",Classe2="Paladin",Classe3="Paladin"),D11,"")</f>
        <v/>
      </c>
      <c r="J11" s="135" t="str">
        <f>IF(OR(classe1="Paladin",Classe2="Paladin",Classe3="Paladin"),E11,"")</f>
        <v/>
      </c>
      <c r="K11" s="136" t="str">
        <f>IF(OR(classe1="Paladin",Classe2="Paladin",Classe3="Paladin"),F11,"")</f>
        <v/>
      </c>
    </row>
    <row r="12" spans="1:11" ht="15.75" thickBot="1">
      <c r="A12" s="65" t="s">
        <v>149</v>
      </c>
      <c r="B12" s="66" t="s">
        <v>922</v>
      </c>
      <c r="C12" s="67" t="s">
        <v>925</v>
      </c>
      <c r="D12" s="68" t="str">
        <f>""</f>
        <v/>
      </c>
      <c r="E12" s="67" t="s">
        <v>942</v>
      </c>
      <c r="F12" s="68" t="s">
        <v>953</v>
      </c>
      <c r="G12" s="134" t="str">
        <f>IF(OR(classe1="Rôdeur",Classe2="Rôdeur",Classe3="Rôdeur"),B12,"")</f>
        <v/>
      </c>
      <c r="H12" s="135" t="str">
        <f>IF(OR(classe1="Rôdeur",Classe2="Rôdeur",Classe3="Rôdeur"),C12,"")</f>
        <v/>
      </c>
      <c r="I12" s="135" t="str">
        <f>IF(OR(classe1="Rôdeur",Classe2="Rôdeur",Classe3="Rôdeur"),D12,"")</f>
        <v/>
      </c>
      <c r="J12" s="135" t="str">
        <f>IF(OR(classe1="Rôdeur",Classe2="Rôdeur",Classe3="Rôdeur"),E12,"")</f>
        <v/>
      </c>
      <c r="K12" s="136" t="str">
        <f>IF(OR(classe1="Rôdeur",Classe2="Rôdeur",Classe3="Rôdeur"),F12,"")</f>
        <v/>
      </c>
    </row>
    <row r="13" spans="1:11" ht="15.75" thickBot="1">
      <c r="A13" s="65" t="s">
        <v>150</v>
      </c>
      <c r="B13" s="66" t="s">
        <v>921</v>
      </c>
      <c r="C13" s="67" t="s">
        <v>932</v>
      </c>
      <c r="D13" s="68" t="s">
        <v>936</v>
      </c>
      <c r="E13" s="67" t="s">
        <v>943</v>
      </c>
      <c r="F13" s="68" t="s">
        <v>954</v>
      </c>
      <c r="G13" s="134" t="str">
        <f>IF(OR(classe1="Roublard",Classe2="Roublard",Classe3="Roublard"),B13,"")</f>
        <v/>
      </c>
      <c r="H13" s="135" t="str">
        <f>IF(OR(classe1="Roublard",Classe2="Roublard",Classe3="Roublard"),C13,"")</f>
        <v/>
      </c>
      <c r="I13" s="135" t="str">
        <f>IF(OR(classe1="Roublard",Classe2="Roublard",Classe3="Roublard"),D13,"")</f>
        <v/>
      </c>
      <c r="J13" s="135" t="str">
        <f>IF(OR(classe1="Roublard",Classe2="Roublard",Classe3="Roublard"),E13,"")</f>
        <v/>
      </c>
      <c r="K13" s="136" t="str">
        <f>IF(OR(classe1="Roublard",Classe2="Roublard",Classe3="Roublard"),F13,"")</f>
        <v/>
      </c>
    </row>
    <row r="14" spans="1:11" ht="15.75" thickBot="1">
      <c r="A14" s="65" t="s">
        <v>151</v>
      </c>
      <c r="B14" s="66" t="s">
        <v>921</v>
      </c>
      <c r="C14" s="67" t="s">
        <v>927</v>
      </c>
      <c r="D14" s="68" t="str">
        <f>""</f>
        <v/>
      </c>
      <c r="E14" s="67" t="s">
        <v>939</v>
      </c>
      <c r="F14" s="68" t="s">
        <v>955</v>
      </c>
      <c r="G14" s="137" t="str">
        <f>IF(OR(classe1="Sorcier",Classe2="Sorcier",Classe3="Sorcier"),B14,"")</f>
        <v/>
      </c>
      <c r="H14" s="138" t="str">
        <f>IF(OR(classe1="Sorcier",Classe2="Sorcier",Classe3="Sorcier"),C14,"")</f>
        <v/>
      </c>
      <c r="I14" s="138" t="str">
        <f>IF(OR(classe1="Sorcier",Classe2="Sorcier",Classe3="Sorcier"),D14,"")</f>
        <v/>
      </c>
      <c r="J14" s="138" t="str">
        <f>IF(OR(classe1="Sorcier",Classe2="Sorcier",Classe3="Sorcier"),E14,"")</f>
        <v/>
      </c>
      <c r="K14" s="139" t="str">
        <f>IF(OR(classe1="Sorcier",Classe2="Sorcier",Classe3="Sorcier"),F14,"")</f>
        <v/>
      </c>
    </row>
    <row r="15" spans="1:11" ht="15.75" thickBot="1">
      <c r="G15" s="140" t="str">
        <f>G3&amp;" "&amp;G4&amp;" "&amp;G5&amp;" "&amp;G6&amp;" "&amp;G7&amp;" "&amp;G8&amp;" "&amp;G9&amp;" "&amp;G10&amp;" "&amp;G11&amp;" "&amp;G12&amp;" "&amp;G13&amp;" "&amp;G14</f>
        <v xml:space="preserve">           </v>
      </c>
      <c r="H15" s="141" t="str">
        <f t="shared" ref="H15:K15" si="0">H3&amp;" "&amp;H4&amp;" "&amp;H5&amp;" "&amp;H6&amp;" "&amp;H7&amp;" "&amp;H8&amp;" "&amp;H9&amp;" "&amp;H10&amp;" "&amp;H11&amp;" "&amp;H12&amp;" "&amp;H13&amp;" "&amp;H14</f>
        <v xml:space="preserve">           </v>
      </c>
      <c r="I15" s="141" t="str">
        <f t="shared" si="0"/>
        <v xml:space="preserve">           </v>
      </c>
      <c r="J15" s="141" t="str">
        <f t="shared" si="0"/>
        <v xml:space="preserve">           </v>
      </c>
      <c r="K15" s="142" t="str">
        <f t="shared" si="0"/>
        <v xml:space="preserve">           </v>
      </c>
    </row>
  </sheetData>
  <mergeCells count="2">
    <mergeCell ref="A1:A2"/>
    <mergeCell ref="B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B87"/>
  <sheetViews>
    <sheetView topLeftCell="Q4" workbookViewId="0">
      <selection activeCell="Q33" sqref="Q33"/>
    </sheetView>
  </sheetViews>
  <sheetFormatPr baseColWidth="10" defaultColWidth="11.42578125" defaultRowHeight="15"/>
  <cols>
    <col min="1" max="1" width="5.7109375" style="13" customWidth="1"/>
    <col min="2" max="2" width="7.7109375" style="13" customWidth="1"/>
    <col min="3" max="3" width="5.7109375" style="13" customWidth="1"/>
    <col min="4" max="4" width="26.5703125" style="13" bestFit="1" customWidth="1"/>
    <col min="5" max="8" width="5.7109375" style="13" customWidth="1"/>
    <col min="9" max="9" width="9.5703125" style="13" customWidth="1"/>
    <col min="10" max="10" width="5.7109375" style="13" customWidth="1"/>
    <col min="11" max="12" width="22.42578125" style="13" customWidth="1"/>
    <col min="13" max="13" width="28.7109375" style="13" bestFit="1" customWidth="1"/>
    <col min="14" max="14" width="5.7109375" style="13" customWidth="1"/>
    <col min="15" max="15" width="22.7109375" style="13" bestFit="1" customWidth="1"/>
    <col min="16" max="16" width="152.85546875" style="13" bestFit="1" customWidth="1"/>
    <col min="17" max="17" width="27.85546875" style="13" bestFit="1" customWidth="1"/>
    <col min="18" max="18" width="4.7109375" style="13" bestFit="1" customWidth="1"/>
    <col min="19" max="19" width="5.7109375" style="13" customWidth="1"/>
    <col min="20" max="20" width="20.42578125" style="13" bestFit="1" customWidth="1"/>
    <col min="21" max="22" width="11.42578125" style="13"/>
    <col min="23" max="23" width="19.7109375" style="13" bestFit="1" customWidth="1"/>
    <col min="24" max="24" width="97.28515625" style="13" bestFit="1" customWidth="1"/>
    <col min="25" max="25" width="27.7109375" style="13" bestFit="1" customWidth="1"/>
    <col min="26" max="26" width="157" style="13" bestFit="1" customWidth="1"/>
    <col min="27" max="27" width="29.7109375" style="13" bestFit="1" customWidth="1"/>
    <col min="28" max="28" width="100.85546875" style="13" bestFit="1" customWidth="1"/>
    <col min="29" max="16384" width="11.42578125" style="13"/>
  </cols>
  <sheetData>
    <row r="1" spans="1:28" ht="15.75" thickBot="1">
      <c r="A1" s="8" t="s">
        <v>139</v>
      </c>
      <c r="B1" s="9" t="s">
        <v>140</v>
      </c>
      <c r="C1" s="9" t="s">
        <v>141</v>
      </c>
      <c r="D1" s="9" t="s">
        <v>142</v>
      </c>
      <c r="E1" s="9" t="s">
        <v>143</v>
      </c>
      <c r="F1" s="9" t="s">
        <v>144</v>
      </c>
      <c r="G1" s="9" t="s">
        <v>145</v>
      </c>
      <c r="H1" s="9" t="s">
        <v>146</v>
      </c>
      <c r="I1" s="9" t="s">
        <v>147</v>
      </c>
      <c r="J1" s="9" t="s">
        <v>148</v>
      </c>
      <c r="K1" s="9" t="s">
        <v>149</v>
      </c>
      <c r="L1" s="9" t="s">
        <v>150</v>
      </c>
      <c r="M1" s="10" t="s">
        <v>151</v>
      </c>
      <c r="N1" s="11" t="s">
        <v>166</v>
      </c>
      <c r="O1" s="12" t="s">
        <v>152</v>
      </c>
    </row>
    <row r="2" spans="1:28">
      <c r="A2" s="913" t="s">
        <v>127</v>
      </c>
      <c r="B2" s="14" t="s">
        <v>193</v>
      </c>
      <c r="C2" s="15" t="s">
        <v>194</v>
      </c>
      <c r="D2" s="15" t="s">
        <v>196</v>
      </c>
      <c r="E2" s="16" t="s">
        <v>203</v>
      </c>
      <c r="F2" s="16" t="s">
        <v>205</v>
      </c>
      <c r="G2" s="16" t="s">
        <v>207</v>
      </c>
      <c r="H2" s="16" t="s">
        <v>210</v>
      </c>
      <c r="I2" s="16" t="s">
        <v>218</v>
      </c>
      <c r="J2" s="16" t="s">
        <v>221</v>
      </c>
      <c r="K2" s="16" t="s">
        <v>224</v>
      </c>
      <c r="L2" s="16" t="s">
        <v>226</v>
      </c>
      <c r="M2" s="31" t="s">
        <v>230</v>
      </c>
      <c r="N2" s="25" t="s">
        <v>183</v>
      </c>
      <c r="O2" s="17" t="s">
        <v>161</v>
      </c>
      <c r="P2" s="35" t="s">
        <v>373</v>
      </c>
      <c r="Q2" s="13" t="s">
        <v>273</v>
      </c>
      <c r="R2" s="13" t="s">
        <v>274</v>
      </c>
      <c r="S2" s="13" t="s">
        <v>275</v>
      </c>
      <c r="T2" s="13" t="s">
        <v>269</v>
      </c>
      <c r="U2" s="13" t="s">
        <v>270</v>
      </c>
      <c r="V2" s="13" t="s">
        <v>271</v>
      </c>
    </row>
    <row r="3" spans="1:28">
      <c r="A3" s="914"/>
      <c r="B3" s="18" t="s">
        <v>192</v>
      </c>
      <c r="C3" s="19" t="s">
        <v>195</v>
      </c>
      <c r="D3" s="19" t="s">
        <v>197</v>
      </c>
      <c r="E3" s="19" t="s">
        <v>204</v>
      </c>
      <c r="F3" s="19" t="s">
        <v>206</v>
      </c>
      <c r="G3" s="19" t="s">
        <v>208</v>
      </c>
      <c r="H3" s="19" t="s">
        <v>211</v>
      </c>
      <c r="I3" s="19" t="s">
        <v>219</v>
      </c>
      <c r="J3" s="19" t="s">
        <v>222</v>
      </c>
      <c r="K3" s="19" t="s">
        <v>225</v>
      </c>
      <c r="L3" s="19" t="s">
        <v>227</v>
      </c>
      <c r="M3" s="32" t="s">
        <v>231</v>
      </c>
      <c r="N3" s="24" t="s">
        <v>187</v>
      </c>
      <c r="O3" s="17" t="s">
        <v>156</v>
      </c>
      <c r="P3" s="35" t="s">
        <v>374</v>
      </c>
      <c r="Q3" s="13" t="s">
        <v>276</v>
      </c>
      <c r="R3" s="13" t="s">
        <v>277</v>
      </c>
      <c r="S3" s="13" t="s">
        <v>278</v>
      </c>
    </row>
    <row r="4" spans="1:28">
      <c r="A4" s="914"/>
      <c r="B4" s="18"/>
      <c r="C4" s="19"/>
      <c r="D4" s="20" t="s">
        <v>198</v>
      </c>
      <c r="E4" s="19"/>
      <c r="F4" s="19"/>
      <c r="G4" s="19" t="s">
        <v>209</v>
      </c>
      <c r="H4" s="19" t="s">
        <v>212</v>
      </c>
      <c r="I4" s="19" t="s">
        <v>220</v>
      </c>
      <c r="J4" s="19" t="s">
        <v>223</v>
      </c>
      <c r="K4" s="19"/>
      <c r="L4" s="19" t="s">
        <v>228</v>
      </c>
      <c r="M4" s="32" t="s">
        <v>232</v>
      </c>
      <c r="N4" s="24" t="s">
        <v>184</v>
      </c>
      <c r="O4" s="17" t="s">
        <v>157</v>
      </c>
      <c r="P4" s="35" t="s">
        <v>375</v>
      </c>
      <c r="Q4" s="13" t="s">
        <v>276</v>
      </c>
      <c r="R4" s="13" t="s">
        <v>277</v>
      </c>
      <c r="S4" s="13" t="s">
        <v>278</v>
      </c>
      <c r="W4" s="13" t="s">
        <v>279</v>
      </c>
      <c r="X4" s="13" t="s">
        <v>280</v>
      </c>
      <c r="Y4" s="13" t="s">
        <v>281</v>
      </c>
      <c r="Z4" s="13" t="s">
        <v>282</v>
      </c>
    </row>
    <row r="5" spans="1:28">
      <c r="A5" s="914"/>
      <c r="B5" s="18"/>
      <c r="C5" s="19"/>
      <c r="D5" s="19" t="s">
        <v>199</v>
      </c>
      <c r="E5" s="19"/>
      <c r="F5" s="19"/>
      <c r="G5" s="19"/>
      <c r="H5" s="19" t="s">
        <v>213</v>
      </c>
      <c r="I5" s="19"/>
      <c r="J5" s="19"/>
      <c r="K5" s="19"/>
      <c r="L5" s="19" t="s">
        <v>229</v>
      </c>
      <c r="M5" s="32"/>
      <c r="N5" s="24" t="s">
        <v>185</v>
      </c>
      <c r="O5" s="17" t="s">
        <v>158</v>
      </c>
      <c r="P5" s="35" t="s">
        <v>376</v>
      </c>
    </row>
    <row r="6" spans="1:28">
      <c r="A6" s="914"/>
      <c r="B6" s="18"/>
      <c r="C6" s="19"/>
      <c r="D6" s="19" t="s">
        <v>200</v>
      </c>
      <c r="E6" s="19"/>
      <c r="F6" s="19"/>
      <c r="G6" s="19"/>
      <c r="H6" s="19" t="s">
        <v>214</v>
      </c>
      <c r="I6" s="19"/>
      <c r="J6" s="19"/>
      <c r="K6" s="19"/>
      <c r="L6" s="19"/>
      <c r="M6" s="32"/>
      <c r="N6" s="24" t="s">
        <v>165</v>
      </c>
      <c r="O6" s="17" t="s">
        <v>153</v>
      </c>
      <c r="P6" s="35" t="s">
        <v>377</v>
      </c>
      <c r="Q6" s="13" t="s">
        <v>276</v>
      </c>
      <c r="R6" s="13" t="s">
        <v>277</v>
      </c>
      <c r="S6" s="13" t="s">
        <v>278</v>
      </c>
      <c r="W6" s="13" t="s">
        <v>283</v>
      </c>
      <c r="X6" s="13" t="s">
        <v>284</v>
      </c>
      <c r="Y6" s="13" t="s">
        <v>285</v>
      </c>
      <c r="Z6" s="13" t="s">
        <v>286</v>
      </c>
    </row>
    <row r="7" spans="1:28">
      <c r="A7" s="914"/>
      <c r="B7" s="18"/>
      <c r="C7" s="19"/>
      <c r="D7" s="19" t="s">
        <v>201</v>
      </c>
      <c r="E7" s="19"/>
      <c r="F7" s="19"/>
      <c r="G7" s="19"/>
      <c r="H7" s="19" t="s">
        <v>215</v>
      </c>
      <c r="I7" s="19"/>
      <c r="J7" s="19"/>
      <c r="K7" s="19"/>
      <c r="L7" s="19"/>
      <c r="M7" s="32"/>
      <c r="N7" s="24" t="s">
        <v>188</v>
      </c>
      <c r="O7" s="17" t="s">
        <v>171</v>
      </c>
      <c r="P7" s="35" t="s">
        <v>378</v>
      </c>
      <c r="Q7" s="13" t="s">
        <v>276</v>
      </c>
      <c r="R7" s="13" t="s">
        <v>277</v>
      </c>
      <c r="S7" s="13" t="s">
        <v>278</v>
      </c>
      <c r="W7" s="13" t="s">
        <v>283</v>
      </c>
      <c r="X7" s="13" t="s">
        <v>284</v>
      </c>
      <c r="Y7" s="13" t="s">
        <v>285</v>
      </c>
      <c r="Z7" s="13" t="s">
        <v>286</v>
      </c>
      <c r="AA7" s="13" t="s">
        <v>287</v>
      </c>
      <c r="AB7" s="13" t="s">
        <v>288</v>
      </c>
    </row>
    <row r="8" spans="1:28">
      <c r="A8" s="914"/>
      <c r="B8" s="18"/>
      <c r="C8" s="19"/>
      <c r="D8" s="19" t="s">
        <v>202</v>
      </c>
      <c r="E8" s="19"/>
      <c r="F8" s="19"/>
      <c r="G8" s="19"/>
      <c r="H8" s="19" t="s">
        <v>216</v>
      </c>
      <c r="I8" s="19"/>
      <c r="J8" s="19"/>
      <c r="K8" s="19"/>
      <c r="L8" s="19"/>
      <c r="M8" s="32"/>
      <c r="N8" s="34" t="s">
        <v>186</v>
      </c>
      <c r="O8" s="17" t="s">
        <v>172</v>
      </c>
      <c r="P8" s="35" t="s">
        <v>379</v>
      </c>
      <c r="Q8" s="13" t="s">
        <v>289</v>
      </c>
      <c r="R8" s="13" t="s">
        <v>290</v>
      </c>
      <c r="S8" s="13" t="s">
        <v>278</v>
      </c>
      <c r="T8" s="13" t="s">
        <v>293</v>
      </c>
      <c r="W8" s="13" t="s">
        <v>283</v>
      </c>
      <c r="X8" s="13" t="s">
        <v>284</v>
      </c>
      <c r="Y8" s="13" t="s">
        <v>285</v>
      </c>
      <c r="Z8" s="13" t="s">
        <v>286</v>
      </c>
      <c r="AA8" s="13" t="s">
        <v>291</v>
      </c>
      <c r="AB8" s="13" t="s">
        <v>292</v>
      </c>
    </row>
    <row r="9" spans="1:28" ht="15.75" thickBot="1">
      <c r="A9" s="915"/>
      <c r="B9" s="21"/>
      <c r="C9" s="22"/>
      <c r="D9" s="22"/>
      <c r="E9" s="22"/>
      <c r="F9" s="22"/>
      <c r="G9" s="22"/>
      <c r="H9" s="22" t="s">
        <v>217</v>
      </c>
      <c r="I9" s="22"/>
      <c r="J9" s="22"/>
      <c r="K9" s="22"/>
      <c r="L9" s="22"/>
      <c r="M9" s="33"/>
      <c r="N9" s="24" t="s">
        <v>189</v>
      </c>
      <c r="O9" s="17" t="s">
        <v>162</v>
      </c>
      <c r="P9" s="35" t="s">
        <v>380</v>
      </c>
    </row>
    <row r="10" spans="1:28" ht="15.75" thickBot="1">
      <c r="N10" s="26" t="s">
        <v>190</v>
      </c>
      <c r="O10" s="17" t="s">
        <v>180</v>
      </c>
      <c r="P10" s="35" t="s">
        <v>381</v>
      </c>
      <c r="Q10" s="13" t="s">
        <v>298</v>
      </c>
      <c r="S10" s="13" t="s">
        <v>299</v>
      </c>
      <c r="Y10" s="13" t="s">
        <v>300</v>
      </c>
      <c r="Z10" s="13" t="s">
        <v>297</v>
      </c>
    </row>
    <row r="11" spans="1:28" ht="15.75" thickBot="1">
      <c r="B11" s="916" t="s">
        <v>233</v>
      </c>
      <c r="C11" s="917"/>
      <c r="D11" s="918"/>
      <c r="E11" s="23"/>
      <c r="F11" s="12" t="s">
        <v>126</v>
      </c>
      <c r="G11" s="23"/>
      <c r="H11" s="23"/>
      <c r="I11" s="12" t="s">
        <v>402</v>
      </c>
      <c r="J11" s="43" t="s">
        <v>124</v>
      </c>
      <c r="K11" s="44" t="s">
        <v>123</v>
      </c>
      <c r="L11" s="44" t="s">
        <v>122</v>
      </c>
      <c r="M11" s="45" t="s">
        <v>121</v>
      </c>
      <c r="O11" s="24" t="s">
        <v>179</v>
      </c>
      <c r="P11" s="35" t="s">
        <v>382</v>
      </c>
      <c r="W11" s="13" t="s">
        <v>294</v>
      </c>
      <c r="X11" s="13" t="s">
        <v>295</v>
      </c>
      <c r="Y11" s="13" t="s">
        <v>296</v>
      </c>
      <c r="Z11" s="13" t="s">
        <v>297</v>
      </c>
    </row>
    <row r="12" spans="1:28">
      <c r="B12" s="28" t="s">
        <v>234</v>
      </c>
      <c r="C12" s="25">
        <v>1</v>
      </c>
      <c r="D12" s="25">
        <v>2</v>
      </c>
      <c r="E12" s="23"/>
      <c r="F12" s="24">
        <v>1</v>
      </c>
      <c r="G12" s="23"/>
      <c r="I12" s="49" t="s">
        <v>398</v>
      </c>
      <c r="J12" s="49" t="str">
        <f>IF(OR('Feuille de personnage'!B11="Ensorceleur",'Feuille de personnage'!B11="Magicien"),1,"")</f>
        <v/>
      </c>
      <c r="K12" s="40" t="str">
        <f>IF(OR('Feuille de personnage'!B11="Moine",'Feuille de personnage'!B11="Barde",'Feuille de personnage'!B11="Clerc",'Feuille de personnage'!B11="Druide",'Feuille de personnage'!B11="Roublard",'Feuille de personnage'!B11="Sorcier"),1,"")</f>
        <v/>
      </c>
      <c r="L12" s="40" t="str">
        <f>IF(OR('Feuille de personnage'!B11="Guerrier",'Feuille de personnage'!B11="Paladin",'Feuille de personnage'!B11="Rôdeur"),1,"")</f>
        <v/>
      </c>
      <c r="M12" s="46" t="str">
        <f>IF('Feuille de personnage'!B11="Barbare",1,"")</f>
        <v/>
      </c>
      <c r="O12" s="24" t="s">
        <v>182</v>
      </c>
      <c r="P12" s="35" t="s">
        <v>383</v>
      </c>
      <c r="Q12" s="13" t="s">
        <v>307</v>
      </c>
      <c r="R12" s="13" t="s">
        <v>308</v>
      </c>
      <c r="T12" s="13" t="s">
        <v>305</v>
      </c>
      <c r="W12" s="13" t="s">
        <v>306</v>
      </c>
      <c r="Y12" s="13" t="s">
        <v>304</v>
      </c>
    </row>
    <row r="13" spans="1:28">
      <c r="B13" s="29" t="s">
        <v>141</v>
      </c>
      <c r="C13" s="24">
        <v>2</v>
      </c>
      <c r="D13" s="24">
        <v>2</v>
      </c>
      <c r="E13" s="23"/>
      <c r="F13" s="24">
        <v>2</v>
      </c>
      <c r="G13" s="23"/>
      <c r="I13" s="50" t="s">
        <v>399</v>
      </c>
      <c r="J13" s="50" t="str">
        <f>IF(OR('Feuille de personnage'!B12="Ensorceleur",'Feuille de personnage'!B12="Magicien"),2,"")</f>
        <v/>
      </c>
      <c r="K13" s="41" t="str">
        <f>IF(OR('Feuille de personnage'!B12="Moine",'Feuille de personnage'!B12="Barde",'Feuille de personnage'!B12="Clerc",'Feuille de personnage'!B12="Druide",'Feuille de personnage'!B12="Roublard",'Feuille de personnage'!B12="Sorcier"),2,"")</f>
        <v/>
      </c>
      <c r="L13" s="41" t="str">
        <f>IF(OR('Feuille de personnage'!B12="Guerrier",'Feuille de personnage'!B12="Paladin",'Feuille de personnage'!B12="Rôdeur"),2,"")</f>
        <v/>
      </c>
      <c r="M13" s="47" t="str">
        <f>IF('Feuille de personnage'!B12="Barbare",2,"")</f>
        <v/>
      </c>
      <c r="O13" s="24" t="s">
        <v>181</v>
      </c>
      <c r="P13" s="35" t="s">
        <v>384</v>
      </c>
      <c r="Q13" s="13" t="s">
        <v>276</v>
      </c>
      <c r="R13" s="13" t="s">
        <v>277</v>
      </c>
      <c r="S13" s="13" t="s">
        <v>301</v>
      </c>
      <c r="T13" s="13" t="s">
        <v>303</v>
      </c>
      <c r="W13" s="13" t="s">
        <v>302</v>
      </c>
    </row>
    <row r="14" spans="1:28" ht="15.75" thickBot="1">
      <c r="B14" s="29" t="s">
        <v>142</v>
      </c>
      <c r="C14" s="24">
        <v>3</v>
      </c>
      <c r="D14" s="24">
        <v>7</v>
      </c>
      <c r="E14" s="23"/>
      <c r="F14" s="24">
        <v>3</v>
      </c>
      <c r="G14" s="23"/>
      <c r="I14" s="51" t="s">
        <v>400</v>
      </c>
      <c r="J14" s="51" t="str">
        <f>IF(OR('Feuille de personnage'!B13="Ensorceleur",'Feuille de personnage'!B13="Magicien"),3,"")</f>
        <v/>
      </c>
      <c r="K14" s="42" t="str">
        <f>IF(OR('Feuille de personnage'!B13="Moine",'Feuille de personnage'!B13="Barde",'Feuille de personnage'!B13="Clerc",'Feuille de personnage'!B13="Druide",'Feuille de personnage'!B13="Roublard",'Feuille de personnage'!B13="Sorcier"),3,"")</f>
        <v/>
      </c>
      <c r="L14" s="42" t="str">
        <f>IF(OR('Feuille de personnage'!B13="Guerrier",'Feuille de personnage'!B13="Paladin",'Feuille de personnage'!B13="Rôdeur"),3,"")</f>
        <v/>
      </c>
      <c r="M14" s="48" t="str">
        <f>IF('Feuille de personnage'!B13="Barbare",3,"")</f>
        <v/>
      </c>
      <c r="O14" s="24" t="s">
        <v>159</v>
      </c>
      <c r="P14" s="35" t="s">
        <v>385</v>
      </c>
      <c r="Q14" s="13" t="s">
        <v>276</v>
      </c>
      <c r="R14" s="13" t="s">
        <v>277</v>
      </c>
      <c r="S14" s="13" t="s">
        <v>278</v>
      </c>
      <c r="W14" s="13" t="s">
        <v>309</v>
      </c>
      <c r="X14" s="13" t="s">
        <v>310</v>
      </c>
    </row>
    <row r="15" spans="1:28" ht="15.75" thickBot="1">
      <c r="A15" s="27" t="s">
        <v>168</v>
      </c>
      <c r="B15" s="29" t="s">
        <v>143</v>
      </c>
      <c r="C15" s="24">
        <v>4</v>
      </c>
      <c r="D15" s="24">
        <v>2</v>
      </c>
      <c r="E15" s="23"/>
      <c r="F15" s="24">
        <v>4</v>
      </c>
      <c r="G15" s="23"/>
      <c r="H15" s="23"/>
      <c r="I15" s="12" t="s">
        <v>401</v>
      </c>
      <c r="J15" s="23"/>
      <c r="K15" s="23"/>
      <c r="L15" s="23"/>
      <c r="M15" s="23"/>
      <c r="O15" s="24" t="s">
        <v>177</v>
      </c>
      <c r="P15" s="35" t="s">
        <v>386</v>
      </c>
      <c r="Q15" s="13" t="s">
        <v>276</v>
      </c>
      <c r="R15" s="13" t="s">
        <v>277</v>
      </c>
      <c r="S15" s="13" t="s">
        <v>278</v>
      </c>
      <c r="T15" s="13" t="s">
        <v>311</v>
      </c>
      <c r="W15" s="13" t="s">
        <v>309</v>
      </c>
      <c r="X15" s="13" t="s">
        <v>310</v>
      </c>
      <c r="Y15" s="13" t="s">
        <v>312</v>
      </c>
      <c r="Z15" s="13" t="s">
        <v>313</v>
      </c>
    </row>
    <row r="16" spans="1:28">
      <c r="A16" s="28">
        <v>8</v>
      </c>
      <c r="B16" s="29" t="s">
        <v>144</v>
      </c>
      <c r="C16" s="24">
        <v>5</v>
      </c>
      <c r="D16" s="24">
        <v>2</v>
      </c>
      <c r="E16" s="23"/>
      <c r="F16" s="24">
        <v>5</v>
      </c>
      <c r="G16" s="23"/>
      <c r="H16" s="23"/>
      <c r="I16" s="49" t="s">
        <v>398</v>
      </c>
      <c r="J16" s="49" t="str">
        <f>IF(J12=1,'Feuille de personnage'!A31*'Feuille de personnage'!R11+('Feuille de personnage'!R11-1)*4+6,"")</f>
        <v/>
      </c>
      <c r="K16" s="40" t="str">
        <f>IF(K12=1,'Feuille de personnage'!A31*'Feuille de personnage'!R11+('Feuille de personnage'!R11-1)*5+8,"")</f>
        <v/>
      </c>
      <c r="L16" s="70" t="str">
        <f>IF(L12=1,'Feuille de personnage'!A31*'Feuille de personnage'!R11+('Feuille de personnage'!R11-1)*6+10,"")</f>
        <v/>
      </c>
      <c r="M16" s="40" t="str">
        <f>IF(M12=1,'Feuille de personnage'!A31*'Feuille de personnage'!R11+('Feuille de personnage'!R11-1)*7+12,"")</f>
        <v/>
      </c>
      <c r="O16" s="24" t="s">
        <v>163</v>
      </c>
      <c r="P16" s="35" t="s">
        <v>386</v>
      </c>
      <c r="Q16" s="13" t="s">
        <v>289</v>
      </c>
      <c r="R16" s="13" t="s">
        <v>290</v>
      </c>
      <c r="S16" s="13" t="s">
        <v>278</v>
      </c>
      <c r="W16" s="13" t="s">
        <v>309</v>
      </c>
      <c r="X16" s="13" t="s">
        <v>310</v>
      </c>
      <c r="Y16" s="13" t="s">
        <v>316</v>
      </c>
      <c r="Z16" s="13" t="s">
        <v>317</v>
      </c>
    </row>
    <row r="17" spans="1:28">
      <c r="A17" s="29">
        <v>9</v>
      </c>
      <c r="B17" s="29" t="s">
        <v>145</v>
      </c>
      <c r="C17" s="24">
        <v>6</v>
      </c>
      <c r="D17" s="24">
        <v>3</v>
      </c>
      <c r="E17" s="23"/>
      <c r="F17" s="24">
        <v>6</v>
      </c>
      <c r="G17" s="23"/>
      <c r="H17" s="23"/>
      <c r="I17" s="50" t="s">
        <v>399</v>
      </c>
      <c r="J17" s="50" t="str">
        <f>IF(J13=2,'Feuille de personnage'!A31*'Feuille de personnage'!R12+('Feuille de personnage'!R12-1)*4+6,"")</f>
        <v/>
      </c>
      <c r="K17" s="41" t="str">
        <f>IF(K13=2,'Feuille de personnage'!A31*'Feuille de personnage'!R12+('Feuille de personnage'!R12-1)*5+8,"")</f>
        <v/>
      </c>
      <c r="L17" s="71" t="str">
        <f>IF(L13=2,'Feuille de personnage'!A31*'Feuille de personnage'!R12+('Feuille de personnage'!R12-1)*6+10,"")</f>
        <v/>
      </c>
      <c r="M17" s="41" t="str">
        <f>IF(M13=2,'Feuille de personnage'!A31*'Feuille de personnage'!R12+('Feuille de personnage'!R12-1)*7+12,"")</f>
        <v/>
      </c>
      <c r="O17" s="24" t="s">
        <v>178</v>
      </c>
      <c r="P17" s="35" t="s">
        <v>387</v>
      </c>
      <c r="Q17" s="13" t="s">
        <v>276</v>
      </c>
      <c r="R17" s="13" t="s">
        <v>277</v>
      </c>
      <c r="S17" s="13" t="s">
        <v>278</v>
      </c>
      <c r="W17" s="13" t="s">
        <v>309</v>
      </c>
      <c r="X17" s="13" t="s">
        <v>310</v>
      </c>
      <c r="Y17" s="13" t="s">
        <v>314</v>
      </c>
      <c r="Z17" s="13" t="s">
        <v>315</v>
      </c>
    </row>
    <row r="18" spans="1:28" ht="15.75" thickBot="1">
      <c r="A18" s="29">
        <v>10</v>
      </c>
      <c r="B18" s="29" t="s">
        <v>146</v>
      </c>
      <c r="C18" s="24">
        <v>7</v>
      </c>
      <c r="D18" s="24">
        <v>8</v>
      </c>
      <c r="E18" s="23"/>
      <c r="F18" s="24">
        <v>7</v>
      </c>
      <c r="G18" s="23"/>
      <c r="H18" s="23"/>
      <c r="I18" s="51" t="s">
        <v>400</v>
      </c>
      <c r="J18" s="51" t="str">
        <f>IF(J14=3,'Feuille de personnage'!A31*'Feuille de personnage'!R13+('Feuille de personnage'!R13-1)*4+6,"")</f>
        <v/>
      </c>
      <c r="K18" s="42" t="str">
        <f>IF(K14=3,'Feuille de personnage'!A31*'Feuille de personnage'!R13+('Feuille de personnage'!R13-1)*5+8,"")</f>
        <v/>
      </c>
      <c r="L18" s="72" t="str">
        <f>IF(L14=3,'Feuille de personnage'!A31*'Feuille de personnage'!R13+('Feuille de personnage'!R13-1)*6+10,"")</f>
        <v/>
      </c>
      <c r="M18" s="42" t="str">
        <f>IF(M14=3,'Feuille de personnage'!A31*'Feuille de personnage'!R13+('Feuille de personnage'!R13-1)*7+12,"")</f>
        <v/>
      </c>
      <c r="O18" s="24" t="s">
        <v>164</v>
      </c>
      <c r="P18" s="35" t="s">
        <v>388</v>
      </c>
      <c r="W18" s="13" t="s">
        <v>318</v>
      </c>
      <c r="X18" s="13" t="s">
        <v>319</v>
      </c>
      <c r="Y18" s="13" t="s">
        <v>320</v>
      </c>
      <c r="Z18" s="13" t="s">
        <v>321</v>
      </c>
      <c r="AA18" s="13" t="s">
        <v>322</v>
      </c>
      <c r="AB18" s="13" t="s">
        <v>323</v>
      </c>
    </row>
    <row r="19" spans="1:28">
      <c r="A19" s="29">
        <v>11</v>
      </c>
      <c r="B19" s="29" t="s">
        <v>147</v>
      </c>
      <c r="C19" s="24">
        <v>8</v>
      </c>
      <c r="D19" s="24">
        <v>3</v>
      </c>
      <c r="E19" s="23"/>
      <c r="F19" s="24">
        <v>8</v>
      </c>
      <c r="G19" s="23"/>
      <c r="H19" s="23"/>
      <c r="I19" s="23"/>
      <c r="J19" s="23"/>
      <c r="K19" s="23"/>
      <c r="L19" s="23"/>
      <c r="M19" s="23"/>
      <c r="O19" s="24" t="s">
        <v>167</v>
      </c>
      <c r="P19" s="35" t="s">
        <v>389</v>
      </c>
      <c r="Q19" s="13" t="s">
        <v>324</v>
      </c>
      <c r="S19" s="13" t="s">
        <v>325</v>
      </c>
      <c r="W19" s="13" t="s">
        <v>326</v>
      </c>
      <c r="X19" s="13" t="s">
        <v>327</v>
      </c>
      <c r="Y19" s="13" t="s">
        <v>328</v>
      </c>
      <c r="Z19" s="13" t="s">
        <v>329</v>
      </c>
    </row>
    <row r="20" spans="1:28">
      <c r="A20" s="29">
        <v>12</v>
      </c>
      <c r="B20" s="29" t="s">
        <v>148</v>
      </c>
      <c r="C20" s="24">
        <v>9</v>
      </c>
      <c r="D20" s="24">
        <v>3</v>
      </c>
      <c r="E20" s="23"/>
      <c r="F20" s="24">
        <v>9</v>
      </c>
      <c r="G20" s="23"/>
      <c r="H20" s="23"/>
      <c r="I20" s="23"/>
      <c r="J20" s="23"/>
      <c r="K20" s="23"/>
      <c r="L20" s="23"/>
      <c r="M20" s="23"/>
      <c r="O20" s="24" t="s">
        <v>174</v>
      </c>
      <c r="P20" s="35" t="s">
        <v>390</v>
      </c>
      <c r="Q20" s="13" t="s">
        <v>324</v>
      </c>
      <c r="S20" s="13" t="s">
        <v>325</v>
      </c>
      <c r="W20" s="13" t="s">
        <v>326</v>
      </c>
      <c r="X20" s="13" t="s">
        <v>327</v>
      </c>
      <c r="Y20" s="13" t="s">
        <v>328</v>
      </c>
      <c r="Z20" s="13" t="s">
        <v>329</v>
      </c>
      <c r="AA20" s="13" t="s">
        <v>332</v>
      </c>
      <c r="AB20" s="13" t="s">
        <v>333</v>
      </c>
    </row>
    <row r="21" spans="1:28" ht="15.75" thickBot="1">
      <c r="A21" s="29">
        <v>13</v>
      </c>
      <c r="B21" s="29" t="s">
        <v>149</v>
      </c>
      <c r="C21" s="24">
        <v>10</v>
      </c>
      <c r="D21" s="24">
        <v>2</v>
      </c>
      <c r="E21" s="23"/>
      <c r="F21" s="24">
        <v>10</v>
      </c>
      <c r="G21" s="23"/>
      <c r="H21" s="23"/>
      <c r="I21" s="23"/>
      <c r="J21" s="23"/>
      <c r="K21" s="23"/>
      <c r="L21" s="23"/>
      <c r="M21" s="23"/>
      <c r="O21" s="24" t="s">
        <v>173</v>
      </c>
      <c r="P21" s="35" t="s">
        <v>391</v>
      </c>
      <c r="Q21" s="13" t="s">
        <v>324</v>
      </c>
      <c r="S21" s="13" t="s">
        <v>325</v>
      </c>
      <c r="W21" s="13" t="s">
        <v>326</v>
      </c>
      <c r="X21" s="13" t="s">
        <v>327</v>
      </c>
      <c r="Y21" s="13" t="s">
        <v>328</v>
      </c>
      <c r="Z21" s="13" t="s">
        <v>329</v>
      </c>
      <c r="AA21" s="13" t="s">
        <v>330</v>
      </c>
      <c r="AB21" s="13" t="s">
        <v>331</v>
      </c>
    </row>
    <row r="22" spans="1:28" ht="15.75" thickBot="1">
      <c r="A22" s="29">
        <v>14</v>
      </c>
      <c r="B22" s="29" t="s">
        <v>150</v>
      </c>
      <c r="C22" s="24">
        <v>11</v>
      </c>
      <c r="D22" s="24">
        <v>4</v>
      </c>
      <c r="E22" s="23"/>
      <c r="F22" s="24">
        <v>11</v>
      </c>
      <c r="G22" s="23"/>
      <c r="H22" s="12" t="s">
        <v>168</v>
      </c>
      <c r="I22" s="23"/>
      <c r="J22" s="23"/>
      <c r="K22" s="23"/>
      <c r="L22" s="23"/>
      <c r="M22" s="23"/>
      <c r="O22" s="24" t="s">
        <v>170</v>
      </c>
      <c r="P22" s="35" t="s">
        <v>392</v>
      </c>
      <c r="Q22" s="13" t="s">
        <v>276</v>
      </c>
      <c r="R22" s="13" t="s">
        <v>277</v>
      </c>
      <c r="S22" s="13" t="s">
        <v>278</v>
      </c>
      <c r="W22" s="13" t="s">
        <v>283</v>
      </c>
      <c r="X22" s="13" t="s">
        <v>284</v>
      </c>
      <c r="Y22" s="13" t="s">
        <v>285</v>
      </c>
      <c r="Z22" s="13" t="s">
        <v>286</v>
      </c>
    </row>
    <row r="23" spans="1:28" ht="15.75" thickBot="1">
      <c r="A23" s="29">
        <v>15</v>
      </c>
      <c r="B23" s="30" t="s">
        <v>151</v>
      </c>
      <c r="C23" s="26">
        <v>12</v>
      </c>
      <c r="D23" s="26">
        <v>3</v>
      </c>
      <c r="E23" s="23"/>
      <c r="F23" s="24">
        <v>12</v>
      </c>
      <c r="G23" s="23"/>
      <c r="H23" s="143" t="s">
        <v>964</v>
      </c>
      <c r="I23" s="23"/>
      <c r="J23" s="23"/>
      <c r="K23" s="23"/>
      <c r="L23" s="23"/>
      <c r="M23" s="23"/>
      <c r="O23" s="24" t="s">
        <v>154</v>
      </c>
      <c r="P23" s="35" t="s">
        <v>393</v>
      </c>
    </row>
    <row r="24" spans="1:28">
      <c r="A24" s="24">
        <v>16</v>
      </c>
      <c r="B24" s="23"/>
      <c r="C24" s="23"/>
      <c r="E24" s="23"/>
      <c r="F24" s="24">
        <v>13</v>
      </c>
      <c r="G24" s="23"/>
      <c r="H24" s="41" t="s">
        <v>965</v>
      </c>
      <c r="I24" s="23"/>
      <c r="J24" s="23"/>
      <c r="K24" s="23"/>
      <c r="L24" s="23"/>
      <c r="M24" s="23"/>
      <c r="O24" s="24" t="s">
        <v>155</v>
      </c>
      <c r="P24" s="35" t="s">
        <v>394</v>
      </c>
      <c r="Q24" s="13" t="s">
        <v>276</v>
      </c>
      <c r="R24" s="13" t="s">
        <v>277</v>
      </c>
      <c r="S24" s="13" t="s">
        <v>278</v>
      </c>
      <c r="W24" s="13" t="s">
        <v>334</v>
      </c>
      <c r="X24" s="13" t="s">
        <v>335</v>
      </c>
      <c r="Y24" s="13" t="s">
        <v>336</v>
      </c>
      <c r="Z24" s="13" t="s">
        <v>337</v>
      </c>
    </row>
    <row r="25" spans="1:28">
      <c r="A25" s="24">
        <v>17</v>
      </c>
      <c r="B25" s="23"/>
      <c r="F25" s="24">
        <v>14</v>
      </c>
      <c r="H25" s="41" t="s">
        <v>966</v>
      </c>
      <c r="O25" s="24" t="s">
        <v>175</v>
      </c>
      <c r="P25" s="35" t="s">
        <v>395</v>
      </c>
      <c r="Q25" s="13" t="s">
        <v>276</v>
      </c>
      <c r="R25" s="13" t="s">
        <v>277</v>
      </c>
      <c r="S25" s="13" t="s">
        <v>278</v>
      </c>
      <c r="W25" s="13" t="s">
        <v>334</v>
      </c>
      <c r="X25" s="13" t="s">
        <v>335</v>
      </c>
      <c r="Y25" s="13" t="s">
        <v>336</v>
      </c>
      <c r="Z25" s="13" t="s">
        <v>337</v>
      </c>
      <c r="AA25" s="13" t="s">
        <v>338</v>
      </c>
      <c r="AB25" s="13" t="s">
        <v>339</v>
      </c>
    </row>
    <row r="26" spans="1:28" ht="15.75" thickBot="1">
      <c r="A26" s="24">
        <v>18</v>
      </c>
      <c r="B26" s="23"/>
      <c r="F26" s="24">
        <v>15</v>
      </c>
      <c r="H26" s="41" t="s">
        <v>967</v>
      </c>
      <c r="O26" s="24" t="s">
        <v>176</v>
      </c>
      <c r="P26" s="35" t="s">
        <v>396</v>
      </c>
      <c r="Q26" s="13" t="s">
        <v>276</v>
      </c>
      <c r="R26" s="13" t="s">
        <v>277</v>
      </c>
      <c r="S26" s="13" t="s">
        <v>278</v>
      </c>
      <c r="W26" s="13" t="s">
        <v>334</v>
      </c>
      <c r="X26" s="13" t="s">
        <v>335</v>
      </c>
      <c r="Y26" s="13" t="s">
        <v>336</v>
      </c>
      <c r="Z26" s="13" t="s">
        <v>337</v>
      </c>
    </row>
    <row r="27" spans="1:28" ht="15.75" thickBot="1">
      <c r="A27" s="24">
        <v>19</v>
      </c>
      <c r="B27" s="23"/>
      <c r="D27" s="126" t="s">
        <v>14</v>
      </c>
      <c r="F27" s="24">
        <v>16</v>
      </c>
      <c r="H27" s="41" t="s">
        <v>968</v>
      </c>
      <c r="O27" s="26" t="s">
        <v>160</v>
      </c>
      <c r="P27" s="35" t="s">
        <v>397</v>
      </c>
      <c r="Q27" s="13" t="s">
        <v>276</v>
      </c>
      <c r="R27" s="13" t="s">
        <v>277</v>
      </c>
      <c r="S27" s="13" t="s">
        <v>278</v>
      </c>
      <c r="W27" s="13" t="s">
        <v>340</v>
      </c>
      <c r="X27" s="13" t="s">
        <v>341</v>
      </c>
    </row>
    <row r="28" spans="1:28" ht="15.75" thickBot="1">
      <c r="A28" s="24">
        <v>20</v>
      </c>
      <c r="B28" s="23"/>
      <c r="D28" s="125">
        <v>0.1</v>
      </c>
      <c r="F28" s="24">
        <v>17</v>
      </c>
      <c r="H28" s="42" t="s">
        <v>969</v>
      </c>
      <c r="P28" s="35"/>
    </row>
    <row r="29" spans="1:28" ht="15.75" thickBot="1">
      <c r="A29" s="12" t="s">
        <v>191</v>
      </c>
      <c r="B29" s="23"/>
      <c r="D29" s="123">
        <v>0.2</v>
      </c>
      <c r="F29" s="24">
        <v>18</v>
      </c>
      <c r="P29" s="36" t="str">
        <f>IF(trace="Aarakocra",P2,IF(trace="Demi-Elfe",P3,IF(trace="Demi-Orque",P4,IF(trace="Drakéide",P5,IF(trace="Elfe",P6,IF(trace="Elfe des Bois",P7,IF(trace="Elfe Noir - Drow",P8,"")))))))</f>
        <v/>
      </c>
      <c r="Q29" s="36" t="str">
        <f>IF(trace="Aarakocra",Q2,IF(trace="Demi-Elfe",Q3,IF(trace="Demi-Orque",Q4,IF(trace="Elfe",Q6,IF(trace="Elfe des Bois",Q7,IF(trace="Elfe Noir - Drow",Q8,""))))))</f>
        <v/>
      </c>
      <c r="R29" s="36" t="str">
        <f>IF(trace="Aarakocra",R2,IF(trace="Demi-Elfe",R3,IF(trace="Demi-Orque",R4,IF(trace="Elfe",R6,IF(trace="Elfe des Bois",R7,IF(trace="Elfe Noir - Drow",R8,""))))))</f>
        <v/>
      </c>
      <c r="S29" s="36" t="str">
        <f>IF(trace="Aarakocra",S2,IF(trace="Demi-Elfe",S3,IF(trace="Demi-Orque",S4,IF(trace="Elfe",S6,IF(trace="Elfe des Bois",S7,IF(trace="Elfe Noir - Drow",S8,""))))))</f>
        <v/>
      </c>
      <c r="T29" s="38"/>
      <c r="U29" s="38"/>
      <c r="V29" s="38"/>
      <c r="W29" s="36" t="str">
        <f>IF(trace="Demi-Orque",W4,IF(trace="Elfe",W6,IF(trace="Elfe des Bois",W7,IF(trace="Elfe Noir - Drow",W8,""))))</f>
        <v/>
      </c>
      <c r="X29" s="36" t="str">
        <f>IF(trace="Demi-Orque",X4,IF(trace="Elfe",X6,IF(trace="Elfe des Bois",X7,IF(trace="Elfe Noir - Drow",X8,""))))</f>
        <v/>
      </c>
      <c r="Y29" s="36" t="str">
        <f>IF(trace="Demi-Orque",Y4,IF(trace="Elfe",Y6,IF(trace="Elfe des Bois",Y7,IF(trace="Elfe Noir - Drow",Y8,""))))</f>
        <v/>
      </c>
      <c r="Z29" s="36" t="str">
        <f>IF(trace="Demi-Orque",Z4,IF(trace="Elfe",Z6,IF(trace="Elfe des Bois",Z7,IF(trace="Elfe Noir - Drow",Z8,""))))</f>
        <v/>
      </c>
      <c r="AA29" s="36" t="str">
        <f>IF(trace="Elfe des Bois",AA7,IF(trace="Elfe Noir - Drow",AA8,""))</f>
        <v/>
      </c>
      <c r="AB29" s="36" t="str">
        <f>IF(trace="Elfe des Bois",AB7,IF(trace="Elfe Noir - Drow",AB8,""))</f>
        <v/>
      </c>
    </row>
    <row r="30" spans="1:28" ht="15.75" thickBot="1">
      <c r="A30" s="24">
        <f>IF('Feuille de personnage'!C19=14,7,IF('Feuille de personnage'!C19=15,9,IF('Feuille de personnage'!C19=16,11,IF('Feuille de personnage'!C19=17,14,IF('Feuille de personnage'!C19=18,18,'Feuille de personnage'!C19-8)))))</f>
        <v>0</v>
      </c>
      <c r="B30" s="23"/>
      <c r="D30" s="123">
        <v>0.3</v>
      </c>
      <c r="F30" s="24">
        <v>19</v>
      </c>
      <c r="K30" s="12" t="s">
        <v>342</v>
      </c>
      <c r="L30" s="27" t="s">
        <v>43</v>
      </c>
      <c r="M30" s="12" t="s">
        <v>358</v>
      </c>
      <c r="P30" s="37" t="str">
        <f>IF(trace="Génasi",P9,IF(trace="Génasi de la Terre",P10,IF(trace="Génasi de L'Air",P11,IF(trace="Génasi de L'Eau",P12,IF(trace="Génasi du Feu",P13,IF(trace="Gnome",P14,IF(trace="Gnome des Forets",P15,"")))))))</f>
        <v/>
      </c>
      <c r="Q30" s="37" t="str">
        <f>IF(trace="Génasi",Q9,IF(trace="Génasi de la Terre",Q10,IF(trace="Génasi de L'Eau",Q12,IF(trace="Génasi du Feu",Q13,IF(trace="Gnome",Q14,IF(trace="Gnome des Forets",Q15,""))))))</f>
        <v/>
      </c>
      <c r="R30" s="37" t="str">
        <f>IF(trace="Génasi de L'Eau",R12,IF(trace="Génasi du Feu",R13,IF(trace="Gnome",R14,IF(trace="Gnome des Forets",R15,""))))</f>
        <v/>
      </c>
      <c r="S30" s="37" t="str">
        <f>IF(trace="Génasi de la Terre",S10,IF(trace="Génasi du Feu",S13,IF(trace="Gnome",S14,IF(trace="Gnome des Forets",S15,""))))</f>
        <v/>
      </c>
      <c r="T30" s="39"/>
      <c r="U30" s="39"/>
      <c r="V30" s="39"/>
      <c r="W30" s="37" t="str">
        <f>IF(trace="Génasi de L'Air",W11,IF(trace="Génasi de L'Eau",W12,IF(trace="Génasi du Feu",W13,IF(trace="Gnome",W14,IF(trace="Gnome des Forets",W15,"")))))</f>
        <v/>
      </c>
      <c r="X30" s="37" t="str">
        <f>IF(trace="Génasi de L'Air",X11,IF(trace="Gnome",X14,IF(trace="Gnome des Forets",X15,"")))</f>
        <v/>
      </c>
      <c r="Y30" s="37" t="str">
        <f>IF(trace="Génasi de la Terre",Y10,IF(trace="Génasi de L'Air",Y11,IF(trace="Génasi de L'Eau",Y12,IF(trace="Gnome des Forets",Y15,""))))</f>
        <v/>
      </c>
      <c r="Z30" s="37" t="str">
        <f>IF(trace="Génasi de la Terre",Z10,IF(trace="Génasi de L'Air",Z11,IF(trace="Gnome des Forets",Z15,"")))</f>
        <v/>
      </c>
      <c r="AA30" s="37"/>
      <c r="AB30" s="37"/>
    </row>
    <row r="31" spans="1:28" ht="15.75" thickBot="1">
      <c r="A31" s="24">
        <f>IF('Feuille de personnage'!C26=14,7,IF('Feuille de personnage'!C26=15,9,IF('Feuille de personnage'!C26=16,11,IF('Feuille de personnage'!C26=17,14,IF('Feuille de personnage'!C26=18,18,'Feuille de personnage'!C26-8)))))</f>
        <v>0</v>
      </c>
      <c r="B31" s="23"/>
      <c r="D31" s="123">
        <v>0.4</v>
      </c>
      <c r="F31" s="26">
        <v>20</v>
      </c>
      <c r="K31" s="25" t="s">
        <v>343</v>
      </c>
      <c r="L31" s="25" t="s">
        <v>350</v>
      </c>
      <c r="M31" s="24" t="s">
        <v>356</v>
      </c>
      <c r="P31" s="36" t="str">
        <f>IF(trace="Gnome des Profondeurs",P16,IF(trace="Gnome des Roches",P17,IF(trace="Goliath",P18,IF(trace="Halfelin",P19,IF(trace="Halfelin Corpulent",P20,IF(trace="Halfelin Pied-Léger",P21,IF(trace="Haut-Elfe",P22,"")))))))</f>
        <v/>
      </c>
      <c r="Q31" s="36" t="str">
        <f>IF(trace="Gnome des Profondeurs",Q16,IF(trace="Gnome des Roches",Q17,IF(trace="Halfelin",Q19,IF(trace="Halfelin Corpulent",Q20,IF(trace="Halfelin Pied-Léger",Q21,IF(trace="Haut-Elfe",Q22,""))))))</f>
        <v/>
      </c>
      <c r="R31" s="36" t="str">
        <f>IF(trace="Gnome des Profondeurs",R16,IF(trace="Gnome des Roches",R17,IF(trace="Haut-Elfe",R22,"")))</f>
        <v/>
      </c>
      <c r="S31" s="36" t="str">
        <f>IF(trace="Gnome des Profondeurs",S16,IF(trace="Gnome des Roches",S17,IF(trace="Halfelin",S19,IF(trace="Halfelin Corpulent",S20,IF(trace="Halfelin Pied-Léger",S21,IF(trace="Haut-Elfe",S22,""))))))</f>
        <v/>
      </c>
      <c r="T31" s="38"/>
      <c r="U31" s="38"/>
      <c r="V31" s="38"/>
      <c r="W31" s="36" t="str">
        <f t="shared" ref="W31:Y31" si="0">IF(trace="Gnome des Profondeurs",W16,IF(trace="Gnome des Roches",W17,IF(trace="Goliath",W18,IF(trace="Halfelin",W19,IF(trace="Halfelin Corpulent",W20,IF(trace="Halfelin Pied-Léger",W21,IF(trace="Haut-Elfe",W22,"")))))))</f>
        <v/>
      </c>
      <c r="X31" s="36" t="str">
        <f t="shared" si="0"/>
        <v/>
      </c>
      <c r="Y31" s="36" t="str">
        <f t="shared" si="0"/>
        <v/>
      </c>
      <c r="Z31" s="36" t="str">
        <f>IF(trace="Gnome des Profondeurs",Z16,IF(trace="Gnome des Roches",Z17,IF(trace="Goliath",Z18,IF(trace="Halfelin",Z19,IF(trace="Halfelin Corpulent",Z20,IF(trace="Halfelin Pied-Léger",Z21,IF(trace="Haut-Elfe",Z22,"")))))))</f>
        <v/>
      </c>
      <c r="AA31" s="37" t="str">
        <f>IF(trace="Goliath",AA18,IF(trace="Halfelin Corpulent",AA20,IF(trace="Halfelin Pied-Léger",AA21,"")))</f>
        <v/>
      </c>
      <c r="AB31" s="37" t="str">
        <f>IF(trace="Goliath",AB18,IF(trace="Halfelin Corpulent",AB20,IF(trace="Halfelin Pied-Léger",AB21,"")))</f>
        <v/>
      </c>
    </row>
    <row r="32" spans="1:28">
      <c r="A32" s="24">
        <f>IF('Feuille de personnage'!C33=14,7,IF('Feuille de personnage'!C33=15,9,IF('Feuille de personnage'!C33=16,11,IF('Feuille de personnage'!C33=17,14,IF('Feuille de personnage'!C33=18,18,'Feuille de personnage'!C33-8)))))</f>
        <v>0</v>
      </c>
      <c r="B32" s="23"/>
      <c r="D32" s="123">
        <v>0.5</v>
      </c>
      <c r="K32" s="24" t="s">
        <v>344</v>
      </c>
      <c r="L32" s="24" t="s">
        <v>351</v>
      </c>
      <c r="M32" s="24" t="s">
        <v>357</v>
      </c>
      <c r="P32" s="36" t="str">
        <f>IF(trace="Humain",P23,IF(trace="Nain",P24,IF(trace="Nain des Collines",P25,IF(trace="Nain des Montagnes",P26,IF(trace="Tieffelin",P27,"")))))</f>
        <v/>
      </c>
      <c r="Q32" s="36" t="str">
        <f>IF(trace="Nain",Q24,IF(trace="Nain des Collines",Q25,IF(trace="Nain des Montagnes",Q26,IF(trace="Tieffelin",Q27,""))))</f>
        <v/>
      </c>
      <c r="R32" s="36" t="str">
        <f>IF(trace="Nain",R24,IF(trace="Nain des Collines",R25,IF(trace="Nain des Montagnes",R26,IF(trace="Tieffelin",R27,""))))</f>
        <v/>
      </c>
      <c r="S32" s="36" t="str">
        <f>IF(trace="Nain",S24,IF(trace="Nain des Collines",S25,IF(trace="Nain des Montagnes",S26,IF(trace="Tieffelin",S27,""))))</f>
        <v/>
      </c>
      <c r="T32" s="38"/>
      <c r="U32" s="38"/>
      <c r="V32" s="38"/>
      <c r="W32" s="36" t="str">
        <f>IF(trace="Nain",W24,IF(trace="Nain des Collines",W25,IF(trace="Nain des Montagnes",W26,IF(trace="Tieffelin",W27,""))))</f>
        <v/>
      </c>
      <c r="X32" s="36" t="str">
        <f>IF(trace="Nain",X24,IF(trace="Nain des Collines",X25,IF(trace="Nain des Montagnes",X26,IF(trace="Tieffelin",X27,""))))</f>
        <v/>
      </c>
      <c r="Y32" s="36" t="str">
        <f>IF(trace="Nain",Y24,IF(trace="Nain des Collines",Y25,IF(trace="Nain des Montagnes",Y26,"")))</f>
        <v/>
      </c>
      <c r="Z32" s="36" t="str">
        <f>IF(trace="Nain",Z24,IF(trace="Nain des Collines",Z25,IF(trace="Nain des Montagnes",Z26,"")))</f>
        <v/>
      </c>
      <c r="AA32" s="36" t="str">
        <f>IF(trace="Nain des Collines",AA25,"")</f>
        <v/>
      </c>
      <c r="AB32" s="36" t="str">
        <f>IF(trace="Nain des Collines",AB25,"")</f>
        <v/>
      </c>
    </row>
    <row r="33" spans="1:17">
      <c r="A33" s="24">
        <f>IF('Feuille de personnage'!C40=14,7,IF('Feuille de personnage'!C40=15,9,IF('Feuille de personnage'!C40=16,11,IF('Feuille de personnage'!C40=17,14,IF('Feuille de personnage'!C40=18,18,'Feuille de personnage'!C40-8)))))</f>
        <v>0</v>
      </c>
      <c r="B33" s="23"/>
      <c r="D33" s="123">
        <v>0.6</v>
      </c>
      <c r="K33" s="24" t="s">
        <v>345</v>
      </c>
      <c r="L33" s="24" t="s">
        <v>352</v>
      </c>
      <c r="M33" s="24" t="s">
        <v>357</v>
      </c>
      <c r="Q33" s="13" t="str">
        <f>IF(OR(Q29="Vision dans le noir",Q30="Vision dans le noir",Q31="Vision dans le noir",Q32="Vision dans le noir"),"Vision dans le noir",IF(OR(Q29="Vision dans le noir supérieure",Q30="Vision dans le noir supérieure",Q31="Vision dans le noir supérieure",Q32="Vision dans le noir supérieure"),"Vision dans le noir supérieure",""))</f>
        <v/>
      </c>
    </row>
    <row r="34" spans="1:17">
      <c r="A34" s="24">
        <f>IF('Feuille de personnage'!C47=14,7,IF('Feuille de personnage'!C47=15,9,IF('Feuille de personnage'!C47=16,11,IF('Feuille de personnage'!C47=17,14,IF('Feuille de personnage'!C47=18,18,'Feuille de personnage'!C47-8)))))</f>
        <v>0</v>
      </c>
      <c r="B34" s="23"/>
      <c r="D34" s="123">
        <v>0.7</v>
      </c>
      <c r="K34" s="24" t="s">
        <v>346</v>
      </c>
      <c r="L34" s="24" t="s">
        <v>353</v>
      </c>
      <c r="M34" s="24" t="s">
        <v>355</v>
      </c>
    </row>
    <row r="35" spans="1:17" ht="15.75" thickBot="1">
      <c r="A35" s="24">
        <f>IF('Feuille de personnage'!C54=14,7,IF('Feuille de personnage'!C54=15,9,IF('Feuille de personnage'!C54=16,11,IF('Feuille de personnage'!C54=17,14,IF('Feuille de personnage'!C54=18,18,'Feuille de personnage'!C54-8)))))</f>
        <v>0</v>
      </c>
      <c r="B35" s="23"/>
      <c r="D35" s="123">
        <v>0.8</v>
      </c>
      <c r="K35" s="24" t="s">
        <v>347</v>
      </c>
      <c r="L35" s="24" t="s">
        <v>354</v>
      </c>
      <c r="M35" s="24" t="s">
        <v>356</v>
      </c>
    </row>
    <row r="36" spans="1:17" ht="15.75" thickBot="1">
      <c r="A36" s="12">
        <f>27-A30-A31-A32-A33-A34-A35</f>
        <v>27</v>
      </c>
      <c r="B36" s="23"/>
      <c r="D36" s="123">
        <v>0.9</v>
      </c>
      <c r="K36" s="24" t="s">
        <v>348</v>
      </c>
      <c r="L36" s="24" t="s">
        <v>353</v>
      </c>
      <c r="M36" s="24" t="s">
        <v>357</v>
      </c>
      <c r="O36" s="35" t="s">
        <v>360</v>
      </c>
    </row>
    <row r="37" spans="1:17" ht="15.75" thickBot="1">
      <c r="D37" s="123">
        <v>1</v>
      </c>
      <c r="K37" s="24" t="s">
        <v>82</v>
      </c>
      <c r="L37" s="24" t="s">
        <v>350</v>
      </c>
      <c r="M37" s="24" t="s">
        <v>356</v>
      </c>
      <c r="O37" s="35" t="s">
        <v>363</v>
      </c>
    </row>
    <row r="38" spans="1:17" ht="15.75" thickBot="1">
      <c r="A38" s="12" t="s">
        <v>254</v>
      </c>
      <c r="D38" s="123">
        <v>1.5</v>
      </c>
      <c r="K38" s="24" t="s">
        <v>349</v>
      </c>
      <c r="L38" s="24" t="s">
        <v>351</v>
      </c>
      <c r="M38" s="24" t="s">
        <v>357</v>
      </c>
      <c r="O38" s="35" t="s">
        <v>361</v>
      </c>
    </row>
    <row r="39" spans="1:17">
      <c r="A39" s="25" t="s">
        <v>260</v>
      </c>
      <c r="D39" s="123">
        <v>2</v>
      </c>
      <c r="K39" s="24" t="s">
        <v>83</v>
      </c>
      <c r="L39" s="24" t="s">
        <v>352</v>
      </c>
      <c r="M39" s="24" t="s">
        <v>357</v>
      </c>
      <c r="O39" s="35" t="s">
        <v>362</v>
      </c>
    </row>
    <row r="40" spans="1:17" ht="15.75" thickBot="1">
      <c r="A40" s="24" t="s">
        <v>261</v>
      </c>
      <c r="D40" s="123">
        <v>2.5</v>
      </c>
      <c r="K40" s="26" t="s">
        <v>80</v>
      </c>
      <c r="L40" s="26" t="s">
        <v>353</v>
      </c>
      <c r="M40" s="26" t="s">
        <v>355</v>
      </c>
      <c r="O40" s="35" t="s">
        <v>363</v>
      </c>
    </row>
    <row r="41" spans="1:17">
      <c r="A41" s="24" t="s">
        <v>255</v>
      </c>
      <c r="D41" s="123">
        <v>3</v>
      </c>
      <c r="O41" s="35" t="s">
        <v>363</v>
      </c>
    </row>
    <row r="42" spans="1:17">
      <c r="A42" s="24" t="s">
        <v>262</v>
      </c>
      <c r="D42" s="123">
        <v>3.5</v>
      </c>
      <c r="O42" s="35" t="s">
        <v>364</v>
      </c>
    </row>
    <row r="43" spans="1:17">
      <c r="A43" s="24" t="s">
        <v>263</v>
      </c>
      <c r="D43" s="123">
        <v>4</v>
      </c>
      <c r="O43" s="35" t="s">
        <v>365</v>
      </c>
    </row>
    <row r="44" spans="1:17">
      <c r="A44" s="24" t="s">
        <v>256</v>
      </c>
      <c r="D44" s="123">
        <v>4.5</v>
      </c>
      <c r="O44" s="35" t="s">
        <v>365</v>
      </c>
    </row>
    <row r="45" spans="1:17">
      <c r="A45" s="24" t="s">
        <v>257</v>
      </c>
      <c r="D45" s="123">
        <v>5</v>
      </c>
      <c r="O45" s="35" t="s">
        <v>365</v>
      </c>
    </row>
    <row r="46" spans="1:17">
      <c r="A46" s="24" t="s">
        <v>268</v>
      </c>
      <c r="D46" s="123">
        <v>6</v>
      </c>
      <c r="O46" s="35" t="s">
        <v>365</v>
      </c>
    </row>
    <row r="47" spans="1:17">
      <c r="A47" s="24" t="s">
        <v>159</v>
      </c>
      <c r="D47" s="123">
        <v>7</v>
      </c>
      <c r="O47" s="35" t="s">
        <v>365</v>
      </c>
    </row>
    <row r="48" spans="1:17">
      <c r="A48" s="24" t="s">
        <v>258</v>
      </c>
      <c r="D48" s="123">
        <v>8</v>
      </c>
      <c r="O48" s="35" t="s">
        <v>366</v>
      </c>
    </row>
    <row r="49" spans="1:15">
      <c r="A49" s="24" t="s">
        <v>167</v>
      </c>
      <c r="D49" s="123">
        <v>9</v>
      </c>
      <c r="O49" s="35" t="s">
        <v>366</v>
      </c>
    </row>
    <row r="50" spans="1:15">
      <c r="A50" s="24" t="s">
        <v>264</v>
      </c>
      <c r="D50" s="123">
        <v>10</v>
      </c>
      <c r="O50" s="35" t="s">
        <v>367</v>
      </c>
    </row>
    <row r="51" spans="1:15">
      <c r="A51" s="24" t="s">
        <v>155</v>
      </c>
      <c r="D51" s="123">
        <v>11</v>
      </c>
      <c r="O51" s="35" t="s">
        <v>368</v>
      </c>
    </row>
    <row r="52" spans="1:15">
      <c r="A52" s="24" t="s">
        <v>259</v>
      </c>
      <c r="D52" s="123">
        <v>12</v>
      </c>
      <c r="O52" s="35" t="s">
        <v>369</v>
      </c>
    </row>
    <row r="53" spans="1:15">
      <c r="A53" s="24" t="s">
        <v>265</v>
      </c>
      <c r="D53" s="123">
        <v>13</v>
      </c>
      <c r="O53" s="35" t="s">
        <v>370</v>
      </c>
    </row>
    <row r="54" spans="1:15">
      <c r="A54" s="24" t="s">
        <v>266</v>
      </c>
      <c r="D54" s="123">
        <v>14</v>
      </c>
      <c r="O54" s="35" t="s">
        <v>370</v>
      </c>
    </row>
    <row r="55" spans="1:15" ht="15.75" thickBot="1">
      <c r="A55" s="26" t="s">
        <v>267</v>
      </c>
      <c r="D55" s="123">
        <v>15</v>
      </c>
      <c r="O55" s="35" t="s">
        <v>370</v>
      </c>
    </row>
    <row r="56" spans="1:15">
      <c r="D56" s="123">
        <v>16</v>
      </c>
      <c r="O56" s="35" t="s">
        <v>363</v>
      </c>
    </row>
    <row r="57" spans="1:15">
      <c r="D57" s="123">
        <v>17</v>
      </c>
      <c r="O57" s="35" t="s">
        <v>255</v>
      </c>
    </row>
    <row r="58" spans="1:15">
      <c r="D58" s="123">
        <v>18</v>
      </c>
      <c r="O58" s="35" t="s">
        <v>371</v>
      </c>
    </row>
    <row r="59" spans="1:15">
      <c r="D59" s="123">
        <v>19</v>
      </c>
      <c r="O59" s="35" t="s">
        <v>371</v>
      </c>
    </row>
    <row r="60" spans="1:15">
      <c r="D60" s="123">
        <v>20</v>
      </c>
      <c r="O60" s="35" t="s">
        <v>371</v>
      </c>
    </row>
    <row r="61" spans="1:15">
      <c r="D61" s="123">
        <v>21</v>
      </c>
      <c r="O61" s="35" t="s">
        <v>372</v>
      </c>
    </row>
    <row r="62" spans="1:15">
      <c r="D62" s="123">
        <v>22</v>
      </c>
      <c r="O62" s="13" t="s">
        <v>254</v>
      </c>
    </row>
    <row r="63" spans="1:15">
      <c r="D63" s="123">
        <v>23</v>
      </c>
      <c r="O63" s="36" t="str">
        <f>IF(trace="Aarakocra",O36,IF(trace="Demi-Elfe",O37,IF(trace="Demi-Orque",O38,IF(trace="Drakéide",O39,IF(trace="Elfe",O40,IF(trace="Elfe des Bois",O41,IF(trace="Elfe Noir - Drow",O42,"")))))))</f>
        <v/>
      </c>
    </row>
    <row r="64" spans="1:15">
      <c r="D64" s="123">
        <v>24</v>
      </c>
      <c r="O64" s="37" t="str">
        <f>IF(trace="Génasi",O43,IF(trace="Génasi de la Terre",O44,IF(trace="Génasi de L'Air",O45,IF(trace="Génasi de L'Eau",O46,IF(trace="Génasi du Feu",O47,IF(trace="Gnome",O48,IF(trace="Gnome des Forets",O49,"")))))))</f>
        <v/>
      </c>
    </row>
    <row r="65" spans="4:15">
      <c r="D65" s="123">
        <v>25</v>
      </c>
      <c r="O65" s="36" t="str">
        <f>IF(trace="Gnome des Profondeurs",O50,IF(trace="Gnome des Roches",O51,IF(trace="Goliath",O52,IF(trace="Halfelin",O53,IF(trace="Halfelin Corpulent",O54,IF(trace="Halfelin Pied-Léger",O55,IF(trace="Haut-Elfe",O56,"")))))))</f>
        <v/>
      </c>
    </row>
    <row r="66" spans="4:15">
      <c r="D66" s="123">
        <v>26</v>
      </c>
      <c r="O66" s="36" t="str">
        <f>IF(trace="Humain",O57,IF(trace="Nain",O58,IF(trace="Nain des Collines",O59,IF(trace="Nain des Montagnes",O60,IF(trace="Tieffelin",O61,"")))))</f>
        <v/>
      </c>
    </row>
    <row r="67" spans="4:15">
      <c r="D67" s="123">
        <v>27</v>
      </c>
    </row>
    <row r="68" spans="4:15" ht="15.75" thickBot="1">
      <c r="D68" s="123">
        <v>28</v>
      </c>
    </row>
    <row r="69" spans="4:15" ht="15.75" thickBot="1">
      <c r="D69" s="123">
        <v>29</v>
      </c>
      <c r="O69" s="12" t="s">
        <v>235</v>
      </c>
    </row>
    <row r="70" spans="4:15">
      <c r="D70" s="123">
        <v>30</v>
      </c>
      <c r="O70" s="25" t="s">
        <v>236</v>
      </c>
    </row>
    <row r="71" spans="4:15">
      <c r="D71" s="123">
        <v>31</v>
      </c>
      <c r="O71" s="24" t="s">
        <v>237</v>
      </c>
    </row>
    <row r="72" spans="4:15" ht="15.75" thickBot="1">
      <c r="D72" s="124">
        <v>32</v>
      </c>
      <c r="O72" s="24" t="s">
        <v>238</v>
      </c>
    </row>
    <row r="73" spans="4:15">
      <c r="O73" s="24" t="s">
        <v>252</v>
      </c>
    </row>
    <row r="74" spans="4:15">
      <c r="O74" s="24" t="s">
        <v>239</v>
      </c>
    </row>
    <row r="75" spans="4:15">
      <c r="O75" s="24" t="s">
        <v>249</v>
      </c>
    </row>
    <row r="76" spans="4:15">
      <c r="O76" s="24" t="s">
        <v>240</v>
      </c>
    </row>
    <row r="77" spans="4:15">
      <c r="O77" s="24" t="s">
        <v>241</v>
      </c>
    </row>
    <row r="78" spans="4:15">
      <c r="O78" s="24" t="s">
        <v>242</v>
      </c>
    </row>
    <row r="79" spans="4:15">
      <c r="O79" s="24" t="s">
        <v>243</v>
      </c>
    </row>
    <row r="80" spans="4:15">
      <c r="O80" s="24" t="s">
        <v>244</v>
      </c>
    </row>
    <row r="81" spans="15:15">
      <c r="O81" s="24" t="s">
        <v>253</v>
      </c>
    </row>
    <row r="82" spans="15:15">
      <c r="O82" s="24" t="s">
        <v>245</v>
      </c>
    </row>
    <row r="83" spans="15:15">
      <c r="O83" s="24" t="s">
        <v>246</v>
      </c>
    </row>
    <row r="84" spans="15:15">
      <c r="O84" s="24" t="s">
        <v>247</v>
      </c>
    </row>
    <row r="85" spans="15:15">
      <c r="O85" s="24" t="s">
        <v>248</v>
      </c>
    </row>
    <row r="86" spans="15:15">
      <c r="O86" s="24" t="s">
        <v>250</v>
      </c>
    </row>
    <row r="87" spans="15:15" ht="15.75" thickBot="1">
      <c r="O87" s="26" t="s">
        <v>251</v>
      </c>
    </row>
  </sheetData>
  <sortState ref="A39:A54">
    <sortCondition ref="A52"/>
  </sortState>
  <mergeCells count="2">
    <mergeCell ref="A2:A9"/>
    <mergeCell ref="B11:D11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94"/>
  <sheetViews>
    <sheetView workbookViewId="0">
      <selection activeCell="A3" sqref="A3"/>
    </sheetView>
  </sheetViews>
  <sheetFormatPr baseColWidth="10" defaultRowHeight="15" customHeight="1"/>
  <cols>
    <col min="1" max="1" width="43.140625" style="148" bestFit="1" customWidth="1"/>
    <col min="2" max="2" width="28.42578125" style="148" bestFit="1" customWidth="1"/>
    <col min="3" max="3" width="12.7109375" style="148" bestFit="1" customWidth="1"/>
    <col min="4" max="4" width="15.140625" style="148" bestFit="1" customWidth="1"/>
    <col min="5" max="5" width="58.140625" style="148" customWidth="1"/>
    <col min="6" max="6" width="10.42578125" style="148" bestFit="1" customWidth="1"/>
    <col min="7" max="7" width="11.42578125" style="148"/>
    <col min="8" max="8" width="44.7109375" style="148" customWidth="1"/>
    <col min="9" max="29" width="11.42578125" style="148" customWidth="1"/>
    <col min="30" max="16384" width="11.42578125" style="148"/>
  </cols>
  <sheetData>
    <row r="1" spans="1:96" ht="15" customHeight="1" thickBot="1">
      <c r="A1" s="144" t="s">
        <v>358</v>
      </c>
      <c r="B1" s="145" t="s">
        <v>404</v>
      </c>
      <c r="C1" s="146" t="s">
        <v>14</v>
      </c>
      <c r="D1" s="145" t="s">
        <v>405</v>
      </c>
      <c r="E1" s="938" t="s">
        <v>41</v>
      </c>
      <c r="F1" s="939"/>
      <c r="G1" s="939"/>
      <c r="H1" s="940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</row>
    <row r="2" spans="1:96" ht="15" customHeight="1" thickBot="1">
      <c r="A2" s="149" t="s">
        <v>406</v>
      </c>
      <c r="B2" s="150"/>
      <c r="C2" s="150"/>
      <c r="D2" s="150"/>
      <c r="E2" s="150"/>
      <c r="F2" s="150"/>
      <c r="G2" s="150"/>
      <c r="H2" s="151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</row>
    <row r="3" spans="1:96" ht="15" customHeight="1">
      <c r="A3" s="152" t="s">
        <v>407</v>
      </c>
      <c r="B3" s="153" t="s">
        <v>408</v>
      </c>
      <c r="C3" s="154" t="s">
        <v>409</v>
      </c>
      <c r="D3" s="153" t="s">
        <v>410</v>
      </c>
      <c r="E3" s="935" t="s">
        <v>411</v>
      </c>
      <c r="F3" s="936"/>
      <c r="G3" s="936"/>
      <c r="H3" s="937"/>
      <c r="I3" s="155" t="s">
        <v>407</v>
      </c>
      <c r="J3" s="156" t="str">
        <f>IF(attaque1="Bâton","1d6","")</f>
        <v/>
      </c>
      <c r="K3" s="156" t="str">
        <f>IF(attaque2="Bâton","1d6","")</f>
        <v/>
      </c>
      <c r="L3" s="156" t="str">
        <f>IF(attaque3="Bâton","1d6","")</f>
        <v/>
      </c>
      <c r="M3" s="156" t="str">
        <f>IF(attaque4="Bâton","1d6","")</f>
        <v/>
      </c>
      <c r="N3" s="156" t="str">
        <f>IF(attaque5="Bâton","1d6","")</f>
        <v/>
      </c>
      <c r="O3" s="156" t="str">
        <f>IF(attaque1="Bâton","contondant","")</f>
        <v/>
      </c>
      <c r="P3" s="156" t="str">
        <f>IF(attaque2="Bâton","contondant","")</f>
        <v/>
      </c>
      <c r="Q3" s="156" t="str">
        <f>IF(attaque3="Bâton","contondant","")</f>
        <v/>
      </c>
      <c r="R3" s="156" t="str">
        <f>IF(attaque4="Bâton","contondant","")</f>
        <v/>
      </c>
      <c r="S3" s="156" t="str">
        <f>IF(attaque5="Bâton","contondant","")</f>
        <v/>
      </c>
      <c r="T3" s="156" t="str">
        <f>IF(attaque1="Bâton",2,"0")</f>
        <v>0</v>
      </c>
      <c r="U3" s="156" t="str">
        <f>IF(attaque2="Bâton",2,"0")</f>
        <v>0</v>
      </c>
      <c r="V3" s="156" t="str">
        <f>IF(attaque3="Bâton",2,"0")</f>
        <v>0</v>
      </c>
      <c r="W3" s="156" t="str">
        <f>IF(attaque4="Bâton",2,"0")</f>
        <v>0</v>
      </c>
      <c r="X3" s="156" t="str">
        <f>IF(attaque5="Bâton",2,"0")</f>
        <v>0</v>
      </c>
      <c r="Y3" s="156"/>
      <c r="Z3" s="156"/>
      <c r="AA3" s="156"/>
      <c r="AB3" s="156"/>
      <c r="AC3" s="156"/>
      <c r="AD3" s="156" t="str">
        <f>IF(attaque1="Bâton","Versatile","")</f>
        <v/>
      </c>
      <c r="AE3" s="156" t="str">
        <f>IF(attaque2="Bâton","Versatile","")</f>
        <v/>
      </c>
      <c r="AF3" s="156" t="str">
        <f>IF(attaque3="Bâton","Versatile","")</f>
        <v/>
      </c>
      <c r="AG3" s="156" t="str">
        <f>IF(attaque4="Bâton","Versatile","")</f>
        <v/>
      </c>
      <c r="AH3" s="156" t="str">
        <f>IF(attaque5="Bâton","Versatile","")</f>
        <v/>
      </c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</row>
    <row r="4" spans="1:96" ht="15" customHeight="1">
      <c r="A4" s="157" t="s">
        <v>412</v>
      </c>
      <c r="B4" s="158" t="s">
        <v>413</v>
      </c>
      <c r="C4" s="159" t="s">
        <v>414</v>
      </c>
      <c r="D4" s="158" t="s">
        <v>415</v>
      </c>
      <c r="E4" s="925" t="s">
        <v>416</v>
      </c>
      <c r="F4" s="926"/>
      <c r="G4" s="926"/>
      <c r="H4" s="927"/>
      <c r="I4" s="155" t="s">
        <v>412</v>
      </c>
      <c r="J4" s="156" t="str">
        <f>IF(attaque1="Dague","1d4","")</f>
        <v/>
      </c>
      <c r="K4" s="156" t="str">
        <f>IF(attaque2="Dague","1d4","")</f>
        <v/>
      </c>
      <c r="L4" s="156" t="str">
        <f>IF(attaque3="Dague","1d4","")</f>
        <v/>
      </c>
      <c r="M4" s="156" t="str">
        <f>IF(attaque4="Dague","1d4","")</f>
        <v/>
      </c>
      <c r="N4" s="156" t="str">
        <f>IF(attaque5="Dague","1d4","")</f>
        <v/>
      </c>
      <c r="O4" s="160" t="str">
        <f>IF(attaque1="Dague","perforant","")</f>
        <v/>
      </c>
      <c r="P4" s="160" t="str">
        <f>IF(attaque2="Dague","perforant","")</f>
        <v/>
      </c>
      <c r="Q4" s="160" t="str">
        <f>IF(attaque3="Dague","perforant","")</f>
        <v/>
      </c>
      <c r="R4" s="160" t="str">
        <f>IF(attaque4="Dague","perforant","")</f>
        <v/>
      </c>
      <c r="S4" s="160" t="str">
        <f>IF(attaque5="Dague","perforant","")</f>
        <v/>
      </c>
      <c r="T4" s="156" t="str">
        <f>IF(attaque1="Dague",0.5,"")</f>
        <v/>
      </c>
      <c r="U4" s="156" t="str">
        <f>IF(attaque2="Dague",0.5,"")</f>
        <v/>
      </c>
      <c r="V4" s="156" t="str">
        <f>IF(attaque3="Dague",0.5,"")</f>
        <v/>
      </c>
      <c r="W4" s="156" t="str">
        <f>IF(attaque4="Dague",0.5,"")</f>
        <v/>
      </c>
      <c r="X4" s="156" t="str">
        <f>IF(attaque5="Dague",0.5,"")</f>
        <v/>
      </c>
      <c r="Y4" s="156" t="str">
        <f>IF(attaque1="Dague","6 / 18","")</f>
        <v/>
      </c>
      <c r="Z4" s="156" t="str">
        <f>IF(attaque2="Dague","6 / 18","")</f>
        <v/>
      </c>
      <c r="AA4" s="156" t="str">
        <f>IF(attaque3="Dague","6 / 18","")</f>
        <v/>
      </c>
      <c r="AB4" s="156" t="str">
        <f>IF(attaque4="Dague","6 / 18","")</f>
        <v/>
      </c>
      <c r="AC4" s="156" t="str">
        <f>IF(attaque5="Dague","6 / 18","")</f>
        <v/>
      </c>
      <c r="AD4" s="156" t="str">
        <f>IF(attaque1="Dague","Finesse, légère, lancer","")</f>
        <v/>
      </c>
      <c r="AE4" s="156" t="str">
        <f>IF(attaque2="Dague","Finesse, légère, lancer","")</f>
        <v/>
      </c>
      <c r="AF4" s="156" t="str">
        <f>IF(attaque3="Dague","Finesse, légère, lancer","")</f>
        <v/>
      </c>
      <c r="AG4" s="156" t="str">
        <f>IF(attaque4="Dague","Finesse, légère, lancer","")</f>
        <v/>
      </c>
      <c r="AH4" s="156" t="str">
        <f>IF(attaque5="Dague","Finesse, légère, lancer","")</f>
        <v/>
      </c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</row>
    <row r="5" spans="1:96" ht="15" customHeight="1">
      <c r="A5" s="161" t="s">
        <v>417</v>
      </c>
      <c r="B5" s="162" t="s">
        <v>418</v>
      </c>
      <c r="C5" s="163" t="s">
        <v>419</v>
      </c>
      <c r="D5" s="162" t="s">
        <v>420</v>
      </c>
      <c r="E5" s="922" t="s">
        <v>105</v>
      </c>
      <c r="F5" s="923"/>
      <c r="G5" s="923"/>
      <c r="H5" s="924"/>
      <c r="I5" s="155" t="s">
        <v>417</v>
      </c>
      <c r="J5" s="156" t="str">
        <f>IF(attaque1="Gourdin","1d4","")</f>
        <v/>
      </c>
      <c r="K5" s="156" t="str">
        <f>IF(attaque2="Gourdin","1d4","")</f>
        <v/>
      </c>
      <c r="L5" s="156" t="str">
        <f>IF(attaque3="Gourdin","1d4","")</f>
        <v/>
      </c>
      <c r="M5" s="156" t="str">
        <f>IF(attaque4="Gourdin","1d4","")</f>
        <v/>
      </c>
      <c r="N5" s="156" t="str">
        <f>IF(attaque5="Gourdin","1d4","")</f>
        <v/>
      </c>
      <c r="O5" s="160" t="str">
        <f>IF(attaque1="Gourdin","contondant","")</f>
        <v/>
      </c>
      <c r="P5" s="160" t="str">
        <f>IF(attaque2="Gourdin","contondant","")</f>
        <v/>
      </c>
      <c r="Q5" s="160" t="str">
        <f>IF(attaque3="Gourdin","contondant","")</f>
        <v/>
      </c>
      <c r="R5" s="160" t="str">
        <f>IF(attaque4="Gourdin","contondant","")</f>
        <v/>
      </c>
      <c r="S5" s="160" t="str">
        <f>IF(attaque5="Gourdin","contondant","")</f>
        <v/>
      </c>
      <c r="T5" s="156" t="str">
        <f>IF(attaque1="Gourdin",1,"")</f>
        <v/>
      </c>
      <c r="U5" s="156" t="str">
        <f>IF(attaque2="Gourdin",1,"")</f>
        <v/>
      </c>
      <c r="V5" s="156" t="str">
        <f>IF(attaque3="Gourdin",1,"")</f>
        <v/>
      </c>
      <c r="W5" s="156" t="str">
        <f>IF(attaque4="Gourdin",1,"")</f>
        <v/>
      </c>
      <c r="X5" s="156" t="str">
        <f>IF(attaque5="Gourdin",1,"")</f>
        <v/>
      </c>
      <c r="Y5" s="156"/>
      <c r="Z5" s="156"/>
      <c r="AA5" s="156"/>
      <c r="AB5" s="156"/>
      <c r="AC5" s="156"/>
      <c r="AD5" s="156" t="str">
        <f>IF(attaque1="Gourdin","Légère","")</f>
        <v/>
      </c>
      <c r="AE5" s="156" t="str">
        <f>IF(attaque2="Gourdin","Légère","")</f>
        <v/>
      </c>
      <c r="AF5" s="156" t="str">
        <f>IF(attaque3="Gourdin","Légère","")</f>
        <v/>
      </c>
      <c r="AG5" s="156" t="str">
        <f>IF(attaque4="Gourdin","Légère","")</f>
        <v/>
      </c>
      <c r="AH5" s="156" t="str">
        <f>IF(attaque5="Gourdin","Légère","")</f>
        <v/>
      </c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</row>
    <row r="6" spans="1:96" ht="15" customHeight="1">
      <c r="A6" s="157" t="s">
        <v>421</v>
      </c>
      <c r="B6" s="158" t="s">
        <v>422</v>
      </c>
      <c r="C6" s="159" t="s">
        <v>419</v>
      </c>
      <c r="D6" s="158" t="s">
        <v>423</v>
      </c>
      <c r="E6" s="925" t="s">
        <v>424</v>
      </c>
      <c r="F6" s="926"/>
      <c r="G6" s="926"/>
      <c r="H6" s="927"/>
      <c r="I6" s="155" t="s">
        <v>421</v>
      </c>
      <c r="J6" s="156" t="str">
        <f>IF(attaque1="Hache","1d6","")</f>
        <v/>
      </c>
      <c r="K6" s="156" t="str">
        <f>IF(attaque2="Hache","1d6","")</f>
        <v/>
      </c>
      <c r="L6" s="156" t="str">
        <f>IF(attaque3="Hache","1d6","")</f>
        <v/>
      </c>
      <c r="M6" s="156" t="str">
        <f>IF(attaque4="Hache","1d6","")</f>
        <v/>
      </c>
      <c r="N6" s="156" t="str">
        <f>IF(attaque5="Hache","1d6","")</f>
        <v/>
      </c>
      <c r="O6" s="160" t="str">
        <f>IF(attaque1="Hache","tranchant","")</f>
        <v/>
      </c>
      <c r="P6" s="160" t="str">
        <f>IF(attaque2="Hache","tranchant","")</f>
        <v/>
      </c>
      <c r="Q6" s="160" t="str">
        <f>IF(attaque3="Hache","tranchant","")</f>
        <v/>
      </c>
      <c r="R6" s="160" t="str">
        <f>IF(attaque4="Hache","tranchant","")</f>
        <v/>
      </c>
      <c r="S6" s="160" t="str">
        <f>IF(attaque5="Hache","tranchant","")</f>
        <v/>
      </c>
      <c r="T6" s="156" t="str">
        <f>IF(attaque1="Hache",1,"")</f>
        <v/>
      </c>
      <c r="U6" s="156" t="str">
        <f>IF(attaque2="Hache",1,"")</f>
        <v/>
      </c>
      <c r="V6" s="156" t="str">
        <f>IF(attaque3="Hache",1,"")</f>
        <v/>
      </c>
      <c r="W6" s="156" t="str">
        <f>IF(attaque4="Hache",1,"")</f>
        <v/>
      </c>
      <c r="X6" s="156" t="str">
        <f>IF(attaque5="Hache",1,"")</f>
        <v/>
      </c>
      <c r="Y6" s="156" t="str">
        <f>IF(attaque1="Hache","6 / 18","")</f>
        <v/>
      </c>
      <c r="Z6" s="156" t="str">
        <f>IF(attaque2="Hache","6 / 18","")</f>
        <v/>
      </c>
      <c r="AA6" s="156" t="str">
        <f>IF(attaque3="Hache","6 / 18","")</f>
        <v/>
      </c>
      <c r="AB6" s="156" t="str">
        <f>IF(attaque4="Hache","6 / 18","")</f>
        <v/>
      </c>
      <c r="AC6" s="156" t="str">
        <f>IF(attaque5="Hache","6 / 18","")</f>
        <v/>
      </c>
      <c r="AD6" s="156" t="str">
        <f>IF(attaque1="Hache","Légère, lancer","")</f>
        <v/>
      </c>
      <c r="AE6" s="156" t="str">
        <f>IF(attaque2="Hache","Légère, lancer","")</f>
        <v/>
      </c>
      <c r="AF6" s="156" t="str">
        <f>IF(attaque3="Hache","Légère, lancer","")</f>
        <v/>
      </c>
      <c r="AG6" s="156" t="str">
        <f>IF(attaque4="Hache","Légère, lancer","")</f>
        <v/>
      </c>
      <c r="AH6" s="156" t="str">
        <f>IF(attaque5="Hache","Légère, lancer","")</f>
        <v/>
      </c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</row>
    <row r="7" spans="1:96" ht="15" customHeight="1">
      <c r="A7" s="161" t="s">
        <v>425</v>
      </c>
      <c r="B7" s="162" t="s">
        <v>426</v>
      </c>
      <c r="C7" s="163" t="s">
        <v>419</v>
      </c>
      <c r="D7" s="162" t="s">
        <v>427</v>
      </c>
      <c r="E7" s="922" t="s">
        <v>428</v>
      </c>
      <c r="F7" s="923"/>
      <c r="G7" s="923"/>
      <c r="H7" s="924"/>
      <c r="I7" s="155" t="s">
        <v>425</v>
      </c>
      <c r="J7" s="156" t="str">
        <f>IF(attaque1="Javeline","1d6","")</f>
        <v/>
      </c>
      <c r="K7" s="156" t="str">
        <f>IF(attaque2="Javeline","1d6","")</f>
        <v/>
      </c>
      <c r="L7" s="156" t="str">
        <f>IF(attaque3="Javeline","1d6","")</f>
        <v/>
      </c>
      <c r="M7" s="156" t="str">
        <f>IF(attaque4="Javeline","1d6","")</f>
        <v/>
      </c>
      <c r="N7" s="156" t="str">
        <f>IF(attaque5="Javeline","1d6","")</f>
        <v/>
      </c>
      <c r="O7" s="160" t="str">
        <f>IF(attaque1="Javeline","perforant","")</f>
        <v/>
      </c>
      <c r="P7" s="160" t="str">
        <f>IF(attaque2="Javeline","perforant","")</f>
        <v/>
      </c>
      <c r="Q7" s="160" t="str">
        <f>IF(attaque3="Javeline","perforant","")</f>
        <v/>
      </c>
      <c r="R7" s="160" t="str">
        <f>IF(attaque4="Javeline","perforant","")</f>
        <v/>
      </c>
      <c r="S7" s="160" t="str">
        <f>IF(attaque5="Javeline","perforant","")</f>
        <v/>
      </c>
      <c r="T7" s="156" t="str">
        <f>IF(attaque1="Javeline",1,"")</f>
        <v/>
      </c>
      <c r="U7" s="156" t="str">
        <f>IF(attaque2="Javeline",1,"")</f>
        <v/>
      </c>
      <c r="V7" s="156" t="str">
        <f>IF(attaque3="Javeline",1,"")</f>
        <v/>
      </c>
      <c r="W7" s="156" t="str">
        <f>IF(attaque4="Javeline",1,"")</f>
        <v/>
      </c>
      <c r="X7" s="156" t="str">
        <f>IF(attaque5="Javeline",1,"")</f>
        <v/>
      </c>
      <c r="Y7" s="156" t="str">
        <f>IF(attaque1="Javeline","9 / 36","")</f>
        <v/>
      </c>
      <c r="Z7" s="156" t="str">
        <f>IF(attaque2="Javeline","9 / 36","")</f>
        <v/>
      </c>
      <c r="AA7" s="156" t="str">
        <f>IF(attaque3="Javeline","9 / 36","")</f>
        <v/>
      </c>
      <c r="AB7" s="156" t="str">
        <f>IF(attaque4="Javeline","9 / 36","")</f>
        <v/>
      </c>
      <c r="AC7" s="156" t="str">
        <f>IF(attaque5="Javeline","9 / 36","")</f>
        <v/>
      </c>
      <c r="AD7" s="156" t="str">
        <f>IF(attaque1="Javeline","Lancer","")</f>
        <v/>
      </c>
      <c r="AE7" s="156" t="str">
        <f>IF(attaque2="Javeline","Lancer","")</f>
        <v/>
      </c>
      <c r="AF7" s="156" t="str">
        <f>IF(attaque3="Javeline","Lancer","")</f>
        <v/>
      </c>
      <c r="AG7" s="156" t="str">
        <f>IF(attaque4="Javeline","Lancer","")</f>
        <v/>
      </c>
      <c r="AH7" s="156" t="str">
        <f>IF(attaque5="Javeline","Lancer","")</f>
        <v/>
      </c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</row>
    <row r="8" spans="1:96" ht="15" customHeight="1">
      <c r="A8" s="157" t="s">
        <v>429</v>
      </c>
      <c r="B8" s="158" t="s">
        <v>426</v>
      </c>
      <c r="C8" s="159" t="s">
        <v>430</v>
      </c>
      <c r="D8" s="158" t="s">
        <v>431</v>
      </c>
      <c r="E8" s="925" t="s">
        <v>432</v>
      </c>
      <c r="F8" s="926"/>
      <c r="G8" s="926"/>
      <c r="H8" s="927"/>
      <c r="I8" s="155" t="s">
        <v>429</v>
      </c>
      <c r="J8" s="156" t="str">
        <f>IF(attaque1="Lance","1d6","")</f>
        <v/>
      </c>
      <c r="K8" s="156" t="str">
        <f>IF(attaque2="Lance","1d6","")</f>
        <v/>
      </c>
      <c r="L8" s="156" t="str">
        <f>IF(attaque3="Lance","1d6","")</f>
        <v/>
      </c>
      <c r="M8" s="156" t="str">
        <f>IF(attaque4="Lance","1d6","")</f>
        <v/>
      </c>
      <c r="N8" s="156" t="str">
        <f>IF(attaque5="Lance","1d6","")</f>
        <v/>
      </c>
      <c r="O8" s="160" t="str">
        <f>IF(attaque1="Lance","perforant","")</f>
        <v/>
      </c>
      <c r="P8" s="160" t="str">
        <f>IF(attaque2="Lance","perforant","")</f>
        <v/>
      </c>
      <c r="Q8" s="160" t="str">
        <f>IF(attaque3="Lance","perforant","")</f>
        <v/>
      </c>
      <c r="R8" s="160" t="str">
        <f>IF(attaque4="Lance","perforant","")</f>
        <v/>
      </c>
      <c r="S8" s="160" t="str">
        <f>IF(attaque5="Lance","perforant","")</f>
        <v/>
      </c>
      <c r="T8" s="156" t="str">
        <f>IF(attaque1="Lance",1.5,"")</f>
        <v/>
      </c>
      <c r="U8" s="156" t="str">
        <f>IF(attaque2="Lance",1.5,"")</f>
        <v/>
      </c>
      <c r="V8" s="156" t="str">
        <f>IF(attaque3="Lance",1.5,"")</f>
        <v/>
      </c>
      <c r="W8" s="156" t="str">
        <f>IF(attaque4="Lance",1.5,"")</f>
        <v/>
      </c>
      <c r="X8" s="156" t="str">
        <f>IF(attaque5="Lance",1.5,"")</f>
        <v/>
      </c>
      <c r="Y8" s="156" t="str">
        <f>IF(attaque1="Lance","6 / 18","")</f>
        <v/>
      </c>
      <c r="Z8" s="156" t="str">
        <f>IF(attaque2="Lance","6 / 18","")</f>
        <v/>
      </c>
      <c r="AA8" s="156" t="str">
        <f>IF(attaque3="Lance","6 / 18","")</f>
        <v/>
      </c>
      <c r="AB8" s="156" t="str">
        <f>IF(attaque4="Lance","6 / 18","")</f>
        <v/>
      </c>
      <c r="AC8" s="156" t="str">
        <f>IF(attaque5="Lance","6 / 18","")</f>
        <v/>
      </c>
      <c r="AD8" s="156" t="str">
        <f>IF(attaque1="Lance","Lancer, versatile (1d8)","")</f>
        <v/>
      </c>
      <c r="AE8" s="156" t="str">
        <f>IF(attaque2="Lance","Lancer, versatile (1d8)","")</f>
        <v/>
      </c>
      <c r="AF8" s="156" t="str">
        <f>IF(attaque3="Lance","Lancer, versatile (1d8)","")</f>
        <v/>
      </c>
      <c r="AG8" s="156" t="str">
        <f>IF(attaque4="Lance","Lancer, versatile (1d8)","")</f>
        <v/>
      </c>
      <c r="AH8" s="156" t="str">
        <f>IF(attaque5="Lance","Lancer, versatile (1d8)","")</f>
        <v/>
      </c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</row>
    <row r="9" spans="1:96" ht="15" customHeight="1">
      <c r="A9" s="161" t="s">
        <v>433</v>
      </c>
      <c r="B9" s="162" t="s">
        <v>418</v>
      </c>
      <c r="C9" s="163" t="s">
        <v>419</v>
      </c>
      <c r="D9" s="162" t="s">
        <v>415</v>
      </c>
      <c r="E9" s="922" t="s">
        <v>424</v>
      </c>
      <c r="F9" s="923"/>
      <c r="G9" s="923"/>
      <c r="H9" s="924"/>
      <c r="I9" s="155" t="s">
        <v>433</v>
      </c>
      <c r="J9" s="156" t="str">
        <f>IF(attaque1="Marteau léger","1d4","")</f>
        <v/>
      </c>
      <c r="K9" s="156" t="str">
        <f>IF(attaque2="Marteau léger","1d4","")</f>
        <v/>
      </c>
      <c r="L9" s="156" t="str">
        <f>IF(attaque3="Marteau léger","1d4","")</f>
        <v/>
      </c>
      <c r="M9" s="156" t="str">
        <f>IF(attaque4="Marteau léger","1d4","")</f>
        <v/>
      </c>
      <c r="N9" s="156" t="str">
        <f>IF(attaque5="Marteau léger","1d4","")</f>
        <v/>
      </c>
      <c r="O9" s="160" t="str">
        <f>IF(attaque1="Marteau léger","contondant","")</f>
        <v/>
      </c>
      <c r="P9" s="160" t="str">
        <f>IF(attaque2="Marteau léger","contondant","")</f>
        <v/>
      </c>
      <c r="Q9" s="160" t="str">
        <f>IF(attaque3="Marteau léger","contondant","")</f>
        <v/>
      </c>
      <c r="R9" s="160" t="str">
        <f>IF(attaque4="Marteau léger","contondant","")</f>
        <v/>
      </c>
      <c r="S9" s="160" t="str">
        <f>IF(attaque5="Marteau léger","contondant","")</f>
        <v/>
      </c>
      <c r="T9" s="156" t="str">
        <f>IF(attaque1="Marteau léger",1,"")</f>
        <v/>
      </c>
      <c r="U9" s="156" t="str">
        <f>IF(attaque2="Marteau léger",1,"")</f>
        <v/>
      </c>
      <c r="V9" s="156" t="str">
        <f>IF(attaque3="Marteau léger",1,"")</f>
        <v/>
      </c>
      <c r="W9" s="156" t="str">
        <f>IF(attaque4="Marteau léger",1,"")</f>
        <v/>
      </c>
      <c r="X9" s="156" t="str">
        <f>IF(attaque5="Marteau léger",1,"")</f>
        <v/>
      </c>
      <c r="Y9" s="156" t="str">
        <f>IF(attaque1="Marteau léger","6 / 18","")</f>
        <v/>
      </c>
      <c r="Z9" s="156" t="str">
        <f>IF(attaque2="Marteau léger","6 / 18","")</f>
        <v/>
      </c>
      <c r="AA9" s="156" t="str">
        <f>IF(attaque3="Marteau léger","6 / 18","")</f>
        <v/>
      </c>
      <c r="AB9" s="156" t="str">
        <f>IF(attaque4="Marteau léger","6 / 18","")</f>
        <v/>
      </c>
      <c r="AC9" s="156" t="str">
        <f>IF(attaque5="Marteau léger","6 / 18","")</f>
        <v/>
      </c>
      <c r="AD9" s="156" t="str">
        <f>IF(attaque1="Marteau léger","Légère, lancer","")</f>
        <v/>
      </c>
      <c r="AE9" s="156" t="str">
        <f>IF(attaque2="Marteau léger","Légère, lancer","")</f>
        <v/>
      </c>
      <c r="AF9" s="156" t="str">
        <f>IF(attaque3="Marteau léger","Légère, lancer","")</f>
        <v/>
      </c>
      <c r="AG9" s="156" t="str">
        <f>IF(attaque4="Marteau léger","Légère, lancer","")</f>
        <v/>
      </c>
      <c r="AH9" s="156" t="str">
        <f>IF(attaque5="Marteau léger","Légère, lancer","")</f>
        <v/>
      </c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</row>
    <row r="10" spans="1:96" ht="15" customHeight="1">
      <c r="A10" s="157" t="s">
        <v>434</v>
      </c>
      <c r="B10" s="158" t="s">
        <v>408</v>
      </c>
      <c r="C10" s="159" t="s">
        <v>409</v>
      </c>
      <c r="D10" s="158" t="s">
        <v>423</v>
      </c>
      <c r="E10" s="925" t="s">
        <v>103</v>
      </c>
      <c r="F10" s="926"/>
      <c r="G10" s="926"/>
      <c r="H10" s="927"/>
      <c r="I10" s="155" t="s">
        <v>434</v>
      </c>
      <c r="J10" s="156" t="str">
        <f>IF(attaque1="Masse d'armes","1d6","")</f>
        <v/>
      </c>
      <c r="K10" s="156" t="str">
        <f>IF(attaque2="Masse d'armes","1d6","")</f>
        <v/>
      </c>
      <c r="L10" s="156" t="str">
        <f>IF(attaque3="Masse d'armes","1d6","")</f>
        <v/>
      </c>
      <c r="M10" s="156" t="str">
        <f>IF(attaque4="Masse d'armes","1d6","")</f>
        <v/>
      </c>
      <c r="N10" s="156" t="str">
        <f>IF(attaque5="Masse d'armes","1d6","")</f>
        <v/>
      </c>
      <c r="O10" s="160" t="str">
        <f>IF(attaque1="Masse d'armes","contondant","")</f>
        <v/>
      </c>
      <c r="P10" s="160" t="str">
        <f>IF(attaque2="Masse d'armes","contondant","")</f>
        <v/>
      </c>
      <c r="Q10" s="160" t="str">
        <f>IF(attaque3="Masse d'armes","contondant","")</f>
        <v/>
      </c>
      <c r="R10" s="160" t="str">
        <f>IF(attaque4="Masse d'armes","contondant","")</f>
        <v/>
      </c>
      <c r="S10" s="160" t="str">
        <f>IF(attaque5="Masse d'armes","contondant","")</f>
        <v/>
      </c>
      <c r="T10" s="156" t="str">
        <f>IF(attaque1="Masse d'armes",2,"")</f>
        <v/>
      </c>
      <c r="U10" s="156" t="str">
        <f>IF(attaque2="Masse d'armes",2,"")</f>
        <v/>
      </c>
      <c r="V10" s="156" t="str">
        <f>IF(attaque3="Masse d'armes",2,"")</f>
        <v/>
      </c>
      <c r="W10" s="156" t="str">
        <f>IF(attaque4="Masse d'armes",2,"")</f>
        <v/>
      </c>
      <c r="X10" s="156" t="str">
        <f>IF(attaque5="Masse d'armes",2,"")</f>
        <v/>
      </c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</row>
    <row r="11" spans="1:96" ht="15" customHeight="1">
      <c r="A11" s="161" t="s">
        <v>435</v>
      </c>
      <c r="B11" s="162" t="s">
        <v>436</v>
      </c>
      <c r="C11" s="163" t="s">
        <v>437</v>
      </c>
      <c r="D11" s="162" t="s">
        <v>410</v>
      </c>
      <c r="E11" s="922" t="s">
        <v>438</v>
      </c>
      <c r="F11" s="923"/>
      <c r="G11" s="923"/>
      <c r="H11" s="924"/>
      <c r="I11" s="155" t="s">
        <v>435</v>
      </c>
      <c r="J11" s="156" t="str">
        <f>IF(attaque1="Massue","1d8","")</f>
        <v/>
      </c>
      <c r="K11" s="156" t="str">
        <f>IF(attaque2="Massue","1d8","")</f>
        <v/>
      </c>
      <c r="L11" s="156" t="str">
        <f>IF(attaque3="Massue","1d8","")</f>
        <v/>
      </c>
      <c r="M11" s="156" t="str">
        <f>IF(attaque4="Massue","1d8","")</f>
        <v/>
      </c>
      <c r="N11" s="156" t="str">
        <f>IF(attaque5="Massue","1d8","")</f>
        <v/>
      </c>
      <c r="O11" s="160" t="str">
        <f>IF(attaque1="Massue","contondant","")</f>
        <v/>
      </c>
      <c r="P11" s="160" t="str">
        <f>IF(attaque2="Massue","contondant","")</f>
        <v/>
      </c>
      <c r="Q11" s="160" t="str">
        <f>IF(attaque3="Massue","contondant","")</f>
        <v/>
      </c>
      <c r="R11" s="160" t="str">
        <f>IF(attaque4="Massue","contondant","")</f>
        <v/>
      </c>
      <c r="S11" s="160" t="str">
        <f>IF(attaque5="Massue","contondant","")</f>
        <v/>
      </c>
      <c r="T11" s="156" t="str">
        <f>IF(attaque1="Massue",5,"")</f>
        <v/>
      </c>
      <c r="U11" s="156" t="str">
        <f>IF(attaque2="Massue",5,"")</f>
        <v/>
      </c>
      <c r="V11" s="156" t="str">
        <f>IF(attaque3="Massue",5,"")</f>
        <v/>
      </c>
      <c r="W11" s="156" t="str">
        <f>IF(attaque4="Massue",5,"")</f>
        <v/>
      </c>
      <c r="X11" s="156" t="str">
        <f>IF(attaque5="Massue",5,"")</f>
        <v/>
      </c>
      <c r="Y11" s="156"/>
      <c r="Z11" s="156"/>
      <c r="AA11" s="156"/>
      <c r="AB11" s="156"/>
      <c r="AC11" s="156"/>
      <c r="AD11" s="156" t="str">
        <f>IF(attaque1="Massue","À deux mains","")</f>
        <v/>
      </c>
      <c r="AE11" s="156" t="str">
        <f>IF(attaque2="Massue","À deux mains","")</f>
        <v/>
      </c>
      <c r="AF11" s="156" t="str">
        <f>IF(attaque3="Massue","À deux mains","")</f>
        <v/>
      </c>
      <c r="AG11" s="156" t="str">
        <f>IF(attaque4="Massue","À deux mains","")</f>
        <v/>
      </c>
      <c r="AH11" s="156" t="str">
        <f>IF(attaque5="Massue","À deux mains","")</f>
        <v/>
      </c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</row>
    <row r="12" spans="1:96" ht="15" customHeight="1" thickBot="1">
      <c r="A12" s="164" t="s">
        <v>439</v>
      </c>
      <c r="B12" s="165" t="s">
        <v>440</v>
      </c>
      <c r="C12" s="166" t="s">
        <v>419</v>
      </c>
      <c r="D12" s="165" t="s">
        <v>431</v>
      </c>
      <c r="E12" s="919" t="s">
        <v>105</v>
      </c>
      <c r="F12" s="920"/>
      <c r="G12" s="920"/>
      <c r="H12" s="921"/>
      <c r="I12" s="155" t="s">
        <v>439</v>
      </c>
      <c r="J12" s="156" t="str">
        <f>IF(attaque1="Serpe","1d4","")</f>
        <v/>
      </c>
      <c r="K12" s="156" t="str">
        <f>IF(attaque2="Serpe","1d4","")</f>
        <v/>
      </c>
      <c r="L12" s="156" t="str">
        <f>IF(attaque3="Serpe","1d4","")</f>
        <v/>
      </c>
      <c r="M12" s="156" t="str">
        <f>IF(attaque4="Serpe","1d4","")</f>
        <v/>
      </c>
      <c r="N12" s="156" t="str">
        <f>IF(attaque5="Serpe","1d4","")</f>
        <v/>
      </c>
      <c r="O12" s="160" t="str">
        <f>IF(attaque1="Serpe","tranchant","")</f>
        <v/>
      </c>
      <c r="P12" s="160" t="str">
        <f>IF(attaque2="Serpe","tranchant","")</f>
        <v/>
      </c>
      <c r="Q12" s="160" t="str">
        <f>IF(attaque3="Serpe","tranchant","")</f>
        <v/>
      </c>
      <c r="R12" s="160" t="str">
        <f>IF(attaque4="Serpe","tranchant","")</f>
        <v/>
      </c>
      <c r="S12" s="160" t="str">
        <f>IF(attaque5="Serpe","tranchant","")</f>
        <v/>
      </c>
      <c r="T12" s="156" t="str">
        <f>IF(attaque1="Serpe",1,"")</f>
        <v/>
      </c>
      <c r="U12" s="156" t="str">
        <f>IF(attaque2="Serpe",1,"")</f>
        <v/>
      </c>
      <c r="V12" s="156" t="str">
        <f>IF(attaque3="Serpe",1,"")</f>
        <v/>
      </c>
      <c r="W12" s="156" t="str">
        <f>IF(attaque4="Serpe",1,"")</f>
        <v/>
      </c>
      <c r="X12" s="156" t="str">
        <f>IF(attaque5="Serpe",1,"")</f>
        <v/>
      </c>
      <c r="Y12" s="156"/>
      <c r="Z12" s="156"/>
      <c r="AA12" s="156"/>
      <c r="AB12" s="156"/>
      <c r="AC12" s="156"/>
      <c r="AD12" s="156" t="str">
        <f>IF(attaque1="Serpe","Légère","")</f>
        <v/>
      </c>
      <c r="AE12" s="156" t="str">
        <f>IF(attaque2="Serpe","Légère","")</f>
        <v/>
      </c>
      <c r="AF12" s="156" t="str">
        <f>IF(attaque3="Serpe","Légère","")</f>
        <v/>
      </c>
      <c r="AG12" s="156" t="str">
        <f>IF(attaque4="Serpe","Légère","")</f>
        <v/>
      </c>
      <c r="AH12" s="156" t="str">
        <f>IF(attaque5="Serpe","Légère","")</f>
        <v/>
      </c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</row>
    <row r="13" spans="1:96" ht="15" customHeight="1" thickBot="1">
      <c r="A13" s="149" t="s">
        <v>455</v>
      </c>
      <c r="B13" s="150"/>
      <c r="C13" s="150"/>
      <c r="D13" s="150"/>
      <c r="E13" s="150"/>
      <c r="F13" s="150"/>
      <c r="G13" s="150"/>
      <c r="H13" s="151"/>
      <c r="I13" s="155"/>
      <c r="J13" s="156"/>
      <c r="K13" s="156"/>
      <c r="L13" s="156"/>
      <c r="M13" s="156"/>
      <c r="N13" s="156"/>
      <c r="O13" s="160"/>
      <c r="P13" s="160"/>
      <c r="Q13" s="160"/>
      <c r="R13" s="160"/>
      <c r="S13" s="160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</row>
    <row r="14" spans="1:96" ht="15" customHeight="1">
      <c r="A14" s="152" t="s">
        <v>456</v>
      </c>
      <c r="B14" s="153" t="s">
        <v>422</v>
      </c>
      <c r="C14" s="154" t="s">
        <v>430</v>
      </c>
      <c r="D14" s="153" t="s">
        <v>445</v>
      </c>
      <c r="E14" s="935" t="s">
        <v>457</v>
      </c>
      <c r="F14" s="936"/>
      <c r="G14" s="936"/>
      <c r="H14" s="937"/>
      <c r="I14" s="155" t="s">
        <v>456</v>
      </c>
      <c r="J14" s="156" t="str">
        <f>IF(attaque1="Cimeterre","1d6","")</f>
        <v/>
      </c>
      <c r="K14" s="156" t="str">
        <f>IF(attaque2="Cimeterre","1d6","")</f>
        <v/>
      </c>
      <c r="L14" s="156" t="str">
        <f>IF(attaque3="Cimeterre","1d6","")</f>
        <v/>
      </c>
      <c r="M14" s="156" t="str">
        <f>IF(attaque4="Cimeterre","1d6","")</f>
        <v/>
      </c>
      <c r="N14" s="156" t="str">
        <f>IF(attaque5="Cimeterre","1d6","")</f>
        <v/>
      </c>
      <c r="O14" s="160" t="str">
        <f>IF(attaque1="Cimeterre","tranchant","")</f>
        <v/>
      </c>
      <c r="P14" s="160" t="str">
        <f>IF(attaque2="Cimeterre","tranchant","")</f>
        <v/>
      </c>
      <c r="Q14" s="160" t="str">
        <f>IF(attaque3="Cimeterre","tranchant","")</f>
        <v/>
      </c>
      <c r="R14" s="160" t="str">
        <f>IF(attaque4="Cimeterre","tranchant","")</f>
        <v/>
      </c>
      <c r="S14" s="160" t="str">
        <f>IF(attaque5="Cimeterre","tranchant","")</f>
        <v/>
      </c>
      <c r="T14" s="156" t="str">
        <f>IF(attaque1="Cimeterre",1.5,"")</f>
        <v/>
      </c>
      <c r="U14" s="156" t="str">
        <f>IF(attaque2="Cimeterre",1.5,"")</f>
        <v/>
      </c>
      <c r="V14" s="156" t="str">
        <f>IF(attaque3="Cimeterre",1.5,"")</f>
        <v/>
      </c>
      <c r="W14" s="156" t="str">
        <f>IF(attaque4="Cimeterre",1.5,"")</f>
        <v/>
      </c>
      <c r="X14" s="156" t="str">
        <f>IF(attaque5="Cimeterre",1.5,"")</f>
        <v/>
      </c>
      <c r="Y14" s="156"/>
      <c r="Z14" s="156"/>
      <c r="AA14" s="156"/>
      <c r="AB14" s="156"/>
      <c r="AC14" s="156"/>
      <c r="AD14" s="156" t="str">
        <f>IF(attaque1="Cimeterre","Finesse, légère","")</f>
        <v/>
      </c>
      <c r="AE14" s="156" t="str">
        <f>IF(attaque2="Cimeterre","Finesse, légère","")</f>
        <v/>
      </c>
      <c r="AF14" s="156" t="str">
        <f>IF(attaque3="Cimeterre","Finesse, légère","")</f>
        <v/>
      </c>
      <c r="AG14" s="156" t="str">
        <f>IF(attaque4="Cimeterre","Finesse, légère","")</f>
        <v/>
      </c>
      <c r="AH14" s="156" t="str">
        <f>IF(attaque5="Cimeterre","Finesse, légère","")</f>
        <v/>
      </c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</row>
    <row r="15" spans="1:96" ht="15" customHeight="1">
      <c r="A15" s="157" t="s">
        <v>458</v>
      </c>
      <c r="B15" s="158" t="s">
        <v>459</v>
      </c>
      <c r="C15" s="159" t="s">
        <v>460</v>
      </c>
      <c r="D15" s="158" t="s">
        <v>461</v>
      </c>
      <c r="E15" s="925" t="s">
        <v>462</v>
      </c>
      <c r="F15" s="926"/>
      <c r="G15" s="926"/>
      <c r="H15" s="927"/>
      <c r="I15" s="155" t="s">
        <v>458</v>
      </c>
      <c r="J15" s="156" t="str">
        <f>IF(attaque1="Coutille","1d10","")</f>
        <v/>
      </c>
      <c r="K15" s="156" t="str">
        <f>IF(attaque2="Coutille","1d10","")</f>
        <v/>
      </c>
      <c r="L15" s="156" t="str">
        <f>IF(attaque3="Coutille","1d10","")</f>
        <v/>
      </c>
      <c r="M15" s="156" t="str">
        <f>IF(attaque4="Coutille","1d10","")</f>
        <v/>
      </c>
      <c r="N15" s="156" t="str">
        <f>IF(attaque5="Coutille","1d10","")</f>
        <v/>
      </c>
      <c r="O15" s="160" t="str">
        <f>IF(attaque1="Coutille","tranchant","")</f>
        <v/>
      </c>
      <c r="P15" s="160" t="str">
        <f>IF(attaque2="Coutille","tranchant","")</f>
        <v/>
      </c>
      <c r="Q15" s="160" t="str">
        <f>IF(attaque3="Coutille","tranchant","")</f>
        <v/>
      </c>
      <c r="R15" s="160" t="str">
        <f>IF(attaque4="Coutille","tranchant","")</f>
        <v/>
      </c>
      <c r="S15" s="160" t="str">
        <f>IF(attaque5="Coutille","tranchant","")</f>
        <v/>
      </c>
      <c r="T15" s="156" t="str">
        <f>IF(attaque1="Coutille",3,"")</f>
        <v/>
      </c>
      <c r="U15" s="156" t="str">
        <f>IF(attaque2="Coutille",3,"")</f>
        <v/>
      </c>
      <c r="V15" s="156" t="str">
        <f>IF(attaque3="Coutille",3,"")</f>
        <v/>
      </c>
      <c r="W15" s="156" t="str">
        <f>IF(attaque4="Coutille",3,"")</f>
        <v/>
      </c>
      <c r="X15" s="156" t="str">
        <f>IF(attaque5="Coutille",3,"")</f>
        <v/>
      </c>
      <c r="Y15" s="156"/>
      <c r="Z15" s="156"/>
      <c r="AA15" s="156"/>
      <c r="AB15" s="156"/>
      <c r="AC15" s="156"/>
      <c r="AD15" s="156" t="str">
        <f>IF(attaque1="Coutille","Lourde, allonge, à deux mains","")</f>
        <v/>
      </c>
      <c r="AE15" s="156" t="str">
        <f>IF(attaque2="Coutille","Lourde, allonge, à deux mains","")</f>
        <v/>
      </c>
      <c r="AF15" s="156" t="str">
        <f>IF(attaque3="Coutille","Lourde, allonge, à deux mains","")</f>
        <v/>
      </c>
      <c r="AG15" s="156" t="str">
        <f>IF(attaque4="Coutille","Lourde, allonge, à deux mains","")</f>
        <v/>
      </c>
      <c r="AH15" s="156" t="str">
        <f>IF(attaque5="Coutille","Lourde, allonge, à deux mains","")</f>
        <v/>
      </c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</row>
    <row r="16" spans="1:96" ht="15" customHeight="1">
      <c r="A16" s="161" t="s">
        <v>463</v>
      </c>
      <c r="B16" s="162" t="s">
        <v>464</v>
      </c>
      <c r="C16" s="163" t="s">
        <v>460</v>
      </c>
      <c r="D16" s="162" t="s">
        <v>465</v>
      </c>
      <c r="E16" s="922" t="s">
        <v>466</v>
      </c>
      <c r="F16" s="923"/>
      <c r="G16" s="923"/>
      <c r="H16" s="924"/>
      <c r="I16" s="155" t="s">
        <v>463</v>
      </c>
      <c r="J16" s="156" t="str">
        <f>IF(attaque1="Épée à deux mains","2d6","")</f>
        <v/>
      </c>
      <c r="K16" s="156" t="str">
        <f>IF(attaque2="Épée à deux mains","2d6","")</f>
        <v/>
      </c>
      <c r="L16" s="156" t="str">
        <f>IF(attaque3="Épée à deux mains","2d6","")</f>
        <v/>
      </c>
      <c r="M16" s="156" t="str">
        <f>IF(attaque4="Épée à deux mains","2d6","")</f>
        <v/>
      </c>
      <c r="N16" s="156" t="str">
        <f>IF(attaque5="Épée à deux mains","2d6","")</f>
        <v/>
      </c>
      <c r="O16" s="160" t="str">
        <f>IF(attaque1="Épée à deux mains","tranchant","")</f>
        <v/>
      </c>
      <c r="P16" s="160" t="str">
        <f>IF(attaque2="Épée à deux mains","tranchant","")</f>
        <v/>
      </c>
      <c r="Q16" s="160" t="str">
        <f>IF(attaque3="Épée à deux mains","tranchant","")</f>
        <v/>
      </c>
      <c r="R16" s="160" t="str">
        <f>IF(attaque4="Épée à deux mains","tranchant","")</f>
        <v/>
      </c>
      <c r="S16" s="160" t="str">
        <f>IF(attaque5="Épée à deux mains","tranchant","")</f>
        <v/>
      </c>
      <c r="T16" s="156" t="str">
        <f>IF(attaque1="Épée à deux mains",3,"")</f>
        <v/>
      </c>
      <c r="U16" s="156" t="str">
        <f>IF(attaque2="Épée à deux mains",3,"")</f>
        <v/>
      </c>
      <c r="V16" s="156" t="str">
        <f>IF(attaque3="Épée à deux mains",3,"")</f>
        <v/>
      </c>
      <c r="W16" s="156" t="str">
        <f>IF(attaque4="Épée à deux mains",3,"")</f>
        <v/>
      </c>
      <c r="X16" s="156" t="str">
        <f>IF(attaque5="Épée à deux mains",3,"")</f>
        <v/>
      </c>
      <c r="Y16" s="156"/>
      <c r="Z16" s="156"/>
      <c r="AA16" s="156"/>
      <c r="AB16" s="156"/>
      <c r="AC16" s="156"/>
      <c r="AD16" s="156" t="str">
        <f>IF(attaque1="Épée à deux mains","Lourde, à deux mains","")</f>
        <v/>
      </c>
      <c r="AE16" s="156" t="str">
        <f>IF(attaque2="Épée à deux mains","Lourde, à deux mains","")</f>
        <v/>
      </c>
      <c r="AF16" s="156" t="str">
        <f>IF(attaque3="Épée à deux mains","Lourde, à deux mains","")</f>
        <v/>
      </c>
      <c r="AG16" s="156" t="str">
        <f>IF(attaque4="Épée à deux mains","Lourde, à deux mains","")</f>
        <v/>
      </c>
      <c r="AH16" s="156" t="str">
        <f>IF(attaque5="Épée à deux mains","Lourde, à deux mains","")</f>
        <v/>
      </c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</row>
    <row r="17" spans="1:96" ht="15" customHeight="1">
      <c r="A17" s="157" t="s">
        <v>467</v>
      </c>
      <c r="B17" s="158" t="s">
        <v>426</v>
      </c>
      <c r="C17" s="159" t="s">
        <v>419</v>
      </c>
      <c r="D17" s="158" t="s">
        <v>468</v>
      </c>
      <c r="E17" s="925" t="s">
        <v>457</v>
      </c>
      <c r="F17" s="926"/>
      <c r="G17" s="926"/>
      <c r="H17" s="927"/>
      <c r="I17" s="155" t="s">
        <v>467</v>
      </c>
      <c r="J17" s="156" t="str">
        <f>IF(attaque1="Épée courte","1d6","")</f>
        <v/>
      </c>
      <c r="K17" s="156" t="str">
        <f>IF(attaque2="Épée courte","1d6","")</f>
        <v/>
      </c>
      <c r="L17" s="156" t="str">
        <f>IF(attaque3="Épée courte","1d6","")</f>
        <v/>
      </c>
      <c r="M17" s="156" t="str">
        <f>IF(attaque4="Épée courte","1d6","")</f>
        <v/>
      </c>
      <c r="N17" s="156" t="str">
        <f>IF(attaque5="Épée courte","1d6","")</f>
        <v/>
      </c>
      <c r="O17" s="160" t="str">
        <f>IF(attaque1="Épée courte","perforant","")</f>
        <v/>
      </c>
      <c r="P17" s="160" t="str">
        <f>IF(attaque2="Épée courte","perforant","")</f>
        <v/>
      </c>
      <c r="Q17" s="160" t="str">
        <f>IF(attaque3="Épée courte","perforant","")</f>
        <v/>
      </c>
      <c r="R17" s="160" t="str">
        <f>IF(attaque4="Épée courte","perforant","")</f>
        <v/>
      </c>
      <c r="S17" s="160" t="str">
        <f>IF(attaque5="Épée courte","perforant","")</f>
        <v/>
      </c>
      <c r="T17" s="156" t="str">
        <f>IF(attaque1="Épée courte",1,"")</f>
        <v/>
      </c>
      <c r="U17" s="156" t="str">
        <f>IF(attaque2="Épée courte",1,"")</f>
        <v/>
      </c>
      <c r="V17" s="156" t="str">
        <f>IF(attaque3="Épée courte",1,"")</f>
        <v/>
      </c>
      <c r="W17" s="156" t="str">
        <f>IF(attaque4="Épée courte",1,"")</f>
        <v/>
      </c>
      <c r="X17" s="156" t="str">
        <f>IF(attaque5="Épée courte",1,"")</f>
        <v/>
      </c>
      <c r="Y17" s="156"/>
      <c r="Z17" s="156"/>
      <c r="AA17" s="156"/>
      <c r="AB17" s="156"/>
      <c r="AC17" s="156"/>
      <c r="AD17" s="156" t="str">
        <f>IF(attaque1="Épée courte","Finesse, légère","")</f>
        <v/>
      </c>
      <c r="AE17" s="156" t="str">
        <f>IF(attaque2="Épée courte","Finesse, légère","")</f>
        <v/>
      </c>
      <c r="AF17" s="156" t="str">
        <f>IF(attaque3="Épée courte","Finesse, légère","")</f>
        <v/>
      </c>
      <c r="AG17" s="156" t="str">
        <f>IF(attaque4="Épée courte","Finesse, légère","")</f>
        <v/>
      </c>
      <c r="AH17" s="156" t="str">
        <f>IF(attaque5="Épée courte","Finesse, légère","")</f>
        <v/>
      </c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</row>
    <row r="18" spans="1:96" ht="15" customHeight="1">
      <c r="A18" s="161" t="s">
        <v>469</v>
      </c>
      <c r="B18" s="162" t="s">
        <v>470</v>
      </c>
      <c r="C18" s="163" t="s">
        <v>430</v>
      </c>
      <c r="D18" s="162" t="s">
        <v>471</v>
      </c>
      <c r="E18" s="922" t="s">
        <v>472</v>
      </c>
      <c r="F18" s="923"/>
      <c r="G18" s="923"/>
      <c r="H18" s="924"/>
      <c r="I18" s="155" t="s">
        <v>469</v>
      </c>
      <c r="J18" s="156" t="str">
        <f>IF(attaque1="Épée longue","1d8","")</f>
        <v/>
      </c>
      <c r="K18" s="156" t="str">
        <f>IF(attaque2="Épée longue","1d8","")</f>
        <v/>
      </c>
      <c r="L18" s="156" t="str">
        <f>IF(attaque3="Épée longue","1d8","")</f>
        <v/>
      </c>
      <c r="M18" s="156" t="str">
        <f>IF(attaque4="Épée longue","1d8","")</f>
        <v/>
      </c>
      <c r="N18" s="156" t="str">
        <f>IF(attaque5="Épée longue","1d8","")</f>
        <v/>
      </c>
      <c r="O18" s="160" t="str">
        <f>IF(attaque1="Épée longue","tranchant","")</f>
        <v/>
      </c>
      <c r="P18" s="160" t="str">
        <f>IF(attaque2="Épée longue","tranchant","")</f>
        <v/>
      </c>
      <c r="Q18" s="160" t="str">
        <f>IF(attaque3="Épée longue","tranchant","")</f>
        <v/>
      </c>
      <c r="R18" s="160" t="str">
        <f>IF(attaque4="Épée longue","tranchant","")</f>
        <v/>
      </c>
      <c r="S18" s="160" t="str">
        <f>IF(attaque5="Épée longue","tranchant","")</f>
        <v/>
      </c>
      <c r="T18" s="156" t="str">
        <f>IF(attaque1="Épée longue",1.5,"")</f>
        <v/>
      </c>
      <c r="U18" s="156" t="str">
        <f>IF(attaque2="Épée longue",1.5,"")</f>
        <v/>
      </c>
      <c r="V18" s="156" t="str">
        <f>IF(attaque3="Épée longue",1.5,"")</f>
        <v/>
      </c>
      <c r="W18" s="156" t="str">
        <f>IF(attaque4="Épée longue",1.5,"")</f>
        <v/>
      </c>
      <c r="X18" s="156" t="str">
        <f>IF(attaque5="Épée longue",1.5,"")</f>
        <v/>
      </c>
      <c r="Y18" s="156"/>
      <c r="Z18" s="156"/>
      <c r="AA18" s="156"/>
      <c r="AB18" s="156"/>
      <c r="AC18" s="156"/>
      <c r="AD18" s="156" t="str">
        <f>IF(attaque1="Épée longue","Versatile (1d10)","")</f>
        <v/>
      </c>
      <c r="AE18" s="156" t="str">
        <f>IF(attaque2="Épée longue","Versatile (1d10)","")</f>
        <v/>
      </c>
      <c r="AF18" s="156" t="str">
        <f>IF(attaque3="Épée longue","Versatile (1d10)","")</f>
        <v/>
      </c>
      <c r="AG18" s="156" t="str">
        <f>IF(attaque4="Épée longue","Versatile (1d10)","")</f>
        <v/>
      </c>
      <c r="AH18" s="156" t="str">
        <f>IF(attaque5="Épée longue","Versatile (1d10)","")</f>
        <v/>
      </c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</row>
    <row r="19" spans="1:96" ht="15" customHeight="1">
      <c r="A19" s="157" t="s">
        <v>473</v>
      </c>
      <c r="B19" s="158" t="s">
        <v>436</v>
      </c>
      <c r="C19" s="159" t="s">
        <v>419</v>
      </c>
      <c r="D19" s="158" t="s">
        <v>468</v>
      </c>
      <c r="E19" s="925" t="s">
        <v>103</v>
      </c>
      <c r="F19" s="926"/>
      <c r="G19" s="926"/>
      <c r="H19" s="927"/>
      <c r="I19" s="155" t="s">
        <v>473</v>
      </c>
      <c r="J19" s="156" t="str">
        <f>IF(attaque1="Fléau d'armes","1d8","")</f>
        <v/>
      </c>
      <c r="K19" s="156" t="str">
        <f>IF(attaque2="Fléau d'armes","1d8","")</f>
        <v/>
      </c>
      <c r="L19" s="156" t="str">
        <f>IF(attaque3="Fléau d'armes","1d8","")</f>
        <v/>
      </c>
      <c r="M19" s="156" t="str">
        <f>IF(attaque4="Fléau d'armes","1d8","")</f>
        <v/>
      </c>
      <c r="N19" s="156" t="str">
        <f>IF(attaque5="Fléau d'armes","1d8","")</f>
        <v/>
      </c>
      <c r="O19" s="160" t="str">
        <f>IF(attaque1="Fléau d'armes","contondant","")</f>
        <v/>
      </c>
      <c r="P19" s="160" t="str">
        <f>IF(attaque2="Fléau d'armes","contondant","")</f>
        <v/>
      </c>
      <c r="Q19" s="160" t="str">
        <f>IF(attaque3="Fléau d'armes","contondant","")</f>
        <v/>
      </c>
      <c r="R19" s="160" t="str">
        <f>IF(attaque4="Fléau d'armes","contondant","")</f>
        <v/>
      </c>
      <c r="S19" s="160" t="str">
        <f>IF(attaque5="Fléau d'armes","contondant","")</f>
        <v/>
      </c>
      <c r="T19" s="156" t="str">
        <f>IF(attaque1="Fléau d'armes",1,"")</f>
        <v/>
      </c>
      <c r="U19" s="156" t="str">
        <f>IF(attaque2="Fléau d'armes",1,"")</f>
        <v/>
      </c>
      <c r="V19" s="156" t="str">
        <f>IF(attaque3="Fléau d'armes",1,"")</f>
        <v/>
      </c>
      <c r="W19" s="156" t="str">
        <f>IF(attaque4="Fléau d'armes",1,"")</f>
        <v/>
      </c>
      <c r="X19" s="156" t="str">
        <f>IF(attaque5="Fléau d'armes",1,"")</f>
        <v/>
      </c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</row>
    <row r="20" spans="1:96" ht="15" customHeight="1">
      <c r="A20" s="161" t="s">
        <v>474</v>
      </c>
      <c r="B20" s="162" t="s">
        <v>440</v>
      </c>
      <c r="C20" s="163" t="s">
        <v>430</v>
      </c>
      <c r="D20" s="162" t="s">
        <v>415</v>
      </c>
      <c r="E20" s="922" t="s">
        <v>475</v>
      </c>
      <c r="F20" s="923"/>
      <c r="G20" s="923"/>
      <c r="H20" s="924"/>
      <c r="I20" s="155" t="s">
        <v>474</v>
      </c>
      <c r="J20" s="156" t="str">
        <f>IF(attaque1="Fouet","1d4","")</f>
        <v/>
      </c>
      <c r="K20" s="156" t="str">
        <f>IF(attaque2="Fouet","1d4","")</f>
        <v/>
      </c>
      <c r="L20" s="156" t="str">
        <f>IF(attaque3="Fouet","1d4","")</f>
        <v/>
      </c>
      <c r="M20" s="156" t="str">
        <f>IF(attaque4="Fouet","1d4","")</f>
        <v/>
      </c>
      <c r="N20" s="156" t="str">
        <f>IF(attaque5="Fouet","1d4","")</f>
        <v/>
      </c>
      <c r="O20" s="160" t="str">
        <f>IF(attaque1="Fouet","tranchant","")</f>
        <v/>
      </c>
      <c r="P20" s="160" t="str">
        <f>IF(attaque2="Fouet","tranchant","")</f>
        <v/>
      </c>
      <c r="Q20" s="160" t="str">
        <f>IF(attaque3="Fouet","tranchant","")</f>
        <v/>
      </c>
      <c r="R20" s="160" t="str">
        <f>IF(attaque4="Fouet","tranchant","")</f>
        <v/>
      </c>
      <c r="S20" s="160" t="str">
        <f>IF(attaque5="Fouet","tranchant","")</f>
        <v/>
      </c>
      <c r="T20" s="156" t="str">
        <f>IF(attaque1="Fouet",1.5,"")</f>
        <v/>
      </c>
      <c r="U20" s="156" t="str">
        <f>IF(attaque2="Fouet",1.5,"")</f>
        <v/>
      </c>
      <c r="V20" s="156" t="str">
        <f>IF(attaque3="Fouet",1.5,"")</f>
        <v/>
      </c>
      <c r="W20" s="156" t="str">
        <f>IF(attaque4="Fouet",1.5,"")</f>
        <v/>
      </c>
      <c r="X20" s="156" t="str">
        <f>IF(attaque5="Fouet",1.5,"")</f>
        <v/>
      </c>
      <c r="Y20" s="156"/>
      <c r="Z20" s="156"/>
      <c r="AA20" s="156"/>
      <c r="AB20" s="156"/>
      <c r="AC20" s="156"/>
      <c r="AD20" s="156" t="str">
        <f>IF(attaque1="Fouet","Finesse, allonge","")</f>
        <v/>
      </c>
      <c r="AE20" s="156" t="str">
        <f>IF(attaque2="Fouet","Finesse, allonge","")</f>
        <v/>
      </c>
      <c r="AF20" s="156" t="str">
        <f>IF(attaque3="Fouet","Finesse, allonge","")</f>
        <v/>
      </c>
      <c r="AG20" s="156" t="str">
        <f>IF(attaque4="Fouet","Finesse, allonge","")</f>
        <v/>
      </c>
      <c r="AH20" s="156" t="str">
        <f>IF(attaque5="Fouet","Finesse, allonge","")</f>
        <v/>
      </c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</row>
    <row r="21" spans="1:96" ht="15" customHeight="1">
      <c r="A21" s="157" t="s">
        <v>476</v>
      </c>
      <c r="B21" s="158" t="s">
        <v>477</v>
      </c>
      <c r="C21" s="159" t="s">
        <v>478</v>
      </c>
      <c r="D21" s="158" t="s">
        <v>479</v>
      </c>
      <c r="E21" s="925" t="s">
        <v>466</v>
      </c>
      <c r="F21" s="926"/>
      <c r="G21" s="926"/>
      <c r="H21" s="927"/>
      <c r="I21" s="155" t="s">
        <v>476</v>
      </c>
      <c r="J21" s="156" t="str">
        <f>IF(attaque1="Grande hache","1d12","")</f>
        <v/>
      </c>
      <c r="K21" s="156" t="str">
        <f>IF(attaque2="Grande hache","1d12","")</f>
        <v/>
      </c>
      <c r="L21" s="156" t="str">
        <f>IF(attaque3="Grande hache","1d12","")</f>
        <v/>
      </c>
      <c r="M21" s="156" t="str">
        <f>IF(attaque4="Grande hache","1d12","")</f>
        <v/>
      </c>
      <c r="N21" s="156" t="str">
        <f>IF(attaque5="Grande hache","1d12","")</f>
        <v/>
      </c>
      <c r="O21" s="160" t="str">
        <f>IF(attaque1="Grande hache","tranchant","")</f>
        <v/>
      </c>
      <c r="P21" s="160" t="str">
        <f>IF(attaque2="Grande hache","tranchant","")</f>
        <v/>
      </c>
      <c r="Q21" s="160" t="str">
        <f>IF(attaque3="Grande hache","tranchant","")</f>
        <v/>
      </c>
      <c r="R21" s="160" t="str">
        <f>IF(attaque4="Grande hache","tranchant","")</f>
        <v/>
      </c>
      <c r="S21" s="160" t="str">
        <f>IF(attaque5="Grande hache","tranchant","")</f>
        <v/>
      </c>
      <c r="T21" s="156" t="str">
        <f>IF(attaque1="Grande hache",3.5,"")</f>
        <v/>
      </c>
      <c r="U21" s="156" t="str">
        <f>IF(attaque2="Grande hache",3.5,"")</f>
        <v/>
      </c>
      <c r="V21" s="156" t="str">
        <f>IF(attaque3="Grande hache",3.5,"")</f>
        <v/>
      </c>
      <c r="W21" s="156" t="str">
        <f>IF(attaque4="Grande hache",3.5,"")</f>
        <v/>
      </c>
      <c r="X21" s="156" t="str">
        <f>IF(attaque5="Grande hache",3.5,"")</f>
        <v/>
      </c>
      <c r="Y21" s="156"/>
      <c r="Z21" s="156"/>
      <c r="AA21" s="156"/>
      <c r="AB21" s="156"/>
      <c r="AC21" s="156"/>
      <c r="AD21" s="156" t="str">
        <f>IF(attaque1="Grande hache","Lourde, à deux mains","")</f>
        <v/>
      </c>
      <c r="AE21" s="156" t="str">
        <f>IF(attaque2="Grande hache","Lourde, à deux mains","")</f>
        <v/>
      </c>
      <c r="AF21" s="156" t="str">
        <f>IF(attaque3="Grande hache","Lourde, à deux mains","")</f>
        <v/>
      </c>
      <c r="AG21" s="156" t="str">
        <f>IF(attaque4="Grande hache","Lourde, à deux mains","")</f>
        <v/>
      </c>
      <c r="AH21" s="156" t="str">
        <f>IF(attaque5="Grande hache","Lourde, à deux mains","")</f>
        <v/>
      </c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</row>
    <row r="22" spans="1:96" ht="15" customHeight="1">
      <c r="A22" s="161" t="s">
        <v>480</v>
      </c>
      <c r="B22" s="162" t="s">
        <v>470</v>
      </c>
      <c r="C22" s="163" t="s">
        <v>409</v>
      </c>
      <c r="D22" s="162" t="s">
        <v>468</v>
      </c>
      <c r="E22" s="922" t="s">
        <v>472</v>
      </c>
      <c r="F22" s="923"/>
      <c r="G22" s="923"/>
      <c r="H22" s="924"/>
      <c r="I22" s="155" t="s">
        <v>480</v>
      </c>
      <c r="J22" s="156" t="str">
        <f>IF(attaque1="Hache d'armes","1d8","")</f>
        <v/>
      </c>
      <c r="K22" s="156" t="str">
        <f>IF(attaque2="Hache d'armes","1d8","")</f>
        <v/>
      </c>
      <c r="L22" s="156" t="str">
        <f>IF(attaque3="Hache d'armes","1d8","")</f>
        <v/>
      </c>
      <c r="M22" s="156" t="str">
        <f>IF(attaque4="Hache d'armes","1d8","")</f>
        <v/>
      </c>
      <c r="N22" s="156" t="str">
        <f>IF(attaque5="Hache d'armes","1d8","")</f>
        <v/>
      </c>
      <c r="O22" s="160" t="str">
        <f>IF(attaque1="Hache d'armes","tranchant","")</f>
        <v/>
      </c>
      <c r="P22" s="160" t="str">
        <f>IF(attaque2="Hache d'armes","tranchant","")</f>
        <v/>
      </c>
      <c r="Q22" s="160" t="str">
        <f>IF(attaque3="Hache d'armes","tranchant","")</f>
        <v/>
      </c>
      <c r="R22" s="160" t="str">
        <f>IF(attaque4="Hache d'armes","tranchant","")</f>
        <v/>
      </c>
      <c r="S22" s="160" t="str">
        <f>IF(attaque5="Hache d'armes","tranchant","")</f>
        <v/>
      </c>
      <c r="T22" s="156" t="str">
        <f>IF(attaque1="Hache d'armes",2,"")</f>
        <v/>
      </c>
      <c r="U22" s="156" t="str">
        <f>IF(attaque2="Hache d'armes",2,"")</f>
        <v/>
      </c>
      <c r="V22" s="156" t="str">
        <f>IF(attaque3="Hache d'armes",2,"")</f>
        <v/>
      </c>
      <c r="W22" s="156" t="str">
        <f>IF(attaque4="Hache d'armes",2,"")</f>
        <v/>
      </c>
      <c r="X22" s="156" t="str">
        <f>IF(attaque5="Hache d'armes",2,"")</f>
        <v/>
      </c>
      <c r="Y22" s="156"/>
      <c r="Z22" s="156"/>
      <c r="AA22" s="156"/>
      <c r="AB22" s="156"/>
      <c r="AC22" s="156"/>
      <c r="AD22" s="156" t="str">
        <f>IF(attaque1="Hache d'armes","Versatile (1d10)","")</f>
        <v/>
      </c>
      <c r="AE22" s="156" t="str">
        <f>IF(attaque2="Hache d'armes","Versatile (1d10)","")</f>
        <v/>
      </c>
      <c r="AF22" s="156" t="str">
        <f>IF(attaque3="Hache d'armes","Versatile (1d10)","")</f>
        <v/>
      </c>
      <c r="AG22" s="156" t="str">
        <f>IF(attaque4="Hache d'armes","Versatile (1d10)","")</f>
        <v/>
      </c>
      <c r="AH22" s="156" t="str">
        <f>IF(attaque5="Hache d'armes","Versatile (1d10)","")</f>
        <v/>
      </c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</row>
    <row r="23" spans="1:96" ht="15" customHeight="1">
      <c r="A23" s="157" t="s">
        <v>481</v>
      </c>
      <c r="B23" s="158" t="s">
        <v>459</v>
      </c>
      <c r="C23" s="159" t="s">
        <v>460</v>
      </c>
      <c r="D23" s="158" t="s">
        <v>461</v>
      </c>
      <c r="E23" s="925" t="s">
        <v>462</v>
      </c>
      <c r="F23" s="926"/>
      <c r="G23" s="926"/>
      <c r="H23" s="927"/>
      <c r="I23" s="155" t="s">
        <v>481</v>
      </c>
      <c r="J23" s="156" t="str">
        <f>IF(attaque1="Hallebarde","1d10","")</f>
        <v/>
      </c>
      <c r="K23" s="156" t="str">
        <f>IF(attaque2="Hallebarde","1d10","")</f>
        <v/>
      </c>
      <c r="L23" s="156" t="str">
        <f>IF(attaque3="Hallebarde","1d10","")</f>
        <v/>
      </c>
      <c r="M23" s="156" t="str">
        <f>IF(attaque4="Hallebarde","1d10","")</f>
        <v/>
      </c>
      <c r="N23" s="156" t="str">
        <f>IF(attaque5="Hallebarde","1d10","")</f>
        <v/>
      </c>
      <c r="O23" s="160" t="str">
        <f>IF(attaque1="Hallebarde","tranchant","")</f>
        <v/>
      </c>
      <c r="P23" s="160" t="str">
        <f>IF(attaque2="Hallebarde","tranchant","")</f>
        <v/>
      </c>
      <c r="Q23" s="160" t="str">
        <f>IF(attaque3="Hallebarde","tranchant","")</f>
        <v/>
      </c>
      <c r="R23" s="160" t="str">
        <f>IF(attaque4="Hallebarde","tranchant","")</f>
        <v/>
      </c>
      <c r="S23" s="160" t="str">
        <f>IF(attaque5="Hallebarde","tranchant","")</f>
        <v/>
      </c>
      <c r="T23" s="156" t="str">
        <f>IF(attaque1="Hallebarde",3,"")</f>
        <v/>
      </c>
      <c r="U23" s="156" t="str">
        <f>IF(attaque2="Hallebarde",3,"")</f>
        <v/>
      </c>
      <c r="V23" s="156" t="str">
        <f>IF(attaque3="Hallebarde",3,"")</f>
        <v/>
      </c>
      <c r="W23" s="156" t="str">
        <f>IF(attaque4="Hallebarde",3,"")</f>
        <v/>
      </c>
      <c r="X23" s="156" t="str">
        <f>IF(attaque5="Hallebarde",3,"")</f>
        <v/>
      </c>
      <c r="Y23" s="156"/>
      <c r="Z23" s="156"/>
      <c r="AA23" s="156"/>
      <c r="AB23" s="156"/>
      <c r="AC23" s="156"/>
      <c r="AD23" s="156" t="str">
        <f>IF(attaque1="Hallebarde","Lourde, allonge, à deux mains","")</f>
        <v/>
      </c>
      <c r="AE23" s="156" t="str">
        <f>IF(attaque2="Hallebarde","Lourde, allonge, à deux mains","")</f>
        <v/>
      </c>
      <c r="AF23" s="156" t="str">
        <f>IF(attaque3="Hallebarde","Lourde, allonge, à deux mains","")</f>
        <v/>
      </c>
      <c r="AG23" s="156" t="str">
        <f>IF(attaque4="Hallebarde","Lourde, allonge, à deux mains","")</f>
        <v/>
      </c>
      <c r="AH23" s="156" t="str">
        <f>IF(attaque5="Hallebarde","Lourde, allonge, à deux mains","")</f>
        <v/>
      </c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</row>
    <row r="24" spans="1:96" ht="15" customHeight="1">
      <c r="A24" s="161" t="s">
        <v>482</v>
      </c>
      <c r="B24" s="162" t="s">
        <v>483</v>
      </c>
      <c r="C24" s="163" t="s">
        <v>460</v>
      </c>
      <c r="D24" s="162" t="s">
        <v>468</v>
      </c>
      <c r="E24" s="922" t="s">
        <v>484</v>
      </c>
      <c r="F24" s="923"/>
      <c r="G24" s="923"/>
      <c r="H24" s="924"/>
      <c r="I24" s="155" t="s">
        <v>482</v>
      </c>
      <c r="J24" s="156" t="str">
        <f>IF(attaque1="Lance d’arçon","1d12","")</f>
        <v/>
      </c>
      <c r="K24" s="156" t="str">
        <f>IF(attaque2="Lance d’arçon","1d12","")</f>
        <v/>
      </c>
      <c r="L24" s="156" t="str">
        <f>IF(attaque3="Lance d’arçon","1d12","")</f>
        <v/>
      </c>
      <c r="M24" s="156" t="str">
        <f>IF(attaque4="Lance d’arçon","1d12","")</f>
        <v/>
      </c>
      <c r="N24" s="156" t="str">
        <f>IF(attaque5="Lance d’arçon","1d12","")</f>
        <v/>
      </c>
      <c r="O24" s="160" t="str">
        <f>IF(attaque1="Lance d’arçon","perforant","")</f>
        <v/>
      </c>
      <c r="P24" s="160" t="str">
        <f>IF(attaque2="Lance d’arçon","perforant","")</f>
        <v/>
      </c>
      <c r="Q24" s="160" t="str">
        <f>IF(attaque3="Lance d’arçon","perforant","")</f>
        <v/>
      </c>
      <c r="R24" s="160" t="str">
        <f>IF(attaque4="Lance d’arçon","perforant","")</f>
        <v/>
      </c>
      <c r="S24" s="160" t="str">
        <f>IF(attaque5="Lance d’arçon","perforant","")</f>
        <v/>
      </c>
      <c r="T24" s="156" t="str">
        <f>IF(attaque1="Lance d’arçon",3,"")</f>
        <v/>
      </c>
      <c r="U24" s="156" t="str">
        <f>IF(attaque2="Lance d’arçon",3,"")</f>
        <v/>
      </c>
      <c r="V24" s="156" t="str">
        <f>IF(attaque3="Lance d’arçon",3,"")</f>
        <v/>
      </c>
      <c r="W24" s="156" t="str">
        <f>IF(attaque4="Lance d’arçon",3,"")</f>
        <v/>
      </c>
      <c r="X24" s="156" t="str">
        <f>IF(attaque5="Lance d’arçon",3,"")</f>
        <v/>
      </c>
      <c r="Y24" s="156"/>
      <c r="Z24" s="156"/>
      <c r="AA24" s="156"/>
      <c r="AB24" s="156"/>
      <c r="AC24" s="156"/>
      <c r="AD24" s="156" t="str">
        <f>IF(attaque1="Lance d’arçon","Allonge, spécial","")</f>
        <v/>
      </c>
      <c r="AE24" s="156" t="str">
        <f>IF(attaque2="Lance d’arçon","Allonge, spécial","")</f>
        <v/>
      </c>
      <c r="AF24" s="156" t="str">
        <f>IF(attaque3="Lance d’arçon","Allonge, spécial","")</f>
        <v/>
      </c>
      <c r="AG24" s="156" t="str">
        <f>IF(attaque4="Lance d’arçon","Allonge, spécial","")</f>
        <v/>
      </c>
      <c r="AH24" s="156" t="str">
        <f>IF(attaque5="Lance d’arçon","Allonge, spécial","")</f>
        <v/>
      </c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</row>
    <row r="25" spans="1:96" ht="15" customHeight="1">
      <c r="A25" s="157" t="s">
        <v>485</v>
      </c>
      <c r="B25" s="158" t="s">
        <v>486</v>
      </c>
      <c r="C25" s="159" t="s">
        <v>437</v>
      </c>
      <c r="D25" s="158" t="s">
        <v>468</v>
      </c>
      <c r="E25" s="925" t="s">
        <v>466</v>
      </c>
      <c r="F25" s="926"/>
      <c r="G25" s="926"/>
      <c r="H25" s="927"/>
      <c r="I25" s="155" t="s">
        <v>485</v>
      </c>
      <c r="J25" s="156" t="str">
        <f>IF(attaque1="Maillet","2d6","")</f>
        <v/>
      </c>
      <c r="K25" s="156" t="str">
        <f>IF(attaque2="Maillet","2d6","")</f>
        <v/>
      </c>
      <c r="L25" s="156" t="str">
        <f>IF(attaque3="Maillet","2d6","")</f>
        <v/>
      </c>
      <c r="M25" s="156" t="str">
        <f>IF(attaque4="Maillet","2d6","")</f>
        <v/>
      </c>
      <c r="N25" s="156" t="str">
        <f>IF(attaque5="Maillet","2d6","")</f>
        <v/>
      </c>
      <c r="O25" s="160" t="str">
        <f>IF(attaque1="Maillet","contondant","")</f>
        <v/>
      </c>
      <c r="P25" s="160" t="str">
        <f>IF(attaque2="Maillet","contondant","")</f>
        <v/>
      </c>
      <c r="Q25" s="160" t="str">
        <f>IF(attaque3="Maillet","contondant","")</f>
        <v/>
      </c>
      <c r="R25" s="160" t="str">
        <f>IF(attaque4="Maillet","contondant","")</f>
        <v/>
      </c>
      <c r="S25" s="160" t="str">
        <f>IF(attaque5="Maillet","contondant","")</f>
        <v/>
      </c>
      <c r="T25" s="156" t="str">
        <f>IF(attaque1="Maillet",5,"")</f>
        <v/>
      </c>
      <c r="U25" s="156" t="str">
        <f>IF(attaque2="Maillet",5,"")</f>
        <v/>
      </c>
      <c r="V25" s="156" t="str">
        <f>IF(attaque3="Maillet",5,"")</f>
        <v/>
      </c>
      <c r="W25" s="156" t="str">
        <f>IF(attaque4="Maillet",5,"")</f>
        <v/>
      </c>
      <c r="X25" s="156" t="str">
        <f>IF(attaque5="Maillet",5,"")</f>
        <v/>
      </c>
      <c r="Y25" s="156"/>
      <c r="Z25" s="156"/>
      <c r="AA25" s="156"/>
      <c r="AB25" s="156"/>
      <c r="AC25" s="156"/>
      <c r="AD25" s="156" t="str">
        <f>IF(attaque1="Maillet","Lourde, à deux mains","")</f>
        <v/>
      </c>
      <c r="AE25" s="156" t="str">
        <f>IF(attaque2="Maillet","Lourde, à deux mains","")</f>
        <v/>
      </c>
      <c r="AF25" s="156" t="str">
        <f>IF(attaque3="Maillet","Lourde, à deux mains","")</f>
        <v/>
      </c>
      <c r="AG25" s="156" t="str">
        <f>IF(attaque4="Maillet","Lourde, à deux mains","")</f>
        <v/>
      </c>
      <c r="AH25" s="156" t="str">
        <f>IF(attaque5="Maillet","Lourde, à deux mains","")</f>
        <v/>
      </c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</row>
    <row r="26" spans="1:96" ht="15" customHeight="1">
      <c r="A26" s="161" t="s">
        <v>487</v>
      </c>
      <c r="B26" s="162" t="s">
        <v>436</v>
      </c>
      <c r="C26" s="163" t="s">
        <v>419</v>
      </c>
      <c r="D26" s="162" t="s">
        <v>471</v>
      </c>
      <c r="E26" s="922" t="s">
        <v>472</v>
      </c>
      <c r="F26" s="923"/>
      <c r="G26" s="923"/>
      <c r="H26" s="924"/>
      <c r="I26" s="155" t="s">
        <v>487</v>
      </c>
      <c r="J26" s="156" t="str">
        <f>IF(attaque1="Marteau de guerre","1d8","")</f>
        <v/>
      </c>
      <c r="K26" s="156" t="str">
        <f>IF(attaque2="Marteau de guerre","1d8","")</f>
        <v/>
      </c>
      <c r="L26" s="156" t="str">
        <f>IF(attaque3="Marteau de guerre","1d8","")</f>
        <v/>
      </c>
      <c r="M26" s="156" t="str">
        <f>IF(attaque4="Marteau de guerre","1d8","")</f>
        <v/>
      </c>
      <c r="N26" s="156" t="str">
        <f>IF(attaque5="Marteau de guerre","1d8","")</f>
        <v/>
      </c>
      <c r="O26" s="160" t="str">
        <f>IF(attaque1="Marteau de guerre","contondant","")</f>
        <v/>
      </c>
      <c r="P26" s="160" t="str">
        <f>IF(attaque2="Marteau de guerre","contondant","")</f>
        <v/>
      </c>
      <c r="Q26" s="160" t="str">
        <f>IF(attaque3="Marteau de guerre","contondant","")</f>
        <v/>
      </c>
      <c r="R26" s="160" t="str">
        <f>IF(attaque4="Marteau de guerre","contondant","")</f>
        <v/>
      </c>
      <c r="S26" s="160" t="str">
        <f>IF(attaque5="Marteau de guerre","contondant","")</f>
        <v/>
      </c>
      <c r="T26" s="156" t="str">
        <f>IF(attaque1="Marteau de guerre",1,"")</f>
        <v/>
      </c>
      <c r="U26" s="156" t="str">
        <f>IF(attaque2="Marteau de guerre",1,"")</f>
        <v/>
      </c>
      <c r="V26" s="156" t="str">
        <f>IF(attaque3="Marteau de guerre",1,"")</f>
        <v/>
      </c>
      <c r="W26" s="156" t="str">
        <f>IF(attaque4="Marteau de guerre",1,"")</f>
        <v/>
      </c>
      <c r="X26" s="156" t="str">
        <f>IF(attaque5="Marteau de guerre",1,"")</f>
        <v/>
      </c>
      <c r="Y26" s="156"/>
      <c r="Z26" s="156"/>
      <c r="AA26" s="156"/>
      <c r="AB26" s="156"/>
      <c r="AC26" s="156"/>
      <c r="AD26" s="156" t="str">
        <f>IF(attaque1="Marteau de guerre","Versatile (1d10)","")</f>
        <v/>
      </c>
      <c r="AE26" s="156" t="str">
        <f>IF(attaque2="Marteau de guerre","Versatile (1d10)","")</f>
        <v/>
      </c>
      <c r="AF26" s="156" t="str">
        <f>IF(attaque3="Marteau de guerre","Versatile (1d10)","")</f>
        <v/>
      </c>
      <c r="AG26" s="156" t="str">
        <f>IF(attaque4="Marteau de guerre","Versatile (1d10)","")</f>
        <v/>
      </c>
      <c r="AH26" s="156" t="str">
        <f>IF(attaque5="Marteau de guerre","Versatile (1d10)","")</f>
        <v/>
      </c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</row>
    <row r="27" spans="1:96" ht="15" customHeight="1">
      <c r="A27" s="157" t="s">
        <v>488</v>
      </c>
      <c r="B27" s="158" t="s">
        <v>443</v>
      </c>
      <c r="C27" s="159" t="s">
        <v>409</v>
      </c>
      <c r="D27" s="158" t="s">
        <v>471</v>
      </c>
      <c r="E27" s="925" t="s">
        <v>103</v>
      </c>
      <c r="F27" s="926"/>
      <c r="G27" s="926"/>
      <c r="H27" s="927"/>
      <c r="I27" s="155" t="s">
        <v>488</v>
      </c>
      <c r="J27" s="156" t="str">
        <f>IF(attaque1="Morgenstern","1d8","")</f>
        <v/>
      </c>
      <c r="K27" s="156" t="str">
        <f>IF(attaque2="Morgenstern","1d8","")</f>
        <v/>
      </c>
      <c r="L27" s="156" t="str">
        <f>IF(attaque3="Morgenstern","1d8","")</f>
        <v/>
      </c>
      <c r="M27" s="156" t="str">
        <f>IF(attaque4="Morgenstern","1d8","")</f>
        <v/>
      </c>
      <c r="N27" s="156" t="str">
        <f>IF(attaque5="Morgenstern","1d8","")</f>
        <v/>
      </c>
      <c r="O27" s="160" t="str">
        <f>IF(attaque1="Morgenstern","perforant","")</f>
        <v/>
      </c>
      <c r="P27" s="160" t="str">
        <f>IF(attaque2="Morgenstern","perforant","")</f>
        <v/>
      </c>
      <c r="Q27" s="160" t="str">
        <f>IF(attaque3="Morgenstern","perforant","")</f>
        <v/>
      </c>
      <c r="R27" s="160" t="str">
        <f>IF(attaque4="Morgenstern","perforant","")</f>
        <v/>
      </c>
      <c r="S27" s="160" t="str">
        <f>IF(attaque5="Morgenstern","perforant","")</f>
        <v/>
      </c>
      <c r="T27" s="156" t="str">
        <f>IF(attaque1="Morgenstern",2,"")</f>
        <v/>
      </c>
      <c r="U27" s="156" t="str">
        <f>IF(attaque2="Morgenstern",2,"")</f>
        <v/>
      </c>
      <c r="V27" s="156" t="str">
        <f>IF(attaque3="Morgenstern",2,"")</f>
        <v/>
      </c>
      <c r="W27" s="156" t="str">
        <f>IF(attaque4="Morgenstern",2,"")</f>
        <v/>
      </c>
      <c r="X27" s="156" t="str">
        <f>IF(attaque5="Morgenstern",2,"")</f>
        <v/>
      </c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</row>
    <row r="28" spans="1:96" ht="15" customHeight="1">
      <c r="A28" s="161" t="s">
        <v>489</v>
      </c>
      <c r="B28" s="162" t="s">
        <v>490</v>
      </c>
      <c r="C28" s="163" t="s">
        <v>419</v>
      </c>
      <c r="D28" s="162" t="s">
        <v>423</v>
      </c>
      <c r="E28" s="922" t="s">
        <v>103</v>
      </c>
      <c r="F28" s="923"/>
      <c r="G28" s="923"/>
      <c r="H28" s="924"/>
      <c r="I28" s="155" t="s">
        <v>489</v>
      </c>
      <c r="J28" s="156" t="str">
        <f>IF(attaque1="Pic de guerre","1d8","")</f>
        <v/>
      </c>
      <c r="K28" s="156" t="str">
        <f>IF(attaque2="Pic de guerre","1d8","")</f>
        <v/>
      </c>
      <c r="L28" s="156" t="str">
        <f>IF(attaque3="Pic de guerre","1d8","")</f>
        <v/>
      </c>
      <c r="M28" s="156" t="str">
        <f>IF(attaque4="Pic de guerre","1d8","")</f>
        <v/>
      </c>
      <c r="N28" s="156" t="str">
        <f>IF(attaque5="Pic de guerre","1d8","")</f>
        <v/>
      </c>
      <c r="O28" s="160" t="str">
        <f>IF(attaque1="Pic de guerre","perforant","")</f>
        <v/>
      </c>
      <c r="P28" s="160" t="str">
        <f>IF(attaque2="Pic de guerre","perforant","")</f>
        <v/>
      </c>
      <c r="Q28" s="160" t="str">
        <f>IF(attaque3="Pic de guerre","perforant","")</f>
        <v/>
      </c>
      <c r="R28" s="160" t="str">
        <f>IF(attaque4="Pic de guerre","perforant","")</f>
        <v/>
      </c>
      <c r="S28" s="160" t="str">
        <f>IF(attaque5="Pic de guerre","perforant","")</f>
        <v/>
      </c>
      <c r="T28" s="156" t="str">
        <f>IF(attaque1="Pic de guerre",1,"")</f>
        <v/>
      </c>
      <c r="U28" s="156" t="str">
        <f>IF(attaque2="Pic de guerre",1,"")</f>
        <v/>
      </c>
      <c r="V28" s="156" t="str">
        <f>IF(attaque3="Pic de guerre",1,"")</f>
        <v/>
      </c>
      <c r="W28" s="156" t="str">
        <f>IF(attaque4="Pic de guerre",1,"")</f>
        <v/>
      </c>
      <c r="X28" s="156" t="str">
        <f>IF(attaque5="Pic de guerre",1,"")</f>
        <v/>
      </c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</row>
    <row r="29" spans="1:96" ht="15" customHeight="1">
      <c r="A29" s="157" t="s">
        <v>491</v>
      </c>
      <c r="B29" s="158" t="s">
        <v>492</v>
      </c>
      <c r="C29" s="159" t="s">
        <v>493</v>
      </c>
      <c r="D29" s="158" t="s">
        <v>423</v>
      </c>
      <c r="E29" s="925" t="s">
        <v>462</v>
      </c>
      <c r="F29" s="926"/>
      <c r="G29" s="926"/>
      <c r="H29" s="927"/>
      <c r="I29" s="155" t="s">
        <v>491</v>
      </c>
      <c r="J29" s="156" t="str">
        <f>IF(attaque1="Pique","1d10","")</f>
        <v/>
      </c>
      <c r="K29" s="156" t="str">
        <f>IF(attaque2="Pique","1d10","")</f>
        <v/>
      </c>
      <c r="L29" s="156" t="str">
        <f>IF(attaque3="Pique","1d10","")</f>
        <v/>
      </c>
      <c r="M29" s="156" t="str">
        <f>IF(attaque4="Pique","1d10","")</f>
        <v/>
      </c>
      <c r="N29" s="156" t="str">
        <f>IF(attaque5="Pique","1d10","")</f>
        <v/>
      </c>
      <c r="O29" s="160" t="str">
        <f>IF(attaque1="Pique","perforant","")</f>
        <v/>
      </c>
      <c r="P29" s="160" t="str">
        <f>IF(attaque2="Pique","perforant","")</f>
        <v/>
      </c>
      <c r="Q29" s="160" t="str">
        <f>IF(attaque3="Pique","perforant","")</f>
        <v/>
      </c>
      <c r="R29" s="160" t="str">
        <f>IF(attaque4="Pique","perforant","")</f>
        <v/>
      </c>
      <c r="S29" s="160" t="str">
        <f>IF(attaque5="Pique","perforant","")</f>
        <v/>
      </c>
      <c r="T29" s="156" t="str">
        <f>IF(attaque1="Pique",9,"")</f>
        <v/>
      </c>
      <c r="U29" s="156" t="str">
        <f>IF(attaque2="Pique",9,"")</f>
        <v/>
      </c>
      <c r="V29" s="156" t="str">
        <f>IF(attaque3="Pique",9,"")</f>
        <v/>
      </c>
      <c r="W29" s="156" t="str">
        <f>IF(attaque4="Pique",9,"")</f>
        <v/>
      </c>
      <c r="X29" s="156" t="str">
        <f>IF(attaque5="Pique",9,"")</f>
        <v/>
      </c>
      <c r="Y29" s="156"/>
      <c r="Z29" s="156"/>
      <c r="AA29" s="156"/>
      <c r="AB29" s="156"/>
      <c r="AC29" s="156"/>
      <c r="AD29" s="156" t="str">
        <f>IF(attaque1="Pique","Lourde, allonge, à deux mains","")</f>
        <v/>
      </c>
      <c r="AE29" s="156" t="str">
        <f>IF(attaque2="Pique","Lourde, allonge, à deux mains","")</f>
        <v/>
      </c>
      <c r="AF29" s="156" t="str">
        <f>IF(attaque3="Pique","Lourde, allonge, à deux mains","")</f>
        <v/>
      </c>
      <c r="AG29" s="156" t="str">
        <f>IF(attaque4="Pique","Lourde, allonge, à deux mains","")</f>
        <v/>
      </c>
      <c r="AH29" s="156" t="str">
        <f>IF(attaque5="Pique","Lourde, allonge, à deux mains","")</f>
        <v/>
      </c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</row>
    <row r="30" spans="1:96" ht="15" customHeight="1">
      <c r="A30" s="161" t="s">
        <v>494</v>
      </c>
      <c r="B30" s="162" t="s">
        <v>443</v>
      </c>
      <c r="C30" s="163" t="s">
        <v>419</v>
      </c>
      <c r="D30" s="162" t="s">
        <v>445</v>
      </c>
      <c r="E30" s="922" t="s">
        <v>495</v>
      </c>
      <c r="F30" s="923"/>
      <c r="G30" s="923"/>
      <c r="H30" s="924"/>
      <c r="I30" s="155" t="s">
        <v>494</v>
      </c>
      <c r="J30" s="156" t="str">
        <f>IF(attaque1="Rapière","1d8","")</f>
        <v/>
      </c>
      <c r="K30" s="156" t="str">
        <f>IF(attaque2="Rapière","1d8","")</f>
        <v/>
      </c>
      <c r="L30" s="156" t="str">
        <f>IF(attaque3="Rapière","1d8","")</f>
        <v/>
      </c>
      <c r="M30" s="156" t="str">
        <f>IF(attaque4="Rapière","1d8","")</f>
        <v/>
      </c>
      <c r="N30" s="156" t="str">
        <f>IF(attaque5="Rapière","1d8","")</f>
        <v/>
      </c>
      <c r="O30" s="160" t="str">
        <f>IF(attaque1="Rapière","perforant","")</f>
        <v/>
      </c>
      <c r="P30" s="160" t="str">
        <f>IF(attaque2="Rapière","perforant","")</f>
        <v/>
      </c>
      <c r="Q30" s="160" t="str">
        <f>IF(attaque3="Rapière","perforant","")</f>
        <v/>
      </c>
      <c r="R30" s="160" t="str">
        <f>IF(attaque4="Rapière","perforant","")</f>
        <v/>
      </c>
      <c r="S30" s="160" t="str">
        <f>IF(attaque5="Rapière","perforant","")</f>
        <v/>
      </c>
      <c r="T30" s="156" t="str">
        <f>IF(attaque1="Rapière",1,"")</f>
        <v/>
      </c>
      <c r="U30" s="156" t="str">
        <f>IF(attaque2="Rapière",1,"")</f>
        <v/>
      </c>
      <c r="V30" s="156" t="str">
        <f>IF(attaque3="Rapière",1,"")</f>
        <v/>
      </c>
      <c r="W30" s="156" t="str">
        <f>IF(attaque4="Rapière",1,"")</f>
        <v/>
      </c>
      <c r="X30" s="156" t="str">
        <f>IF(attaque5="Rapière",1,"")</f>
        <v/>
      </c>
      <c r="Y30" s="156"/>
      <c r="Z30" s="156"/>
      <c r="AA30" s="156"/>
      <c r="AB30" s="156"/>
      <c r="AC30" s="156"/>
      <c r="AD30" s="156" t="str">
        <f>IF(attaque1="Rapière","Finesse","")</f>
        <v/>
      </c>
      <c r="AE30" s="156" t="str">
        <f>IF(attaque2="Rapière","Finesse","")</f>
        <v/>
      </c>
      <c r="AF30" s="156" t="str">
        <f>IF(attaque3="Rapière","Finesse","")</f>
        <v/>
      </c>
      <c r="AG30" s="156" t="str">
        <f>IF(attaque4="Rapière","Finesse","")</f>
        <v/>
      </c>
      <c r="AH30" s="156" t="str">
        <f>IF(attaque5="Rapière","Finesse","")</f>
        <v/>
      </c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</row>
    <row r="31" spans="1:96" ht="15" customHeight="1" thickBot="1">
      <c r="A31" s="164" t="s">
        <v>496</v>
      </c>
      <c r="B31" s="165" t="s">
        <v>426</v>
      </c>
      <c r="C31" s="166" t="s">
        <v>409</v>
      </c>
      <c r="D31" s="165" t="s">
        <v>423</v>
      </c>
      <c r="E31" s="919" t="s">
        <v>432</v>
      </c>
      <c r="F31" s="920"/>
      <c r="G31" s="920"/>
      <c r="H31" s="921"/>
      <c r="I31" s="155" t="s">
        <v>496</v>
      </c>
      <c r="J31" s="156" t="str">
        <f>IF(attaque1="Trident","1d6","")</f>
        <v/>
      </c>
      <c r="K31" s="156" t="str">
        <f>IF(attaque2="Trident","1d6","")</f>
        <v/>
      </c>
      <c r="L31" s="156" t="str">
        <f>IF(attaque3="Trident","1d6","")</f>
        <v/>
      </c>
      <c r="M31" s="156" t="str">
        <f>IF(attaque4="Trident","1d6","")</f>
        <v/>
      </c>
      <c r="N31" s="156" t="str">
        <f>IF(attaque5="Trident","1d6","")</f>
        <v/>
      </c>
      <c r="O31" s="160" t="str">
        <f>IF(attaque1="Trident","perforant","")</f>
        <v/>
      </c>
      <c r="P31" s="160" t="str">
        <f>IF(attaque2="Trident","perforant","")</f>
        <v/>
      </c>
      <c r="Q31" s="160" t="str">
        <f>IF(attaque3="Trident","perforant","")</f>
        <v/>
      </c>
      <c r="R31" s="160" t="str">
        <f>IF(attaque4="Trident","perforant","")</f>
        <v/>
      </c>
      <c r="S31" s="160" t="str">
        <f>IF(attaque5="Trident","perforant","")</f>
        <v/>
      </c>
      <c r="T31" s="156" t="str">
        <f>IF(attaque1="Trident",2,"")</f>
        <v/>
      </c>
      <c r="U31" s="156" t="str">
        <f>IF(attaque2="Trident",2,"")</f>
        <v/>
      </c>
      <c r="V31" s="156" t="str">
        <f>IF(attaque3="Trident",2,"")</f>
        <v/>
      </c>
      <c r="W31" s="156" t="str">
        <f>IF(attaque4="Trident",2,"")</f>
        <v/>
      </c>
      <c r="X31" s="156" t="str">
        <f>IF(attaque5="Trident",2,"")</f>
        <v/>
      </c>
      <c r="Y31" s="156" t="str">
        <f>IF(attaque1="Trident","6 / 18","")</f>
        <v/>
      </c>
      <c r="Z31" s="156" t="str">
        <f>IF(attaque2="Trident","6 / 18","")</f>
        <v/>
      </c>
      <c r="AA31" s="156" t="str">
        <f>IF(attaque3="Trident","6 / 18","")</f>
        <v/>
      </c>
      <c r="AB31" s="156" t="str">
        <f>IF(attaque4="Trident","6 / 18","")</f>
        <v/>
      </c>
      <c r="AC31" s="156" t="str">
        <f>IF(attaque5="Trident","6 / 18","")</f>
        <v/>
      </c>
      <c r="AD31" s="156" t="str">
        <f>IF(attaque1="Trident","Lancer, versatile (1d8)","")</f>
        <v/>
      </c>
      <c r="AE31" s="156" t="str">
        <f>IF(attaque2="Trident","Lancer, versatile (1d8)","")</f>
        <v/>
      </c>
      <c r="AF31" s="156" t="str">
        <f>IF(attaque3="Trident","Lancer, versatile (1d8)","")</f>
        <v/>
      </c>
      <c r="AG31" s="156" t="str">
        <f>IF(attaque4="Trident","Lancer, versatile (1d8)","")</f>
        <v/>
      </c>
      <c r="AH31" s="156" t="str">
        <f>IF(attaque5="Trident","Lancer, versatile (1d8)","")</f>
        <v/>
      </c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</row>
    <row r="32" spans="1:96" ht="15" customHeight="1" thickBot="1">
      <c r="A32" s="149" t="s">
        <v>441</v>
      </c>
      <c r="B32" s="150"/>
      <c r="C32" s="150"/>
      <c r="D32" s="150"/>
      <c r="E32" s="150"/>
      <c r="F32" s="150"/>
      <c r="G32" s="150"/>
      <c r="H32" s="151"/>
      <c r="I32" s="155"/>
      <c r="J32" s="156"/>
      <c r="K32" s="156"/>
      <c r="L32" s="156"/>
      <c r="M32" s="156"/>
      <c r="N32" s="156"/>
      <c r="O32" s="160"/>
      <c r="P32" s="160"/>
      <c r="Q32" s="160"/>
      <c r="R32" s="160"/>
      <c r="S32" s="160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</row>
    <row r="33" spans="1:96" ht="15" customHeight="1">
      <c r="A33" s="152" t="s">
        <v>442</v>
      </c>
      <c r="B33" s="153" t="s">
        <v>443</v>
      </c>
      <c r="C33" s="154" t="s">
        <v>444</v>
      </c>
      <c r="D33" s="153" t="s">
        <v>445</v>
      </c>
      <c r="E33" s="935" t="s">
        <v>446</v>
      </c>
      <c r="F33" s="936"/>
      <c r="G33" s="936"/>
      <c r="H33" s="937"/>
      <c r="I33" s="155" t="s">
        <v>442</v>
      </c>
      <c r="J33" s="156" t="str">
        <f>IF(attaque1="Arbalète légère","1d8","")</f>
        <v/>
      </c>
      <c r="K33" s="156" t="str">
        <f>IF(attaque2="Arbalète légère","1d8","")</f>
        <v/>
      </c>
      <c r="L33" s="156" t="str">
        <f>IF(attaque3="Arbalète légère","1d8","")</f>
        <v/>
      </c>
      <c r="M33" s="156" t="str">
        <f>IF(attaque4="Arbalète légère","1d8","")</f>
        <v/>
      </c>
      <c r="N33" s="156" t="str">
        <f>IF(attaque5="Arbalète légère","1d8","")</f>
        <v/>
      </c>
      <c r="O33" s="160" t="str">
        <f>IF(attaque1="Arbalète légère","perforant","")</f>
        <v/>
      </c>
      <c r="P33" s="160" t="str">
        <f>IF(attaque2="Arbalète légère","perforant","")</f>
        <v/>
      </c>
      <c r="Q33" s="160" t="str">
        <f>IF(attaque3="Arbalète légère","perforant","")</f>
        <v/>
      </c>
      <c r="R33" s="160" t="str">
        <f>IF(attaque4="Arbalète légère","perforant","")</f>
        <v/>
      </c>
      <c r="S33" s="160" t="str">
        <f>IF(attaque5="Arbalète légère","perforant","")</f>
        <v/>
      </c>
      <c r="T33" s="156" t="str">
        <f>IF(attaque1="Arbalète légère",2.5,"")</f>
        <v/>
      </c>
      <c r="U33" s="156" t="str">
        <f>IF(attaque2="Arbalète légère",2.5,"")</f>
        <v/>
      </c>
      <c r="V33" s="156" t="str">
        <f>IF(attaque3="Arbalète légère",2.5,"")</f>
        <v/>
      </c>
      <c r="W33" s="156" t="str">
        <f>IF(attaque4="Arbalète légère",2.5,"")</f>
        <v/>
      </c>
      <c r="X33" s="156" t="str">
        <f>IF(attaque5="Arbalète légère",2.5,"")</f>
        <v/>
      </c>
      <c r="Y33" s="156" t="str">
        <f>IF(attaque1="Arbalète légère","24 / 96","")</f>
        <v/>
      </c>
      <c r="Z33" s="156" t="str">
        <f>IF(attaque2="Arbalète légère","24 / 96","")</f>
        <v/>
      </c>
      <c r="AA33" s="156" t="str">
        <f>IF(attaque3="Arbalète légère","24 / 96","")</f>
        <v/>
      </c>
      <c r="AB33" s="156" t="str">
        <f>IF(attaque4="Arbalète légère","24 / 96","")</f>
        <v/>
      </c>
      <c r="AC33" s="156" t="str">
        <f>IF(attaque5="Arbalète légère","24 / 96","")</f>
        <v/>
      </c>
      <c r="AD33" s="156" t="str">
        <f>IF(attaque1="Arbalète légère","Munitions, chargement, à deux mains","")</f>
        <v/>
      </c>
      <c r="AE33" s="156" t="str">
        <f>IF(attaque2="Arbalète légère","Munitions, chargement, à deux mains","")</f>
        <v/>
      </c>
      <c r="AF33" s="156" t="str">
        <f>IF(attaque3="Arbalète légère","Munitions, chargement, à deux mains","")</f>
        <v/>
      </c>
      <c r="AG33" s="156" t="str">
        <f>IF(attaque4="Arbalète légère","Munitions, chargement, à deux mains","")</f>
        <v/>
      </c>
      <c r="AH33" s="156" t="str">
        <f>IF(attaque5="Arbalète légère","Munitions, chargement, à deux mains","")</f>
        <v/>
      </c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</row>
    <row r="34" spans="1:96" ht="15" customHeight="1">
      <c r="A34" s="157" t="s">
        <v>447</v>
      </c>
      <c r="B34" s="158" t="s">
        <v>426</v>
      </c>
      <c r="C34" s="159" t="s">
        <v>419</v>
      </c>
      <c r="D34" s="158" t="s">
        <v>445</v>
      </c>
      <c r="E34" s="925" t="s">
        <v>448</v>
      </c>
      <c r="F34" s="926"/>
      <c r="G34" s="926"/>
      <c r="H34" s="927"/>
      <c r="I34" s="155" t="s">
        <v>447</v>
      </c>
      <c r="J34" s="156" t="str">
        <f>IF(attaque1="Arc court","1d6","")</f>
        <v/>
      </c>
      <c r="K34" s="156" t="str">
        <f>IF(attaque2="Arc court","1d6","")</f>
        <v/>
      </c>
      <c r="L34" s="156" t="str">
        <f>IF(attaque3="Arc court","1d6","")</f>
        <v/>
      </c>
      <c r="M34" s="156" t="str">
        <f>IF(attaque4="Arc court","1d6","")</f>
        <v/>
      </c>
      <c r="N34" s="156" t="str">
        <f>IF(attaque5="Arc court","1d6","")</f>
        <v/>
      </c>
      <c r="O34" s="160" t="str">
        <f>IF(attaque1="Arc court","perforant","")</f>
        <v/>
      </c>
      <c r="P34" s="160" t="str">
        <f>IF(attaque2="Arc court","perforant","")</f>
        <v/>
      </c>
      <c r="Q34" s="160" t="str">
        <f>IF(attaque3="Arc court","perforant","")</f>
        <v/>
      </c>
      <c r="R34" s="160" t="str">
        <f>IF(attaque4="Arc court","perforant","")</f>
        <v/>
      </c>
      <c r="S34" s="160" t="str">
        <f>IF(attaque5="Arc court","perforant","")</f>
        <v/>
      </c>
      <c r="T34" s="156" t="str">
        <f>IF(attaque1="Arc court",1,"")</f>
        <v/>
      </c>
      <c r="U34" s="156" t="str">
        <f>IF(attaque2="Arc court",1,"")</f>
        <v/>
      </c>
      <c r="V34" s="156" t="str">
        <f>IF(attaque3="Arc court",1,"")</f>
        <v/>
      </c>
      <c r="W34" s="156" t="str">
        <f>IF(attaque4="Arc court",1,"")</f>
        <v/>
      </c>
      <c r="X34" s="156" t="str">
        <f>IF(attaque5="Arc court",1,"")</f>
        <v/>
      </c>
      <c r="Y34" s="156" t="str">
        <f>IF(attaque1="Arc court","24 / 96","")</f>
        <v/>
      </c>
      <c r="Z34" s="156" t="str">
        <f>IF(attaque2="Arc court","24 / 96","")</f>
        <v/>
      </c>
      <c r="AA34" s="156" t="str">
        <f>IF(attaque3="Arc court","24 / 96","")</f>
        <v/>
      </c>
      <c r="AB34" s="156" t="str">
        <f>IF(attaque4="Arc court","24 / 96","")</f>
        <v/>
      </c>
      <c r="AC34" s="156" t="str">
        <f>IF(attaque5="Arc court","24 / 96","")</f>
        <v/>
      </c>
      <c r="AD34" s="156" t="str">
        <f>IF(attaque1="Arc court","Munitions, à deux mains","")</f>
        <v/>
      </c>
      <c r="AE34" s="156" t="str">
        <f>IF(attaque2="Arc court","Munitions, à deux mains","")</f>
        <v/>
      </c>
      <c r="AF34" s="156" t="str">
        <f>IF(attaque3="Arc court","Munitions, à deux mains","")</f>
        <v/>
      </c>
      <c r="AG34" s="156" t="str">
        <f>IF(attaque4="Arc court","Munitions, à deux mains","")</f>
        <v/>
      </c>
      <c r="AH34" s="156" t="str">
        <f>IF(attaque5="Arc court","Munitions, à deux mains","")</f>
        <v/>
      </c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</row>
    <row r="35" spans="1:96" ht="15" customHeight="1">
      <c r="A35" s="161" t="s">
        <v>449</v>
      </c>
      <c r="B35" s="162" t="s">
        <v>413</v>
      </c>
      <c r="C35" s="163" t="s">
        <v>450</v>
      </c>
      <c r="D35" s="162" t="s">
        <v>451</v>
      </c>
      <c r="E35" s="922" t="s">
        <v>452</v>
      </c>
      <c r="F35" s="923"/>
      <c r="G35" s="923"/>
      <c r="H35" s="924"/>
      <c r="I35" s="155" t="s">
        <v>449</v>
      </c>
      <c r="J35" s="156" t="str">
        <f>IF(attaque1="Fléchette","1d4","")</f>
        <v/>
      </c>
      <c r="K35" s="156" t="str">
        <f>IF(attaque2="Fléchette","1d4","")</f>
        <v/>
      </c>
      <c r="L35" s="156" t="str">
        <f>IF(attaque3="Fléchette","1d4","")</f>
        <v/>
      </c>
      <c r="M35" s="156" t="str">
        <f>IF(attaque4="Fléchette","1d4","")</f>
        <v/>
      </c>
      <c r="N35" s="156" t="str">
        <f>IF(attaque5="Fléchette","1d4","")</f>
        <v/>
      </c>
      <c r="O35" s="160" t="str">
        <f>IF(attaque1="Fléchette","perforant","")</f>
        <v/>
      </c>
      <c r="P35" s="160" t="str">
        <f>IF(attaque2="Fléchette","perforant","")</f>
        <v/>
      </c>
      <c r="Q35" s="160" t="str">
        <f>IF(attaque3="Fléchette","perforant","")</f>
        <v/>
      </c>
      <c r="R35" s="160" t="str">
        <f>IF(attaque4="Fléchette","perforant","")</f>
        <v/>
      </c>
      <c r="S35" s="160" t="str">
        <f>IF(attaque5="Fléchette","perforant","")</f>
        <v/>
      </c>
      <c r="T35" s="156" t="str">
        <f>IF(attaque1="Fléchette",0.1,"")</f>
        <v/>
      </c>
      <c r="U35" s="156" t="str">
        <f>IF(attaque2="Fléchette",0.1,"")</f>
        <v/>
      </c>
      <c r="V35" s="156" t="str">
        <f>IF(attaque3="Fléchette",0.1,"")</f>
        <v/>
      </c>
      <c r="W35" s="156" t="str">
        <f>IF(attaque4="Fléchette",0.1,"")</f>
        <v/>
      </c>
      <c r="X35" s="156" t="str">
        <f>IF(attaque5="Fléchette",0.1,"")</f>
        <v/>
      </c>
      <c r="Y35" s="156" t="str">
        <f>IF(attaque1="Fléchette","6 / 18","")</f>
        <v/>
      </c>
      <c r="Z35" s="156" t="str">
        <f>IF(attaque2="Fléchette","6 / 18","")</f>
        <v/>
      </c>
      <c r="AA35" s="156" t="str">
        <f>IF(attaque3="Fléchette","6 / 18","")</f>
        <v/>
      </c>
      <c r="AB35" s="156" t="str">
        <f>IF(attaque4="Fléchette","6 / 18","")</f>
        <v/>
      </c>
      <c r="AC35" s="156" t="str">
        <f>IF(attaque5="Fléchette","6 / 18","")</f>
        <v/>
      </c>
      <c r="AD35" s="156" t="str">
        <f>IF(attaque1="Fléchette","Finesse, lancer","")</f>
        <v/>
      </c>
      <c r="AE35" s="156" t="str">
        <f>IF(attaque2="Fléchette","Finesse, lancer","")</f>
        <v/>
      </c>
      <c r="AF35" s="156" t="str">
        <f>IF(attaque3="Fléchette","Finesse, lancer","")</f>
        <v/>
      </c>
      <c r="AG35" s="156" t="str">
        <f>IF(attaque4="Fléchette","Finesse, lancer","")</f>
        <v/>
      </c>
      <c r="AH35" s="156" t="str">
        <f>IF(attaque5="Fléchette","Finesse, lancer","")</f>
        <v/>
      </c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</row>
    <row r="36" spans="1:96" ht="15" customHeight="1" thickBot="1">
      <c r="A36" s="164" t="s">
        <v>453</v>
      </c>
      <c r="B36" s="165" t="s">
        <v>418</v>
      </c>
      <c r="C36" s="166"/>
      <c r="D36" s="165" t="s">
        <v>420</v>
      </c>
      <c r="E36" s="919" t="s">
        <v>454</v>
      </c>
      <c r="F36" s="920"/>
      <c r="G36" s="920"/>
      <c r="H36" s="921"/>
      <c r="I36" s="155" t="s">
        <v>453</v>
      </c>
      <c r="J36" s="156" t="str">
        <f>IF(attaque1="Fronde","1d4","")</f>
        <v/>
      </c>
      <c r="K36" s="156" t="str">
        <f>IF(attaque2="Fronde","1d4","")</f>
        <v/>
      </c>
      <c r="L36" s="156" t="str">
        <f>IF(attaque3="Fronde","1d4","")</f>
        <v/>
      </c>
      <c r="M36" s="156" t="str">
        <f>IF(attaque4="Fronde","1d4","")</f>
        <v/>
      </c>
      <c r="N36" s="156" t="str">
        <f>IF(attaque5="Fronde","1d4","")</f>
        <v/>
      </c>
      <c r="O36" s="160" t="str">
        <f>IF(attaque1="Fronde","contondant","")</f>
        <v/>
      </c>
      <c r="P36" s="160" t="str">
        <f>IF(attaque2="Fronde","contondant","")</f>
        <v/>
      </c>
      <c r="Q36" s="160" t="str">
        <f>IF(attaque3="Fronde","contondant","")</f>
        <v/>
      </c>
      <c r="R36" s="160" t="str">
        <f>IF(attaque4="Fronde","contondant","")</f>
        <v/>
      </c>
      <c r="S36" s="160" t="str">
        <f>IF(attaque5="Fronde","contondant","")</f>
        <v/>
      </c>
      <c r="T36" s="156" t="str">
        <f>IF(attaque1="Fronde","1d4","")</f>
        <v/>
      </c>
      <c r="U36" s="156" t="str">
        <f>IF(attaque2="Fronde","1d4","")</f>
        <v/>
      </c>
      <c r="V36" s="156" t="str">
        <f>IF(attaque3="Fronde","1d4","")</f>
        <v/>
      </c>
      <c r="W36" s="156" t="str">
        <f>IF(attaque4="Fronde","1d4","")</f>
        <v/>
      </c>
      <c r="X36" s="156" t="str">
        <f>IF(attaque5="Fronde","1d4","")</f>
        <v/>
      </c>
      <c r="Y36" s="156" t="str">
        <f>IF(attaque1="Fronde","9 / 36","")</f>
        <v/>
      </c>
      <c r="Z36" s="156" t="str">
        <f>IF(attaque2="Fronde","9 / 36","")</f>
        <v/>
      </c>
      <c r="AA36" s="156" t="str">
        <f>IF(attaque3="Fronde","9 / 36","")</f>
        <v/>
      </c>
      <c r="AB36" s="156" t="str">
        <f>IF(attaque4="Fronde","9 / 36","")</f>
        <v/>
      </c>
      <c r="AC36" s="156" t="str">
        <f>IF(attaque5="Fronde","9 / 36","")</f>
        <v/>
      </c>
      <c r="AD36" s="156" t="str">
        <f>IF(attaque1="Fronde","Munitions","")</f>
        <v/>
      </c>
      <c r="AE36" s="156" t="str">
        <f>IF(attaque2="Fronde","Munitions","")</f>
        <v/>
      </c>
      <c r="AF36" s="156" t="str">
        <f>IF(attaque3="Fronde","Munitions","")</f>
        <v/>
      </c>
      <c r="AG36" s="156" t="str">
        <f>IF(attaque4="Fronde","Munitions","")</f>
        <v/>
      </c>
      <c r="AH36" s="156" t="str">
        <f>IF(attaque5="Fronde","Munitions","")</f>
        <v/>
      </c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</row>
    <row r="37" spans="1:96" ht="15" customHeight="1" thickBot="1">
      <c r="A37" s="149" t="s">
        <v>497</v>
      </c>
      <c r="B37" s="150"/>
      <c r="C37" s="150"/>
      <c r="D37" s="150"/>
      <c r="E37" s="150"/>
      <c r="F37" s="150"/>
      <c r="G37" s="150"/>
      <c r="H37" s="151"/>
      <c r="I37" s="155"/>
      <c r="J37" s="156"/>
      <c r="K37" s="156"/>
      <c r="L37" s="156"/>
      <c r="M37" s="156"/>
      <c r="N37" s="156"/>
      <c r="O37" s="160"/>
      <c r="P37" s="160"/>
      <c r="Q37" s="160"/>
      <c r="R37" s="160"/>
      <c r="S37" s="160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</row>
    <row r="38" spans="1:96" ht="15" customHeight="1">
      <c r="A38" s="152" t="s">
        <v>498</v>
      </c>
      <c r="B38" s="153" t="s">
        <v>426</v>
      </c>
      <c r="C38" s="154" t="s">
        <v>430</v>
      </c>
      <c r="D38" s="153" t="s">
        <v>499</v>
      </c>
      <c r="E38" s="935" t="s">
        <v>500</v>
      </c>
      <c r="F38" s="936"/>
      <c r="G38" s="936"/>
      <c r="H38" s="937"/>
      <c r="I38" s="155" t="s">
        <v>498</v>
      </c>
      <c r="J38" s="156" t="str">
        <f>IF(attaque1="Arbalète de poing","1d6","")</f>
        <v/>
      </c>
      <c r="K38" s="156" t="str">
        <f>IF(attaque2="Arbalète de poing","1d6","")</f>
        <v/>
      </c>
      <c r="L38" s="156" t="str">
        <f>IF(attaque3="Arbalète de poing","1d6","")</f>
        <v/>
      </c>
      <c r="M38" s="156" t="str">
        <f>IF(attaque4="Arbalète de poing","1d6","")</f>
        <v/>
      </c>
      <c r="N38" s="156" t="str">
        <f>IF(attaque5="Arbalète de poing","1d6","")</f>
        <v/>
      </c>
      <c r="O38" s="160" t="str">
        <f>IF(attaque1="Arbalète de poing","perforant","")</f>
        <v/>
      </c>
      <c r="P38" s="160" t="str">
        <f>IF(attaque2="Arbalète de poing","perforant","")</f>
        <v/>
      </c>
      <c r="Q38" s="160" t="str">
        <f>IF(attaque3="Arbalète de poing","perforant","")</f>
        <v/>
      </c>
      <c r="R38" s="160" t="str">
        <f>IF(attaque4="Arbalète de poing","perforant","")</f>
        <v/>
      </c>
      <c r="S38" s="160" t="str">
        <f>IF(attaque5="Arbalète de poing","perforant","")</f>
        <v/>
      </c>
      <c r="T38" s="156" t="str">
        <f>IF(attaque1="Arbalète de poing",1.5,"")</f>
        <v/>
      </c>
      <c r="U38" s="156" t="str">
        <f>IF(attaque2="Arbalète de poing",1.5,"")</f>
        <v/>
      </c>
      <c r="V38" s="156" t="str">
        <f>IF(attaque3="Arbalète de poing",1.5,"")</f>
        <v/>
      </c>
      <c r="W38" s="156" t="str">
        <f>IF(attaque4="Arbalète de poing",1.5,"")</f>
        <v/>
      </c>
      <c r="X38" s="156" t="str">
        <f>IF(attaque5="Arbalète de poing",1.5,"")</f>
        <v/>
      </c>
      <c r="Y38" s="156" t="str">
        <f>IF(attaque1="Arbalète de poing","9 / 36","")</f>
        <v/>
      </c>
      <c r="Z38" s="156" t="str">
        <f>IF(attaque2="Arbalète de poing","9 / 36","")</f>
        <v/>
      </c>
      <c r="AA38" s="156" t="str">
        <f>IF(attaque3="Arbalète de poing","9 / 36","")</f>
        <v/>
      </c>
      <c r="AB38" s="156" t="str">
        <f>IF(attaque4="Arbalète de poing","9 / 36","")</f>
        <v/>
      </c>
      <c r="AC38" s="156" t="str">
        <f>IF(attaque5="Arbalète de poing","9 / 36","")</f>
        <v/>
      </c>
      <c r="AD38" s="156" t="str">
        <f>IF(attaque1="Arbalète de poing","Munitions, légère, chargement","")</f>
        <v/>
      </c>
      <c r="AE38" s="156" t="str">
        <f>IF(attaque2="Arbalète de poing","Munitions, légère, chargement","")</f>
        <v/>
      </c>
      <c r="AF38" s="156" t="str">
        <f>IF(attaque3="Arbalète de poing","Munitions, légère, chargement","")</f>
        <v/>
      </c>
      <c r="AG38" s="156" t="str">
        <f>IF(attaque4="Arbalète de poing","Munitions, légère, chargement","")</f>
        <v/>
      </c>
      <c r="AH38" s="156" t="str">
        <f>IF(attaque5="Arbalète de poing","Munitions, légère, chargement","")</f>
        <v/>
      </c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  <c r="CQ38" s="147"/>
      <c r="CR38" s="147"/>
    </row>
    <row r="39" spans="1:96" ht="15" customHeight="1">
      <c r="A39" s="157" t="s">
        <v>501</v>
      </c>
      <c r="B39" s="158" t="s">
        <v>492</v>
      </c>
      <c r="C39" s="159" t="s">
        <v>493</v>
      </c>
      <c r="D39" s="158" t="s">
        <v>465</v>
      </c>
      <c r="E39" s="925" t="s">
        <v>502</v>
      </c>
      <c r="F39" s="926"/>
      <c r="G39" s="926"/>
      <c r="H39" s="927"/>
      <c r="I39" s="155" t="s">
        <v>501</v>
      </c>
      <c r="J39" s="156" t="str">
        <f>IF(attaque1="Arbalète lourde","1d10","")</f>
        <v/>
      </c>
      <c r="K39" s="156" t="str">
        <f>IF(attaque2="Arbalète lourde","1d10","")</f>
        <v/>
      </c>
      <c r="L39" s="156" t="str">
        <f>IF(attaque3="Arbalète lourde","1d10","")</f>
        <v/>
      </c>
      <c r="M39" s="156" t="str">
        <f>IF(attaque4="Arbalète lourde","1d10","")</f>
        <v/>
      </c>
      <c r="N39" s="156" t="str">
        <f>IF(attaque5="Arbalète lourde","1d10","")</f>
        <v/>
      </c>
      <c r="O39" s="160" t="str">
        <f>IF(attaque1="Arbalète lourde","perforant","")</f>
        <v/>
      </c>
      <c r="P39" s="160" t="str">
        <f>IF(attaque2="Arbalète lourde","perforant","")</f>
        <v/>
      </c>
      <c r="Q39" s="160" t="str">
        <f>IF(attaque3="Arbalète lourde","perforant","")</f>
        <v/>
      </c>
      <c r="R39" s="160" t="str">
        <f>IF(attaque4="Arbalète lourde","perforant","")</f>
        <v/>
      </c>
      <c r="S39" s="160" t="str">
        <f>IF(attaque5="Arbalète lourde","perforant","")</f>
        <v/>
      </c>
      <c r="T39" s="156" t="str">
        <f>IF(attaque1="Arbalète lourde",9,"")</f>
        <v/>
      </c>
      <c r="U39" s="156" t="str">
        <f>IF(attaque2="Arbalète lourde",9,"")</f>
        <v/>
      </c>
      <c r="V39" s="156" t="str">
        <f>IF(attaque3="Arbalète lourde",9,"")</f>
        <v/>
      </c>
      <c r="W39" s="156" t="str">
        <f>IF(attaque4="Arbalète lourde",9,"")</f>
        <v/>
      </c>
      <c r="X39" s="156" t="str">
        <f>IF(attaque5="Arbalète lourde",9,"")</f>
        <v/>
      </c>
      <c r="Y39" s="156" t="str">
        <f>IF(attaque1="Arbalète lourde","30 / 120","")</f>
        <v/>
      </c>
      <c r="Z39" s="156" t="str">
        <f>IF(attaque2="Arbalète lourde","30 / 120","")</f>
        <v/>
      </c>
      <c r="AA39" s="156" t="str">
        <f>IF(attaque3="Arbalète lourde","30 / 120","")</f>
        <v/>
      </c>
      <c r="AB39" s="156" t="str">
        <f>IF(attaque4="Arbalète lourde","30 / 120","")</f>
        <v/>
      </c>
      <c r="AC39" s="156" t="str">
        <f>IF(attaque5="Arbalète lourde","30 / 120","")</f>
        <v/>
      </c>
      <c r="AD39" s="156" t="str">
        <f>IF(attaque1="Arbalète lourde","Munitions, lourde, chargement, à deux mains","")</f>
        <v/>
      </c>
      <c r="AE39" s="156" t="str">
        <f>IF(attaque2="Arbalète lourde","Munitions, lourde, chargement, à deux mains","")</f>
        <v/>
      </c>
      <c r="AF39" s="156" t="str">
        <f>IF(attaque3="Arbalète lourde","Munitions, lourde, chargement, à deux mains","")</f>
        <v/>
      </c>
      <c r="AG39" s="156" t="str">
        <f>IF(attaque4="Arbalète lourde","Munitions, lourde, chargement, à deux mains","")</f>
        <v/>
      </c>
      <c r="AH39" s="156" t="str">
        <f>IF(attaque5="Arbalète lourde","Munitions, lourde, chargement, à deux mains","")</f>
        <v/>
      </c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  <c r="CQ39" s="147"/>
      <c r="CR39" s="147"/>
    </row>
    <row r="40" spans="1:96" ht="15" customHeight="1">
      <c r="A40" s="161" t="s">
        <v>503</v>
      </c>
      <c r="B40" s="162" t="s">
        <v>443</v>
      </c>
      <c r="C40" s="163" t="s">
        <v>419</v>
      </c>
      <c r="D40" s="162" t="s">
        <v>465</v>
      </c>
      <c r="E40" s="922" t="s">
        <v>504</v>
      </c>
      <c r="F40" s="923"/>
      <c r="G40" s="923"/>
      <c r="H40" s="924"/>
      <c r="I40" s="155" t="s">
        <v>503</v>
      </c>
      <c r="J40" s="156" t="str">
        <f>IF(attaque1="Arc long","1d8","")</f>
        <v/>
      </c>
      <c r="K40" s="156" t="str">
        <f>IF(attaque2="Arc long","1d8","")</f>
        <v/>
      </c>
      <c r="L40" s="156" t="str">
        <f>IF(attaque3="Arc long","1d8","")</f>
        <v/>
      </c>
      <c r="M40" s="156" t="str">
        <f>IF(attaque4="Arc long","1d8","")</f>
        <v/>
      </c>
      <c r="N40" s="156" t="str">
        <f>IF(attaque5="Arc long","1d8","")</f>
        <v/>
      </c>
      <c r="O40" s="160" t="str">
        <f>IF(attaque1="Arc long","perforant","")</f>
        <v/>
      </c>
      <c r="P40" s="160" t="str">
        <f>IF(attaque2="Arc long","perforant","")</f>
        <v/>
      </c>
      <c r="Q40" s="160" t="str">
        <f>IF(attaque3="Arc long","perforant","")</f>
        <v/>
      </c>
      <c r="R40" s="160" t="str">
        <f>IF(attaque4="Arc long","perforant","")</f>
        <v/>
      </c>
      <c r="S40" s="160" t="str">
        <f>IF(attaque5="Arc long","perforant","")</f>
        <v/>
      </c>
      <c r="T40" s="156" t="str">
        <f>IF(attaque1="Arc long",1,"")</f>
        <v/>
      </c>
      <c r="U40" s="156" t="str">
        <f>IF(attaque2="Arc long",1,"")</f>
        <v/>
      </c>
      <c r="V40" s="156" t="str">
        <f>IF(attaque3="Arc long",1,"")</f>
        <v/>
      </c>
      <c r="W40" s="156" t="str">
        <f>IF(attaque4="Arc long",1,"")</f>
        <v/>
      </c>
      <c r="X40" s="156" t="str">
        <f>IF(attaque5="Arc long",1,"")</f>
        <v/>
      </c>
      <c r="Y40" s="156" t="str">
        <f>IF(attaque1="Arc long","45 / 180","")</f>
        <v/>
      </c>
      <c r="Z40" s="156" t="str">
        <f>IF(attaque2="Arc long","45 / 180","")</f>
        <v/>
      </c>
      <c r="AA40" s="156" t="str">
        <f>IF(attaque3="Arc long","45 / 180","")</f>
        <v/>
      </c>
      <c r="AB40" s="156" t="str">
        <f>IF(attaque4="Arc long","45 / 180","")</f>
        <v/>
      </c>
      <c r="AC40" s="156" t="str">
        <f>IF(attaque5="Arc long","45 / 180","")</f>
        <v/>
      </c>
      <c r="AD40" s="156" t="str">
        <f>IF(attaque1="Arc long","Munitions, lourde, à deux mains","")</f>
        <v/>
      </c>
      <c r="AE40" s="156" t="str">
        <f>IF(attaque2="Arc long","Munitions, lourde, à deux mains","")</f>
        <v/>
      </c>
      <c r="AF40" s="156" t="str">
        <f>IF(attaque3="Arc long","Munitions, lourde, à deux mains","")</f>
        <v/>
      </c>
      <c r="AG40" s="156" t="str">
        <f>IF(attaque4="Arc long","Munitions, lourde, à deux mains","")</f>
        <v/>
      </c>
      <c r="AH40" s="156" t="str">
        <f>IF(attaque5="Arc long","Munitions, lourde, à deux mains","")</f>
        <v/>
      </c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  <c r="CQ40" s="147"/>
      <c r="CR40" s="147"/>
    </row>
    <row r="41" spans="1:96" ht="15" customHeight="1">
      <c r="A41" s="157" t="s">
        <v>505</v>
      </c>
      <c r="B41" s="158"/>
      <c r="C41" s="159" t="s">
        <v>430</v>
      </c>
      <c r="D41" s="158" t="s">
        <v>431</v>
      </c>
      <c r="E41" s="925" t="s">
        <v>506</v>
      </c>
      <c r="F41" s="926"/>
      <c r="G41" s="926"/>
      <c r="H41" s="927"/>
      <c r="I41" s="155" t="s">
        <v>505</v>
      </c>
      <c r="J41" s="156"/>
      <c r="K41" s="156"/>
      <c r="L41" s="156"/>
      <c r="M41" s="156"/>
      <c r="N41" s="156"/>
      <c r="O41" s="160"/>
      <c r="P41" s="160"/>
      <c r="Q41" s="160"/>
      <c r="R41" s="160"/>
      <c r="S41" s="160"/>
      <c r="T41" s="156" t="str">
        <f>IF(attaque1="Filet",1.5,"")</f>
        <v/>
      </c>
      <c r="U41" s="156" t="str">
        <f>IF(attaque2="Filet",1.5,"")</f>
        <v/>
      </c>
      <c r="V41" s="156" t="str">
        <f>IF(attaque3="Filet",1.5,"")</f>
        <v/>
      </c>
      <c r="W41" s="156" t="str">
        <f>IF(attaque4="Filet",1.5,"")</f>
        <v/>
      </c>
      <c r="X41" s="156" t="str">
        <f>IF(attaque5="Filet",1.5,"")</f>
        <v/>
      </c>
      <c r="Y41" s="156" t="str">
        <f>IF(attaque1="Filet","1,5 / 4,5","")</f>
        <v/>
      </c>
      <c r="Z41" s="156" t="str">
        <f>IF(attaque2="Filet","1,5 / 4,5","")</f>
        <v/>
      </c>
      <c r="AA41" s="156" t="str">
        <f>IF(attaque3="Filet","1,5 / 4,5","")</f>
        <v/>
      </c>
      <c r="AB41" s="156" t="str">
        <f>IF(attaque4="Filet","1,5 / 4,5","")</f>
        <v/>
      </c>
      <c r="AC41" s="156" t="str">
        <f>IF(attaque5="Filet","1,5 / 4,5","")</f>
        <v/>
      </c>
      <c r="AD41" s="156" t="str">
        <f>IF(attaque1="Filet","Spécial, lancer","")</f>
        <v/>
      </c>
      <c r="AE41" s="156" t="str">
        <f>IF(attaque2="Filet","Spécial, lancer","")</f>
        <v/>
      </c>
      <c r="AF41" s="156" t="str">
        <f>IF(attaque3="Filet","Spécial, lancer","")</f>
        <v/>
      </c>
      <c r="AG41" s="156" t="str">
        <f>IF(attaque4="Filet","Spécial, lancer","")</f>
        <v/>
      </c>
      <c r="AH41" s="156" t="str">
        <f>IF(attaque5="Filet","Spécial, lancer","")</f>
        <v/>
      </c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7"/>
      <c r="CR41" s="147"/>
    </row>
    <row r="42" spans="1:96" ht="15" customHeight="1" thickBot="1">
      <c r="A42" s="167" t="s">
        <v>507</v>
      </c>
      <c r="B42" s="168" t="s">
        <v>508</v>
      </c>
      <c r="C42" s="169" t="s">
        <v>414</v>
      </c>
      <c r="D42" s="168" t="s">
        <v>509</v>
      </c>
      <c r="E42" s="932" t="s">
        <v>510</v>
      </c>
      <c r="F42" s="933"/>
      <c r="G42" s="933"/>
      <c r="H42" s="934"/>
      <c r="I42" s="155" t="s">
        <v>507</v>
      </c>
      <c r="J42" s="156" t="str">
        <f>IF(attaque1="Sarbacane",1,"")</f>
        <v/>
      </c>
      <c r="K42" s="156" t="str">
        <f>IF(attaque2="Sarbacane",1,"")</f>
        <v/>
      </c>
      <c r="L42" s="156" t="str">
        <f>IF(attaque3="Sarbacane",1,"")</f>
        <v/>
      </c>
      <c r="M42" s="156" t="str">
        <f>IF(attaque4="Sarbacane",1,"")</f>
        <v/>
      </c>
      <c r="N42" s="156" t="str">
        <f>IF(attaque5="Sarbacane",1,"")</f>
        <v/>
      </c>
      <c r="O42" s="160" t="str">
        <f>IF(attaque1="Sarbacane","perforant","")</f>
        <v/>
      </c>
      <c r="P42" s="160" t="str">
        <f>IF(attaque2="Sarbacane","perforant","")</f>
        <v/>
      </c>
      <c r="Q42" s="160" t="str">
        <f>IF(attaque3="Sarbacane","perforant","")</f>
        <v/>
      </c>
      <c r="R42" s="160" t="str">
        <f>IF(attaque4="Sarbacane","perforant","")</f>
        <v/>
      </c>
      <c r="S42" s="160" t="str">
        <f>IF(attaque5="Sarbacane","perforant","")</f>
        <v/>
      </c>
      <c r="T42" s="156" t="str">
        <f>IF(attaque1="Sarbacane",0.5,"")</f>
        <v/>
      </c>
      <c r="U42" s="156" t="str">
        <f>IF(attaque2="Sarbacane",0.5,"")</f>
        <v/>
      </c>
      <c r="V42" s="156" t="str">
        <f>IF(attaque3="Sarbacane",0.5,"")</f>
        <v/>
      </c>
      <c r="W42" s="156" t="str">
        <f>IF(attaque4="Sarbacane",0.5,"")</f>
        <v/>
      </c>
      <c r="X42" s="156" t="str">
        <f>IF(attaque5="Sarbacane",0.5,"")</f>
        <v/>
      </c>
      <c r="Y42" s="156" t="str">
        <f>IF(attaque1="Sarbacane","7,5 / 30","")</f>
        <v/>
      </c>
      <c r="Z42" s="156" t="str">
        <f>IF(attaque2="Sarbacane","7,5 / 30","")</f>
        <v/>
      </c>
      <c r="AA42" s="156" t="str">
        <f>IF(attaque3="Sarbacane","7,5 / 30","")</f>
        <v/>
      </c>
      <c r="AB42" s="156" t="str">
        <f>IF(attaque4="Sarbacane","7,5 / 30","")</f>
        <v/>
      </c>
      <c r="AC42" s="156" t="str">
        <f>IF(attaque5="Sarbacane","7,5 / 30","")</f>
        <v/>
      </c>
      <c r="AD42" s="156" t="str">
        <f>IF(attaque1="Sarbacane","Munitions, chargement","")</f>
        <v/>
      </c>
      <c r="AE42" s="156" t="str">
        <f>IF(attaque2="Sarbacane","Munitions, chargement","")</f>
        <v/>
      </c>
      <c r="AF42" s="156" t="str">
        <f>IF(attaque3="Sarbacane","Munitions, chargement","")</f>
        <v/>
      </c>
      <c r="AG42" s="156" t="str">
        <f>IF(attaque4="Sarbacane","Munitions, chargement","")</f>
        <v/>
      </c>
      <c r="AH42" s="156" t="str">
        <f>IF(attaque5="Sarbacane","Munitions, chargement","")</f>
        <v/>
      </c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</row>
    <row r="43" spans="1:96" ht="15" customHeight="1" thickBot="1">
      <c r="I43" s="156"/>
      <c r="J43" s="156" t="str">
        <f>J3&amp;J4&amp;J5&amp;J6&amp;J7&amp;J8&amp;J9&amp;J10&amp;J11&amp;J12&amp;J14&amp;J15&amp;J16&amp;J17&amp;J18&amp;J19&amp;J20&amp;J21&amp;J22&amp;J23&amp;J24&amp;J25&amp;J26&amp;J27&amp;J28&amp;J29&amp;J30&amp;J31&amp;J33&amp;J34&amp;J35&amp;J36&amp;J38&amp;J39&amp;J40&amp;J41&amp;J42</f>
        <v/>
      </c>
      <c r="K43" s="156" t="str">
        <f t="shared" ref="K43:AC43" si="0">K3&amp;K4&amp;K5&amp;K6&amp;K7&amp;K8&amp;K9&amp;K10&amp;K11&amp;K12&amp;K14&amp;K15&amp;K16&amp;K17&amp;K18&amp;K19&amp;K20&amp;K21&amp;K22&amp;K23&amp;K24&amp;K25&amp;K26&amp;K27&amp;K28&amp;K29&amp;K30&amp;K31&amp;K33&amp;K34&amp;K35&amp;K36&amp;K38&amp;K39&amp;K40&amp;K41&amp;K42</f>
        <v/>
      </c>
      <c r="L43" s="156" t="str">
        <f t="shared" si="0"/>
        <v/>
      </c>
      <c r="M43" s="156" t="str">
        <f t="shared" si="0"/>
        <v/>
      </c>
      <c r="N43" s="156" t="str">
        <f t="shared" si="0"/>
        <v/>
      </c>
      <c r="O43" s="156" t="str">
        <f t="shared" si="0"/>
        <v/>
      </c>
      <c r="P43" s="156" t="str">
        <f t="shared" si="0"/>
        <v/>
      </c>
      <c r="Q43" s="156" t="str">
        <f t="shared" si="0"/>
        <v/>
      </c>
      <c r="R43" s="156" t="str">
        <f t="shared" si="0"/>
        <v/>
      </c>
      <c r="S43" s="156" t="str">
        <f t="shared" si="0"/>
        <v/>
      </c>
      <c r="T43" s="156" t="str">
        <f t="shared" si="0"/>
        <v>0</v>
      </c>
      <c r="U43" s="156" t="str">
        <f t="shared" si="0"/>
        <v>0</v>
      </c>
      <c r="V43" s="156" t="str">
        <f t="shared" si="0"/>
        <v>0</v>
      </c>
      <c r="W43" s="156" t="str">
        <f t="shared" si="0"/>
        <v>0</v>
      </c>
      <c r="X43" s="156" t="str">
        <f t="shared" si="0"/>
        <v>0</v>
      </c>
      <c r="Y43" s="156" t="str">
        <f t="shared" si="0"/>
        <v/>
      </c>
      <c r="Z43" s="156" t="str">
        <f t="shared" si="0"/>
        <v/>
      </c>
      <c r="AA43" s="156" t="str">
        <f t="shared" si="0"/>
        <v/>
      </c>
      <c r="AB43" s="156" t="str">
        <f t="shared" si="0"/>
        <v/>
      </c>
      <c r="AC43" s="156" t="str">
        <f t="shared" si="0"/>
        <v/>
      </c>
      <c r="AD43" s="156" t="str">
        <f t="shared" ref="AD43" si="1">AD3&amp;AD4&amp;AD5&amp;AD6&amp;AD7&amp;AD8&amp;AD9&amp;AD10&amp;AD11&amp;AD12&amp;AD14&amp;AD15&amp;AD16&amp;AD17&amp;AD18&amp;AD19&amp;AD20&amp;AD21&amp;AD22&amp;AD23&amp;AD24&amp;AD25&amp;AD26&amp;AD27&amp;AD28&amp;AD29&amp;AD30&amp;AD31&amp;AD33&amp;AD34&amp;AD35&amp;AD36&amp;AD38&amp;AD39&amp;AD40&amp;AD41&amp;AD42</f>
        <v/>
      </c>
      <c r="AE43" s="156" t="str">
        <f t="shared" ref="AE43" si="2">AE3&amp;AE4&amp;AE5&amp;AE6&amp;AE7&amp;AE8&amp;AE9&amp;AE10&amp;AE11&amp;AE12&amp;AE14&amp;AE15&amp;AE16&amp;AE17&amp;AE18&amp;AE19&amp;AE20&amp;AE21&amp;AE22&amp;AE23&amp;AE24&amp;AE25&amp;AE26&amp;AE27&amp;AE28&amp;AE29&amp;AE30&amp;AE31&amp;AE33&amp;AE34&amp;AE35&amp;AE36&amp;AE38&amp;AE39&amp;AE40&amp;AE41&amp;AE42</f>
        <v/>
      </c>
      <c r="AF43" s="156" t="str">
        <f t="shared" ref="AF43" si="3">AF3&amp;AF4&amp;AF5&amp;AF6&amp;AF7&amp;AF8&amp;AF9&amp;AF10&amp;AF11&amp;AF12&amp;AF14&amp;AF15&amp;AF16&amp;AF17&amp;AF18&amp;AF19&amp;AF20&amp;AF21&amp;AF22&amp;AF23&amp;AF24&amp;AF25&amp;AF26&amp;AF27&amp;AF28&amp;AF29&amp;AF30&amp;AF31&amp;AF33&amp;AF34&amp;AF35&amp;AF36&amp;AF38&amp;AF39&amp;AF40&amp;AF41&amp;AF42</f>
        <v/>
      </c>
      <c r="AG43" s="156" t="str">
        <f t="shared" ref="AG43" si="4">AG3&amp;AG4&amp;AG5&amp;AG6&amp;AG7&amp;AG8&amp;AG9&amp;AG10&amp;AG11&amp;AG12&amp;AG14&amp;AG15&amp;AG16&amp;AG17&amp;AG18&amp;AG19&amp;AG20&amp;AG21&amp;AG22&amp;AG23&amp;AG24&amp;AG25&amp;AG26&amp;AG27&amp;AG28&amp;AG29&amp;AG30&amp;AG31&amp;AG33&amp;AG34&amp;AG35&amp;AG36&amp;AG38&amp;AG39&amp;AG40&amp;AG41&amp;AG42</f>
        <v/>
      </c>
      <c r="AH43" s="156" t="str">
        <f t="shared" ref="AH43" si="5">AH3&amp;AH4&amp;AH5&amp;AH6&amp;AH7&amp;AH8&amp;AH9&amp;AH10&amp;AH11&amp;AH12&amp;AH14&amp;AH15&amp;AH16&amp;AH17&amp;AH18&amp;AH19&amp;AH20&amp;AH21&amp;AH22&amp;AH23&amp;AH24&amp;AH25&amp;AH26&amp;AH27&amp;AH28&amp;AH29&amp;AH30&amp;AH31&amp;AH33&amp;AH34&amp;AH35&amp;AH36&amp;AH38&amp;AH39&amp;AH40&amp;AH41&amp;AH42</f>
        <v/>
      </c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</row>
    <row r="44" spans="1:96" ht="15" customHeight="1" thickBot="1">
      <c r="A44" s="170" t="s">
        <v>511</v>
      </c>
      <c r="B44" s="145" t="s">
        <v>11</v>
      </c>
      <c r="C44" s="145" t="s">
        <v>93</v>
      </c>
      <c r="D44" s="171" t="s">
        <v>104</v>
      </c>
      <c r="E44" s="145" t="s">
        <v>14</v>
      </c>
      <c r="F44" s="172" t="s">
        <v>405</v>
      </c>
      <c r="I44" s="147"/>
      <c r="J44" s="147"/>
      <c r="K44" s="147"/>
      <c r="L44" s="147"/>
      <c r="M44" s="147"/>
      <c r="N44" s="173"/>
      <c r="O44" s="160"/>
      <c r="P44" s="173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  <c r="CQ44" s="147"/>
      <c r="CR44" s="147"/>
    </row>
    <row r="45" spans="1:96" ht="15" customHeight="1" thickBot="1">
      <c r="A45" s="174" t="s">
        <v>512</v>
      </c>
      <c r="B45" s="150"/>
      <c r="C45" s="150"/>
      <c r="D45" s="150"/>
      <c r="E45" s="150"/>
      <c r="F45" s="151"/>
      <c r="H45" s="156"/>
      <c r="I45" s="147"/>
      <c r="J45" s="156"/>
      <c r="K45" s="156"/>
      <c r="L45" s="156"/>
      <c r="M45" s="147"/>
      <c r="N45" s="173"/>
      <c r="O45" s="155" t="s">
        <v>513</v>
      </c>
      <c r="P45" s="173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  <c r="CQ45" s="147"/>
      <c r="CR45" s="147"/>
    </row>
    <row r="46" spans="1:96" ht="15" customHeight="1">
      <c r="A46" s="152" t="s">
        <v>513</v>
      </c>
      <c r="B46" s="175" t="s">
        <v>514</v>
      </c>
      <c r="C46" s="154" t="s">
        <v>103</v>
      </c>
      <c r="D46" s="175" t="s">
        <v>515</v>
      </c>
      <c r="E46" s="153" t="s">
        <v>516</v>
      </c>
      <c r="F46" s="176" t="s">
        <v>423</v>
      </c>
      <c r="H46" s="156"/>
      <c r="I46" s="147"/>
      <c r="J46" s="156" t="str">
        <f>IF('Feuille de personnage'!AB22="Armure matelassée","Légère","")</f>
        <v/>
      </c>
      <c r="K46" s="156" t="str">
        <f>IF('Feuille de personnage'!AB22="Armure matelassée","4","")</f>
        <v/>
      </c>
      <c r="L46" s="156"/>
      <c r="M46" s="147"/>
      <c r="N46" s="173"/>
      <c r="O46" s="155" t="s">
        <v>517</v>
      </c>
      <c r="P46" s="173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  <c r="CQ46" s="147"/>
      <c r="CR46" s="147"/>
    </row>
    <row r="47" spans="1:96" ht="15" customHeight="1">
      <c r="A47" s="157" t="s">
        <v>517</v>
      </c>
      <c r="B47" s="158" t="s">
        <v>514</v>
      </c>
      <c r="C47" s="159" t="s">
        <v>103</v>
      </c>
      <c r="D47" s="158" t="s">
        <v>103</v>
      </c>
      <c r="E47" s="158" t="s">
        <v>437</v>
      </c>
      <c r="F47" s="177" t="s">
        <v>468</v>
      </c>
      <c r="H47" s="156"/>
      <c r="I47" s="147"/>
      <c r="J47" s="156" t="str">
        <f>IF('Feuille de personnage'!AB22="Armure de cuir","Légère","")</f>
        <v/>
      </c>
      <c r="K47" s="156" t="str">
        <f>IF('Feuille de personnage'!AB22="Armure de cuir",5,"")</f>
        <v/>
      </c>
      <c r="L47" s="156"/>
      <c r="M47" s="147"/>
      <c r="N47" s="173"/>
      <c r="O47" s="155" t="s">
        <v>518</v>
      </c>
      <c r="P47" s="173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  <c r="CQ47" s="147"/>
      <c r="CR47" s="147"/>
    </row>
    <row r="48" spans="1:96" ht="15" customHeight="1" thickBot="1">
      <c r="A48" s="178" t="s">
        <v>518</v>
      </c>
      <c r="B48" s="168" t="s">
        <v>519</v>
      </c>
      <c r="C48" s="179" t="s">
        <v>103</v>
      </c>
      <c r="D48" s="168" t="s">
        <v>103</v>
      </c>
      <c r="E48" s="168" t="s">
        <v>520</v>
      </c>
      <c r="F48" s="180" t="s">
        <v>521</v>
      </c>
      <c r="H48" s="156"/>
      <c r="I48" s="156"/>
      <c r="J48" s="156" t="str">
        <f>IF('Feuille de personnage'!AB22="Armure de cuir cloutée","Légère","")</f>
        <v/>
      </c>
      <c r="K48" s="156" t="str">
        <f>IF('Feuille de personnage'!AB22="Armure de cuir cloutée",6.5,"")</f>
        <v/>
      </c>
      <c r="L48" s="156"/>
      <c r="M48" s="147"/>
      <c r="N48" s="173"/>
      <c r="O48" s="155"/>
      <c r="P48" s="173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47"/>
      <c r="BQ48" s="147"/>
      <c r="BR48" s="147"/>
      <c r="BS48" s="147"/>
      <c r="BT48" s="147"/>
      <c r="BU48" s="147"/>
      <c r="BV48" s="147"/>
      <c r="BW48" s="147"/>
      <c r="BX48" s="147"/>
      <c r="BY48" s="147"/>
      <c r="BZ48" s="147"/>
      <c r="CA48" s="147"/>
      <c r="CB48" s="147"/>
      <c r="CC48" s="147"/>
      <c r="CD48" s="147"/>
      <c r="CE48" s="147"/>
      <c r="CF48" s="147"/>
      <c r="CG48" s="147"/>
      <c r="CH48" s="147"/>
      <c r="CI48" s="147"/>
      <c r="CJ48" s="147"/>
      <c r="CK48" s="147"/>
      <c r="CL48" s="147"/>
      <c r="CM48" s="147"/>
      <c r="CN48" s="147"/>
      <c r="CO48" s="147"/>
      <c r="CP48" s="147"/>
      <c r="CQ48" s="147"/>
      <c r="CR48" s="147"/>
    </row>
    <row r="49" spans="1:96" ht="15" customHeight="1" thickBot="1">
      <c r="A49" s="149" t="s">
        <v>522</v>
      </c>
      <c r="B49" s="150"/>
      <c r="C49" s="150"/>
      <c r="D49" s="150"/>
      <c r="E49" s="150"/>
      <c r="F49" s="151"/>
      <c r="H49" s="156"/>
      <c r="I49" s="156" t="str">
        <f>IF('Feuille de personnage'!AB22="Armure matelassée",11+'Feuille de personnage'!A24,"")</f>
        <v/>
      </c>
      <c r="J49" s="156"/>
      <c r="K49" s="156"/>
      <c r="L49" s="156"/>
      <c r="M49" s="147"/>
      <c r="N49" s="173"/>
      <c r="O49" s="155" t="s">
        <v>523</v>
      </c>
      <c r="P49" s="173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7"/>
      <c r="BR49" s="147"/>
      <c r="BS49" s="147"/>
      <c r="BT49" s="147"/>
      <c r="BU49" s="147"/>
      <c r="BV49" s="147"/>
      <c r="BW49" s="147"/>
      <c r="BX49" s="147"/>
      <c r="BY49" s="147"/>
      <c r="BZ49" s="147"/>
      <c r="CA49" s="147"/>
      <c r="CB49" s="147"/>
      <c r="CC49" s="147"/>
      <c r="CD49" s="147"/>
      <c r="CE49" s="147"/>
      <c r="CF49" s="147"/>
      <c r="CG49" s="147"/>
      <c r="CH49" s="147"/>
      <c r="CI49" s="147"/>
      <c r="CJ49" s="147"/>
      <c r="CK49" s="147"/>
      <c r="CL49" s="147"/>
      <c r="CM49" s="147"/>
      <c r="CN49" s="147"/>
      <c r="CO49" s="147"/>
      <c r="CP49" s="147"/>
      <c r="CQ49" s="147"/>
      <c r="CR49" s="147"/>
    </row>
    <row r="50" spans="1:96" ht="15" customHeight="1">
      <c r="A50" s="152" t="s">
        <v>523</v>
      </c>
      <c r="B50" s="175" t="s">
        <v>524</v>
      </c>
      <c r="C50" s="154" t="s">
        <v>103</v>
      </c>
      <c r="D50" s="153" t="s">
        <v>103</v>
      </c>
      <c r="E50" s="153" t="s">
        <v>525</v>
      </c>
      <c r="F50" s="176" t="s">
        <v>468</v>
      </c>
      <c r="H50" s="156"/>
      <c r="I50" s="156" t="str">
        <f>IF('Feuille de personnage'!AB22="Armure de cuir",11+'Feuille de personnage'!A24,"")</f>
        <v/>
      </c>
      <c r="J50" s="156" t="str">
        <f>IF('Feuille de personnage'!AB22="Armure de peau","Intermédiaire","")</f>
        <v/>
      </c>
      <c r="K50" s="156" t="str">
        <f>IF('Feuille de personnage'!AB22="Armure de peau",6,"0")</f>
        <v>0</v>
      </c>
      <c r="L50" s="156"/>
      <c r="M50" s="147"/>
      <c r="N50" s="173"/>
      <c r="O50" s="155" t="s">
        <v>526</v>
      </c>
      <c r="P50" s="173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7"/>
      <c r="BR50" s="147"/>
      <c r="BS50" s="147"/>
      <c r="BT50" s="147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7"/>
      <c r="CL50" s="147"/>
      <c r="CM50" s="147"/>
      <c r="CN50" s="147"/>
      <c r="CO50" s="147"/>
      <c r="CP50" s="147"/>
      <c r="CQ50" s="147"/>
      <c r="CR50" s="147"/>
    </row>
    <row r="51" spans="1:96" ht="15" customHeight="1">
      <c r="A51" s="157" t="s">
        <v>526</v>
      </c>
      <c r="B51" s="158" t="s">
        <v>527</v>
      </c>
      <c r="C51" s="159" t="s">
        <v>103</v>
      </c>
      <c r="D51" s="158" t="s">
        <v>103</v>
      </c>
      <c r="E51" s="158" t="s">
        <v>528</v>
      </c>
      <c r="F51" s="177" t="s">
        <v>465</v>
      </c>
      <c r="H51" s="156"/>
      <c r="I51" s="156" t="str">
        <f>IF('Feuille de personnage'!AB22="Armure de cuir cloutée",12+'Feuille de personnage'!A24,"")</f>
        <v/>
      </c>
      <c r="J51" s="156" t="str">
        <f>IF('Feuille de personnage'!AB22="Chemise de mailles","Intermédiaire","")</f>
        <v/>
      </c>
      <c r="K51" s="156" t="str">
        <f>IF('Feuille de personnage'!AB22="Chemise de mailles",10,"")</f>
        <v/>
      </c>
      <c r="L51" s="156"/>
      <c r="M51" s="147"/>
      <c r="N51" s="173"/>
      <c r="O51" s="155" t="s">
        <v>529</v>
      </c>
      <c r="P51" s="173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  <c r="BP51" s="147"/>
      <c r="BQ51" s="147"/>
      <c r="BR51" s="147"/>
      <c r="BS51" s="147"/>
      <c r="BT51" s="147"/>
      <c r="BU51" s="147"/>
      <c r="BV51" s="147"/>
      <c r="BW51" s="147"/>
      <c r="BX51" s="147"/>
      <c r="BY51" s="147"/>
      <c r="BZ51" s="147"/>
      <c r="CA51" s="147"/>
      <c r="CB51" s="147"/>
      <c r="CC51" s="147"/>
      <c r="CD51" s="147"/>
      <c r="CE51" s="147"/>
      <c r="CF51" s="147"/>
      <c r="CG51" s="147"/>
      <c r="CH51" s="147"/>
      <c r="CI51" s="147"/>
      <c r="CJ51" s="147"/>
      <c r="CK51" s="147"/>
      <c r="CL51" s="147"/>
      <c r="CM51" s="147"/>
      <c r="CN51" s="147"/>
      <c r="CO51" s="147"/>
      <c r="CP51" s="147"/>
      <c r="CQ51" s="147"/>
      <c r="CR51" s="147"/>
    </row>
    <row r="52" spans="1:96" ht="15" customHeight="1">
      <c r="A52" s="161" t="s">
        <v>529</v>
      </c>
      <c r="B52" s="162" t="s">
        <v>530</v>
      </c>
      <c r="C52" s="163" t="s">
        <v>103</v>
      </c>
      <c r="D52" s="162" t="s">
        <v>515</v>
      </c>
      <c r="E52" s="162" t="s">
        <v>531</v>
      </c>
      <c r="F52" s="181" t="s">
        <v>465</v>
      </c>
      <c r="H52" s="156"/>
      <c r="I52" s="156"/>
      <c r="J52" s="156" t="str">
        <f>IF('Feuille de personnage'!AB22="Armure d'écailles","Intermédiaire","")</f>
        <v/>
      </c>
      <c r="K52" s="156" t="str">
        <f>IF('Feuille de personnage'!AB22="Armure d'écailles",22,"")</f>
        <v/>
      </c>
      <c r="L52" s="156"/>
      <c r="M52" s="147"/>
      <c r="N52" s="173"/>
      <c r="O52" s="155" t="s">
        <v>532</v>
      </c>
      <c r="P52" s="173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7"/>
      <c r="BQ52" s="147"/>
      <c r="BR52" s="147"/>
      <c r="BS52" s="147"/>
      <c r="BT52" s="147"/>
      <c r="BU52" s="147"/>
      <c r="BV52" s="147"/>
      <c r="BW52" s="147"/>
      <c r="BX52" s="147"/>
      <c r="BY52" s="147"/>
      <c r="BZ52" s="147"/>
      <c r="CA52" s="147"/>
      <c r="CB52" s="147"/>
      <c r="CC52" s="147"/>
      <c r="CD52" s="147"/>
      <c r="CE52" s="147"/>
      <c r="CF52" s="147"/>
      <c r="CG52" s="147"/>
      <c r="CH52" s="147"/>
      <c r="CI52" s="147"/>
      <c r="CJ52" s="147"/>
      <c r="CK52" s="147"/>
      <c r="CL52" s="147"/>
      <c r="CM52" s="147"/>
      <c r="CN52" s="147"/>
      <c r="CO52" s="147"/>
      <c r="CP52" s="147"/>
      <c r="CQ52" s="147"/>
      <c r="CR52" s="147"/>
    </row>
    <row r="53" spans="1:96" ht="15" customHeight="1">
      <c r="A53" s="157" t="s">
        <v>532</v>
      </c>
      <c r="B53" s="158" t="s">
        <v>530</v>
      </c>
      <c r="C53" s="159" t="s">
        <v>103</v>
      </c>
      <c r="D53" s="158" t="s">
        <v>103</v>
      </c>
      <c r="E53" s="158" t="s">
        <v>528</v>
      </c>
      <c r="F53" s="177" t="s">
        <v>533</v>
      </c>
      <c r="H53" s="156"/>
      <c r="I53" s="156" t="str">
        <f>IF('Feuille de personnage'!AB22="Armure de peau",12+I64,"")</f>
        <v/>
      </c>
      <c r="J53" s="156" t="str">
        <f>IF('Feuille de personnage'!AB22="Cuirasse","Intermédiaire","")</f>
        <v/>
      </c>
      <c r="K53" s="156" t="str">
        <f>IF('Feuille de personnage'!AB22="Cuirasse",10,"")</f>
        <v/>
      </c>
      <c r="L53" s="156"/>
      <c r="M53" s="147"/>
      <c r="N53" s="173"/>
      <c r="O53" s="155" t="s">
        <v>534</v>
      </c>
      <c r="P53" s="173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  <c r="BQ53" s="147"/>
      <c r="BR53" s="147"/>
      <c r="BS53" s="147"/>
      <c r="BT53" s="147"/>
      <c r="BU53" s="147"/>
      <c r="BV53" s="147"/>
      <c r="BW53" s="147"/>
      <c r="BX53" s="147"/>
      <c r="BY53" s="147"/>
      <c r="BZ53" s="147"/>
      <c r="CA53" s="147"/>
      <c r="CB53" s="147"/>
      <c r="CC53" s="147"/>
      <c r="CD53" s="147"/>
      <c r="CE53" s="147"/>
      <c r="CF53" s="147"/>
      <c r="CG53" s="147"/>
      <c r="CH53" s="147"/>
      <c r="CI53" s="147"/>
      <c r="CJ53" s="147"/>
      <c r="CK53" s="147"/>
      <c r="CL53" s="147"/>
      <c r="CM53" s="147"/>
      <c r="CN53" s="147"/>
      <c r="CO53" s="147"/>
      <c r="CP53" s="147"/>
      <c r="CQ53" s="147"/>
      <c r="CR53" s="147"/>
    </row>
    <row r="54" spans="1:96" ht="15" customHeight="1" thickBot="1">
      <c r="A54" s="178" t="s">
        <v>534</v>
      </c>
      <c r="B54" s="168" t="s">
        <v>535</v>
      </c>
      <c r="C54" s="179" t="s">
        <v>103</v>
      </c>
      <c r="D54" s="168" t="s">
        <v>515</v>
      </c>
      <c r="E54" s="168" t="s">
        <v>536</v>
      </c>
      <c r="F54" s="180" t="s">
        <v>537</v>
      </c>
      <c r="H54" s="156"/>
      <c r="I54" s="156" t="str">
        <f>IF('Feuille de personnage'!AB22="Chemise de mailles",13+I64,"")</f>
        <v/>
      </c>
      <c r="J54" s="156" t="str">
        <f>IF('Feuille de personnage'!AB22="Armure à plaques","Intermédiaire","")</f>
        <v/>
      </c>
      <c r="K54" s="156" t="str">
        <f>IF('Feuille de personnage'!AB22="Armure à plaques",20,"")</f>
        <v/>
      </c>
      <c r="L54" s="156"/>
      <c r="M54" s="147"/>
      <c r="N54" s="173"/>
      <c r="O54" s="155"/>
      <c r="P54" s="173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  <c r="BI54" s="147"/>
      <c r="BJ54" s="147"/>
      <c r="BK54" s="147"/>
      <c r="BL54" s="147"/>
      <c r="BM54" s="147"/>
      <c r="BN54" s="147"/>
      <c r="BO54" s="147"/>
      <c r="BP54" s="147"/>
      <c r="BQ54" s="147"/>
      <c r="BR54" s="147"/>
      <c r="BS54" s="147"/>
      <c r="BT54" s="147"/>
      <c r="BU54" s="147"/>
      <c r="BV54" s="147"/>
      <c r="BW54" s="147"/>
      <c r="BX54" s="147"/>
      <c r="BY54" s="147"/>
      <c r="BZ54" s="147"/>
      <c r="CA54" s="147"/>
      <c r="CB54" s="147"/>
      <c r="CC54" s="147"/>
      <c r="CD54" s="147"/>
      <c r="CE54" s="147"/>
      <c r="CF54" s="147"/>
      <c r="CG54" s="147"/>
      <c r="CH54" s="147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</row>
    <row r="55" spans="1:96" ht="15" customHeight="1" thickBot="1">
      <c r="A55" s="149" t="s">
        <v>538</v>
      </c>
      <c r="B55" s="150"/>
      <c r="C55" s="150"/>
      <c r="D55" s="150"/>
      <c r="E55" s="150"/>
      <c r="F55" s="151"/>
      <c r="H55" s="156"/>
      <c r="I55" s="156" t="str">
        <f>IF('Feuille de personnage'!AB22="Armure d'écailles",14+I64,"")</f>
        <v/>
      </c>
      <c r="J55" s="156"/>
      <c r="K55" s="156"/>
      <c r="L55" s="156"/>
      <c r="M55" s="147"/>
      <c r="N55" s="173"/>
      <c r="O55" s="155" t="s">
        <v>539</v>
      </c>
      <c r="P55" s="173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  <c r="BI55" s="147"/>
      <c r="BJ55" s="147"/>
      <c r="BK55" s="147"/>
      <c r="BL55" s="147"/>
      <c r="BM55" s="147"/>
      <c r="BN55" s="147"/>
      <c r="BO55" s="147"/>
      <c r="BP55" s="147"/>
      <c r="BQ55" s="147"/>
      <c r="BR55" s="147"/>
      <c r="BS55" s="147"/>
      <c r="BT55" s="147"/>
      <c r="BU55" s="147"/>
      <c r="BV55" s="147"/>
      <c r="BW55" s="147"/>
      <c r="BX55" s="147"/>
      <c r="BY55" s="147"/>
      <c r="BZ55" s="147"/>
      <c r="CA55" s="147"/>
      <c r="CB55" s="147"/>
      <c r="CC55" s="147"/>
      <c r="CD55" s="147"/>
      <c r="CE55" s="147"/>
      <c r="CF55" s="147"/>
      <c r="CG55" s="147"/>
      <c r="CH55" s="147"/>
      <c r="CI55" s="147"/>
      <c r="CJ55" s="147"/>
      <c r="CK55" s="147"/>
      <c r="CL55" s="147"/>
      <c r="CM55" s="147"/>
      <c r="CN55" s="147"/>
      <c r="CO55" s="147"/>
      <c r="CP55" s="147"/>
      <c r="CQ55" s="147"/>
      <c r="CR55" s="147"/>
    </row>
    <row r="56" spans="1:96" ht="15" customHeight="1">
      <c r="A56" s="152" t="s">
        <v>539</v>
      </c>
      <c r="B56" s="153">
        <v>14</v>
      </c>
      <c r="C56" s="154" t="s">
        <v>103</v>
      </c>
      <c r="D56" s="153" t="s">
        <v>515</v>
      </c>
      <c r="E56" s="153" t="s">
        <v>536</v>
      </c>
      <c r="F56" s="176" t="s">
        <v>479</v>
      </c>
      <c r="H56" s="156"/>
      <c r="I56" s="156" t="str">
        <f>IF('Feuille de personnage'!AB22="Cuirasse",14+I64,"")</f>
        <v/>
      </c>
      <c r="J56" s="156" t="str">
        <f>IF('Feuille de personnage'!AB22="Broigne","lourde","")</f>
        <v/>
      </c>
      <c r="K56" s="156" t="str">
        <f>IF('Feuille de personnage'!AB22="Broigne",20,"")</f>
        <v/>
      </c>
      <c r="L56" s="156"/>
      <c r="M56" s="147"/>
      <c r="N56" s="173"/>
      <c r="O56" s="155" t="s">
        <v>540</v>
      </c>
      <c r="P56" s="173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  <c r="BI56" s="147"/>
      <c r="BJ56" s="147"/>
      <c r="BK56" s="147"/>
      <c r="BL56" s="147"/>
      <c r="BM56" s="147"/>
      <c r="BN56" s="147"/>
      <c r="BO56" s="147"/>
      <c r="BP56" s="147"/>
      <c r="BQ56" s="147"/>
      <c r="BR56" s="147"/>
      <c r="BS56" s="147"/>
      <c r="BT56" s="147"/>
      <c r="BU56" s="147"/>
      <c r="BV56" s="147"/>
      <c r="BW56" s="147"/>
      <c r="BX56" s="147"/>
      <c r="BY56" s="147"/>
      <c r="BZ56" s="147"/>
      <c r="CA56" s="147"/>
      <c r="CB56" s="147"/>
      <c r="CC56" s="147"/>
      <c r="CD56" s="147"/>
      <c r="CE56" s="147"/>
      <c r="CF56" s="147"/>
      <c r="CG56" s="147"/>
      <c r="CH56" s="147"/>
      <c r="CI56" s="147"/>
      <c r="CJ56" s="147"/>
      <c r="CK56" s="147"/>
      <c r="CL56" s="147"/>
      <c r="CM56" s="147"/>
      <c r="CN56" s="147"/>
      <c r="CO56" s="147"/>
      <c r="CP56" s="147"/>
      <c r="CQ56" s="147"/>
      <c r="CR56" s="147"/>
    </row>
    <row r="57" spans="1:96" ht="15" customHeight="1">
      <c r="A57" s="157" t="s">
        <v>540</v>
      </c>
      <c r="B57" s="158">
        <v>16</v>
      </c>
      <c r="C57" s="159" t="s">
        <v>541</v>
      </c>
      <c r="D57" s="158" t="s">
        <v>515</v>
      </c>
      <c r="E57" s="158" t="s">
        <v>542</v>
      </c>
      <c r="F57" s="177" t="s">
        <v>499</v>
      </c>
      <c r="H57" s="156"/>
      <c r="I57" s="156" t="str">
        <f>IF('Feuille de personnage'!AB22="Armure à plaques",15+I64,"")</f>
        <v/>
      </c>
      <c r="J57" s="156" t="str">
        <f>IF('Feuille de personnage'!AB22="Cotte de mailles","lourde","")</f>
        <v/>
      </c>
      <c r="K57" s="156" t="str">
        <f>IF('Feuille de personnage'!AB22="Cotte de mailles",27,"")</f>
        <v/>
      </c>
      <c r="L57" s="156"/>
      <c r="M57" s="147"/>
      <c r="N57" s="173"/>
      <c r="O57" s="155" t="s">
        <v>543</v>
      </c>
      <c r="P57" s="173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7"/>
      <c r="CL57" s="147"/>
      <c r="CM57" s="147"/>
      <c r="CN57" s="147"/>
      <c r="CO57" s="147"/>
      <c r="CP57" s="147"/>
      <c r="CQ57" s="147"/>
      <c r="CR57" s="147"/>
    </row>
    <row r="58" spans="1:96" ht="15" customHeight="1">
      <c r="A58" s="161" t="s">
        <v>543</v>
      </c>
      <c r="B58" s="162">
        <v>17</v>
      </c>
      <c r="C58" s="163" t="s">
        <v>544</v>
      </c>
      <c r="D58" s="162" t="s">
        <v>515</v>
      </c>
      <c r="E58" s="162" t="s">
        <v>545</v>
      </c>
      <c r="F58" s="181" t="s">
        <v>546</v>
      </c>
      <c r="H58" s="156"/>
      <c r="I58" s="156"/>
      <c r="J58" s="156" t="str">
        <f>IF('Feuille de personnage'!AB22="Clibanion","lourde","")</f>
        <v/>
      </c>
      <c r="K58" s="156" t="str">
        <f>IF('Feuille de personnage'!AB22="Clibanion",30,"")</f>
        <v/>
      </c>
      <c r="L58" s="156"/>
      <c r="M58" s="147"/>
      <c r="N58" s="147"/>
      <c r="O58" s="155" t="s">
        <v>547</v>
      </c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  <c r="BI58" s="147"/>
      <c r="BJ58" s="147"/>
      <c r="BK58" s="147"/>
      <c r="BL58" s="147"/>
      <c r="BM58" s="147"/>
      <c r="BN58" s="147"/>
      <c r="BO58" s="147"/>
      <c r="BP58" s="147"/>
      <c r="BQ58" s="147"/>
      <c r="BR58" s="147"/>
      <c r="BS58" s="147"/>
      <c r="BT58" s="147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7"/>
      <c r="CL58" s="147"/>
      <c r="CM58" s="147"/>
      <c r="CN58" s="147"/>
      <c r="CO58" s="147"/>
      <c r="CP58" s="147"/>
      <c r="CQ58" s="147"/>
      <c r="CR58" s="147"/>
    </row>
    <row r="59" spans="1:96" ht="15" customHeight="1" thickBot="1">
      <c r="A59" s="164" t="s">
        <v>547</v>
      </c>
      <c r="B59" s="165">
        <v>18</v>
      </c>
      <c r="C59" s="166" t="s">
        <v>544</v>
      </c>
      <c r="D59" s="165" t="s">
        <v>515</v>
      </c>
      <c r="E59" s="165" t="s">
        <v>548</v>
      </c>
      <c r="F59" s="182" t="s">
        <v>549</v>
      </c>
      <c r="H59" s="156"/>
      <c r="I59" s="156" t="str">
        <f>IF('Feuille de personnage'!AB22="Broigne",14,"")</f>
        <v/>
      </c>
      <c r="J59" s="156" t="str">
        <f>IF('Feuille de personnage'!AB22="Harnois","lourde","")</f>
        <v/>
      </c>
      <c r="K59" s="156" t="str">
        <f>IF('Feuille de personnage'!AB22="Harnois",32,"")</f>
        <v/>
      </c>
      <c r="L59" s="156"/>
      <c r="M59" s="147"/>
      <c r="N59" s="147"/>
      <c r="O59" s="160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7"/>
      <c r="CL59" s="147"/>
      <c r="CM59" s="147"/>
      <c r="CN59" s="147"/>
      <c r="CO59" s="147"/>
      <c r="CP59" s="147"/>
      <c r="CQ59" s="147"/>
      <c r="CR59" s="147"/>
    </row>
    <row r="60" spans="1:96" ht="15" customHeight="1" thickBot="1">
      <c r="A60" s="149" t="s">
        <v>101</v>
      </c>
      <c r="B60" s="150"/>
      <c r="C60" s="150"/>
      <c r="D60" s="150"/>
      <c r="E60" s="150"/>
      <c r="F60" s="151"/>
      <c r="H60" s="156"/>
      <c r="I60" s="156" t="str">
        <f>IF('Feuille de personnage'!AB22="Cotte de mailles",16,"")</f>
        <v/>
      </c>
      <c r="J60" s="156" t="str">
        <f>J46&amp;J47&amp;J48&amp;J50&amp;J51&amp;J52&amp;J53&amp;J54&amp;J56&amp;J57&amp;J58&amp;J59</f>
        <v/>
      </c>
      <c r="K60" s="156" t="str">
        <f>K46&amp;K47&amp;K48&amp;K49&amp;K50&amp;K51&amp;K52&amp;K53&amp;K54&amp;K55&amp;K56&amp;K57&amp;K58&amp;K59</f>
        <v>0</v>
      </c>
      <c r="L60" s="156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  <c r="BI60" s="147"/>
      <c r="BJ60" s="147"/>
      <c r="BK60" s="147"/>
      <c r="BL60" s="147"/>
      <c r="BM60" s="147"/>
      <c r="BN60" s="147"/>
      <c r="BO60" s="147"/>
      <c r="BP60" s="147"/>
      <c r="BQ60" s="147"/>
      <c r="BR60" s="147"/>
      <c r="BS60" s="147"/>
      <c r="BT60" s="147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7"/>
      <c r="CL60" s="147"/>
      <c r="CM60" s="147"/>
      <c r="CN60" s="147"/>
      <c r="CO60" s="147"/>
      <c r="CP60" s="147"/>
      <c r="CQ60" s="147"/>
      <c r="CR60" s="147"/>
    </row>
    <row r="61" spans="1:96" ht="15" customHeight="1" thickBot="1">
      <c r="A61" s="183" t="s">
        <v>101</v>
      </c>
      <c r="B61" s="184">
        <v>2</v>
      </c>
      <c r="C61" s="185" t="s">
        <v>103</v>
      </c>
      <c r="D61" s="184" t="s">
        <v>103</v>
      </c>
      <c r="E61" s="184" t="s">
        <v>460</v>
      </c>
      <c r="F61" s="186" t="s">
        <v>468</v>
      </c>
      <c r="H61" s="156"/>
      <c r="I61" s="156" t="str">
        <f>IF('Feuille de personnage'!AB22="Clibanion",17,"")</f>
        <v/>
      </c>
      <c r="J61" s="156"/>
      <c r="K61" s="156"/>
      <c r="L61" s="156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  <c r="BI61" s="147"/>
      <c r="BJ61" s="147"/>
      <c r="BK61" s="147"/>
      <c r="BL61" s="147"/>
      <c r="BM61" s="147"/>
      <c r="BN61" s="147"/>
      <c r="BO61" s="147"/>
      <c r="BP61" s="147"/>
      <c r="BQ61" s="147"/>
      <c r="BR61" s="147"/>
      <c r="BS61" s="147"/>
      <c r="BT61" s="147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7"/>
      <c r="CL61" s="147"/>
      <c r="CM61" s="147"/>
      <c r="CN61" s="147"/>
      <c r="CO61" s="147"/>
      <c r="CP61" s="147"/>
      <c r="CQ61" s="147"/>
      <c r="CR61" s="147"/>
    </row>
    <row r="62" spans="1:96" ht="15" customHeight="1" thickBot="1">
      <c r="I62" s="156" t="str">
        <f>IF('Feuille de personnage'!AB22="Harnois",18,"")</f>
        <v/>
      </c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47"/>
      <c r="BQ62" s="147"/>
      <c r="BR62" s="147"/>
      <c r="BS62" s="147"/>
      <c r="BT62" s="147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7"/>
      <c r="CL62" s="147"/>
      <c r="CM62" s="147"/>
      <c r="CN62" s="147"/>
      <c r="CO62" s="147"/>
      <c r="CP62" s="147"/>
      <c r="CQ62" s="147"/>
      <c r="CR62" s="147"/>
    </row>
    <row r="63" spans="1:96" ht="15" customHeight="1" thickBot="1">
      <c r="A63" s="144" t="s">
        <v>550</v>
      </c>
      <c r="B63" s="145" t="s">
        <v>405</v>
      </c>
      <c r="C63" s="187" t="s">
        <v>14</v>
      </c>
      <c r="I63" s="156">
        <f>SUM(I49:I62)</f>
        <v>0</v>
      </c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  <c r="BI63" s="147"/>
      <c r="BJ63" s="147"/>
      <c r="BK63" s="147"/>
      <c r="BL63" s="147"/>
      <c r="BM63" s="147"/>
      <c r="BN63" s="147"/>
      <c r="BO63" s="147"/>
      <c r="BP63" s="147"/>
      <c r="BQ63" s="147"/>
      <c r="BR63" s="147"/>
      <c r="BS63" s="147"/>
      <c r="BT63" s="147"/>
      <c r="BU63" s="147"/>
      <c r="BV63" s="147"/>
      <c r="BW63" s="147"/>
      <c r="BX63" s="147"/>
      <c r="BY63" s="147"/>
      <c r="BZ63" s="147"/>
      <c r="CA63" s="147"/>
      <c r="CB63" s="147"/>
      <c r="CC63" s="147"/>
      <c r="CD63" s="147"/>
      <c r="CE63" s="147"/>
      <c r="CF63" s="147"/>
      <c r="CG63" s="147"/>
      <c r="CH63" s="147"/>
      <c r="CI63" s="147"/>
      <c r="CJ63" s="147"/>
      <c r="CK63" s="147"/>
      <c r="CL63" s="147"/>
      <c r="CM63" s="147"/>
      <c r="CN63" s="147"/>
      <c r="CO63" s="147"/>
      <c r="CP63" s="147"/>
      <c r="CQ63" s="147"/>
      <c r="CR63" s="147"/>
    </row>
    <row r="64" spans="1:96" ht="15" customHeight="1">
      <c r="A64" s="152" t="s">
        <v>551</v>
      </c>
      <c r="B64" s="175" t="s">
        <v>445</v>
      </c>
      <c r="C64" s="176" t="s">
        <v>414</v>
      </c>
      <c r="I64" s="156">
        <f>IF('Feuille de personnage'!A24&gt;2,2,'Feuille de personnage'!A24)</f>
        <v>-1</v>
      </c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  <c r="BM64" s="147"/>
      <c r="BN64" s="147"/>
      <c r="BO64" s="147"/>
      <c r="BP64" s="147"/>
      <c r="BQ64" s="147"/>
      <c r="BR64" s="147"/>
      <c r="BS64" s="147"/>
      <c r="BT64" s="147"/>
      <c r="BU64" s="147"/>
      <c r="BV64" s="147"/>
      <c r="BW64" s="147"/>
      <c r="BX64" s="147"/>
      <c r="BY64" s="147"/>
      <c r="BZ64" s="147"/>
      <c r="CA64" s="147"/>
      <c r="CB64" s="147"/>
      <c r="CC64" s="147"/>
      <c r="CD64" s="147"/>
      <c r="CE64" s="147"/>
      <c r="CF64" s="147"/>
      <c r="CG64" s="147"/>
      <c r="CH64" s="147"/>
      <c r="CI64" s="147"/>
      <c r="CJ64" s="147"/>
      <c r="CK64" s="147"/>
      <c r="CL64" s="147"/>
      <c r="CM64" s="147"/>
      <c r="CN64" s="147"/>
      <c r="CO64" s="147"/>
      <c r="CP64" s="147"/>
      <c r="CQ64" s="147"/>
      <c r="CR64" s="147"/>
    </row>
    <row r="65" spans="1:18" ht="15" customHeight="1">
      <c r="A65" s="157" t="s">
        <v>552</v>
      </c>
      <c r="B65" s="158" t="s">
        <v>465</v>
      </c>
      <c r="C65" s="177" t="s">
        <v>103</v>
      </c>
      <c r="H65" s="188"/>
      <c r="I65" s="189"/>
      <c r="J65" s="189"/>
      <c r="K65" s="189"/>
      <c r="L65" s="189"/>
      <c r="M65" s="189"/>
      <c r="N65" s="189"/>
      <c r="O65" s="189"/>
      <c r="P65" s="189"/>
      <c r="Q65" s="189"/>
      <c r="R65" s="189"/>
    </row>
    <row r="66" spans="1:18" ht="15" customHeight="1">
      <c r="A66" s="161" t="s">
        <v>553</v>
      </c>
      <c r="B66" s="162" t="s">
        <v>554</v>
      </c>
      <c r="C66" s="181" t="s">
        <v>555</v>
      </c>
      <c r="F66" s="188"/>
      <c r="I66" s="189"/>
      <c r="J66" s="189"/>
      <c r="K66" s="189"/>
      <c r="L66" s="189"/>
      <c r="M66" s="189"/>
      <c r="N66" s="189"/>
      <c r="O66" s="189"/>
      <c r="P66" s="189"/>
      <c r="Q66" s="189"/>
      <c r="R66" s="189"/>
    </row>
    <row r="67" spans="1:18" ht="15" customHeight="1">
      <c r="A67" s="157" t="s">
        <v>556</v>
      </c>
      <c r="B67" s="158" t="s">
        <v>431</v>
      </c>
      <c r="C67" s="177" t="s">
        <v>419</v>
      </c>
    </row>
    <row r="68" spans="1:18" ht="15" customHeight="1">
      <c r="A68" s="161" t="s">
        <v>557</v>
      </c>
      <c r="B68" s="162" t="s">
        <v>427</v>
      </c>
      <c r="C68" s="181" t="s">
        <v>414</v>
      </c>
    </row>
    <row r="69" spans="1:18" ht="15" customHeight="1">
      <c r="A69" s="157" t="s">
        <v>558</v>
      </c>
      <c r="B69" s="158" t="s">
        <v>559</v>
      </c>
      <c r="C69" s="177" t="s">
        <v>103</v>
      </c>
    </row>
    <row r="70" spans="1:18" ht="15" customHeight="1">
      <c r="A70" s="161" t="s">
        <v>560</v>
      </c>
      <c r="B70" s="162" t="s">
        <v>415</v>
      </c>
      <c r="C70" s="181" t="s">
        <v>419</v>
      </c>
    </row>
    <row r="71" spans="1:18" ht="15" customHeight="1">
      <c r="A71" s="157" t="s">
        <v>561</v>
      </c>
      <c r="B71" s="158" t="s">
        <v>427</v>
      </c>
      <c r="C71" s="177" t="s">
        <v>414</v>
      </c>
    </row>
    <row r="72" spans="1:18" ht="15" customHeight="1">
      <c r="A72" s="161" t="s">
        <v>562</v>
      </c>
      <c r="B72" s="162" t="s">
        <v>468</v>
      </c>
      <c r="C72" s="181" t="s">
        <v>414</v>
      </c>
    </row>
    <row r="73" spans="1:18" ht="15" customHeight="1">
      <c r="A73" s="157" t="s">
        <v>563</v>
      </c>
      <c r="B73" s="158" t="s">
        <v>431</v>
      </c>
      <c r="C73" s="177" t="s">
        <v>414</v>
      </c>
    </row>
    <row r="74" spans="1:18" ht="15" customHeight="1">
      <c r="A74" s="161" t="s">
        <v>564</v>
      </c>
      <c r="B74" s="162" t="s">
        <v>423</v>
      </c>
      <c r="C74" s="181" t="s">
        <v>565</v>
      </c>
    </row>
    <row r="75" spans="1:18" ht="15" customHeight="1">
      <c r="A75" s="157" t="s">
        <v>566</v>
      </c>
      <c r="B75" s="158" t="s">
        <v>423</v>
      </c>
      <c r="C75" s="177" t="s">
        <v>103</v>
      </c>
    </row>
    <row r="76" spans="1:18" ht="15" customHeight="1">
      <c r="A76" s="161" t="s">
        <v>567</v>
      </c>
      <c r="B76" s="162" t="s">
        <v>431</v>
      </c>
      <c r="C76" s="181" t="s">
        <v>568</v>
      </c>
    </row>
    <row r="77" spans="1:18" ht="15" customHeight="1">
      <c r="A77" s="157" t="s">
        <v>569</v>
      </c>
      <c r="B77" s="158" t="s">
        <v>427</v>
      </c>
      <c r="C77" s="177" t="s">
        <v>103</v>
      </c>
    </row>
    <row r="78" spans="1:18" ht="15" customHeight="1">
      <c r="A78" s="161" t="s">
        <v>570</v>
      </c>
      <c r="B78" s="162" t="s">
        <v>431</v>
      </c>
      <c r="C78" s="181" t="s">
        <v>103</v>
      </c>
    </row>
    <row r="79" spans="1:18" ht="15" customHeight="1">
      <c r="A79" s="157" t="s">
        <v>571</v>
      </c>
      <c r="B79" s="158" t="s">
        <v>423</v>
      </c>
      <c r="C79" s="177" t="s">
        <v>572</v>
      </c>
    </row>
    <row r="80" spans="1:18" ht="15" customHeight="1">
      <c r="A80" s="161" t="s">
        <v>573</v>
      </c>
      <c r="B80" s="162" t="s">
        <v>431</v>
      </c>
      <c r="C80" s="181" t="s">
        <v>437</v>
      </c>
    </row>
    <row r="81" spans="1:3" ht="15" customHeight="1">
      <c r="A81" s="157" t="s">
        <v>574</v>
      </c>
      <c r="B81" s="158" t="s">
        <v>468</v>
      </c>
      <c r="C81" s="177" t="s">
        <v>444</v>
      </c>
    </row>
    <row r="82" spans="1:3" ht="15" customHeight="1">
      <c r="A82" s="161" t="s">
        <v>575</v>
      </c>
      <c r="B82" s="162" t="s">
        <v>427</v>
      </c>
      <c r="C82" s="181" t="s">
        <v>430</v>
      </c>
    </row>
    <row r="83" spans="1:3" ht="15" customHeight="1">
      <c r="A83" s="157" t="s">
        <v>576</v>
      </c>
      <c r="B83" s="158" t="s">
        <v>559</v>
      </c>
      <c r="C83" s="177" t="s">
        <v>103</v>
      </c>
    </row>
    <row r="84" spans="1:3" ht="15" customHeight="1">
      <c r="A84" s="161" t="s">
        <v>577</v>
      </c>
      <c r="B84" s="162" t="s">
        <v>445</v>
      </c>
      <c r="C84" s="181" t="s">
        <v>414</v>
      </c>
    </row>
    <row r="85" spans="1:3" ht="15" customHeight="1">
      <c r="A85" s="157" t="s">
        <v>578</v>
      </c>
      <c r="B85" s="158" t="s">
        <v>420</v>
      </c>
      <c r="C85" s="177" t="s">
        <v>572</v>
      </c>
    </row>
    <row r="86" spans="1:3" ht="15" customHeight="1">
      <c r="A86" s="161" t="s">
        <v>579</v>
      </c>
      <c r="B86" s="162" t="s">
        <v>468</v>
      </c>
      <c r="C86" s="181" t="s">
        <v>103</v>
      </c>
    </row>
    <row r="87" spans="1:3" ht="15" customHeight="1">
      <c r="A87" s="157" t="s">
        <v>580</v>
      </c>
      <c r="B87" s="158" t="s">
        <v>431</v>
      </c>
      <c r="C87" s="177" t="s">
        <v>414</v>
      </c>
    </row>
    <row r="88" spans="1:3" ht="15" customHeight="1">
      <c r="A88" s="161" t="s">
        <v>581</v>
      </c>
      <c r="B88" s="162" t="s">
        <v>431</v>
      </c>
      <c r="C88" s="181" t="s">
        <v>414</v>
      </c>
    </row>
    <row r="89" spans="1:3" ht="15" customHeight="1">
      <c r="A89" s="157" t="s">
        <v>582</v>
      </c>
      <c r="B89" s="158" t="s">
        <v>465</v>
      </c>
      <c r="C89" s="177" t="s">
        <v>414</v>
      </c>
    </row>
    <row r="90" spans="1:3" ht="15" customHeight="1">
      <c r="A90" s="161" t="s">
        <v>583</v>
      </c>
      <c r="B90" s="162" t="s">
        <v>431</v>
      </c>
      <c r="C90" s="181" t="s">
        <v>103</v>
      </c>
    </row>
    <row r="91" spans="1:3" ht="15" customHeight="1" thickBot="1">
      <c r="A91" s="164" t="s">
        <v>584</v>
      </c>
      <c r="B91" s="165" t="s">
        <v>585</v>
      </c>
      <c r="C91" s="182" t="s">
        <v>414</v>
      </c>
    </row>
    <row r="92" spans="1:3" ht="15" customHeight="1" thickBot="1">
      <c r="A92" s="190" t="s">
        <v>586</v>
      </c>
      <c r="B92" s="191"/>
      <c r="C92" s="192"/>
    </row>
    <row r="93" spans="1:3" ht="15" customHeight="1">
      <c r="A93" s="152" t="s">
        <v>587</v>
      </c>
      <c r="B93" s="175" t="s">
        <v>468</v>
      </c>
      <c r="C93" s="176" t="s">
        <v>414</v>
      </c>
    </row>
    <row r="94" spans="1:3" ht="15" customHeight="1">
      <c r="A94" s="157" t="s">
        <v>588</v>
      </c>
      <c r="B94" s="158" t="s">
        <v>423</v>
      </c>
      <c r="C94" s="177" t="s">
        <v>409</v>
      </c>
    </row>
    <row r="95" spans="1:3" ht="15" customHeight="1">
      <c r="A95" s="161" t="s">
        <v>589</v>
      </c>
      <c r="B95" s="162" t="s">
        <v>468</v>
      </c>
      <c r="C95" s="181" t="s">
        <v>414</v>
      </c>
    </row>
    <row r="96" spans="1:3" ht="15" customHeight="1">
      <c r="A96" s="157" t="s">
        <v>590</v>
      </c>
      <c r="B96" s="158" t="s">
        <v>461</v>
      </c>
      <c r="C96" s="177" t="s">
        <v>430</v>
      </c>
    </row>
    <row r="97" spans="1:3" ht="15" customHeight="1" thickBot="1">
      <c r="A97" s="178" t="s">
        <v>591</v>
      </c>
      <c r="B97" s="168" t="s">
        <v>468</v>
      </c>
      <c r="C97" s="180" t="s">
        <v>419</v>
      </c>
    </row>
    <row r="98" spans="1:3" ht="15" customHeight="1" thickBot="1">
      <c r="A98" s="190" t="s">
        <v>592</v>
      </c>
      <c r="B98" s="191"/>
      <c r="C98" s="192"/>
    </row>
    <row r="99" spans="1:3" ht="15" customHeight="1">
      <c r="A99" s="152" t="s">
        <v>593</v>
      </c>
      <c r="B99" s="175" t="s">
        <v>468</v>
      </c>
      <c r="C99" s="176" t="s">
        <v>414</v>
      </c>
    </row>
    <row r="100" spans="1:3" ht="15" customHeight="1">
      <c r="A100" s="157" t="s">
        <v>588</v>
      </c>
      <c r="B100" s="158" t="s">
        <v>423</v>
      </c>
      <c r="C100" s="177" t="s">
        <v>409</v>
      </c>
    </row>
    <row r="101" spans="1:3" ht="15" customHeight="1">
      <c r="A101" s="161" t="s">
        <v>594</v>
      </c>
      <c r="B101" s="162" t="s">
        <v>431</v>
      </c>
      <c r="C101" s="181" t="s">
        <v>103</v>
      </c>
    </row>
    <row r="102" spans="1:3" ht="15" customHeight="1">
      <c r="A102" s="157" t="s">
        <v>595</v>
      </c>
      <c r="B102" s="158" t="s">
        <v>431</v>
      </c>
      <c r="C102" s="177" t="s">
        <v>103</v>
      </c>
    </row>
    <row r="103" spans="1:3" ht="15" customHeight="1">
      <c r="A103" s="161" t="s">
        <v>596</v>
      </c>
      <c r="B103" s="162" t="s">
        <v>410</v>
      </c>
      <c r="C103" s="181" t="s">
        <v>414</v>
      </c>
    </row>
    <row r="104" spans="1:3" ht="15" customHeight="1">
      <c r="A104" s="157" t="s">
        <v>597</v>
      </c>
      <c r="B104" s="158" t="s">
        <v>410</v>
      </c>
      <c r="C104" s="177" t="s">
        <v>444</v>
      </c>
    </row>
    <row r="105" spans="1:3" ht="15" customHeight="1">
      <c r="A105" s="161" t="s">
        <v>598</v>
      </c>
      <c r="B105" s="162" t="s">
        <v>415</v>
      </c>
      <c r="C105" s="181" t="s">
        <v>409</v>
      </c>
    </row>
    <row r="106" spans="1:3" ht="15" customHeight="1">
      <c r="A106" s="157" t="s">
        <v>599</v>
      </c>
      <c r="B106" s="158" t="s">
        <v>465</v>
      </c>
      <c r="C106" s="177" t="s">
        <v>430</v>
      </c>
    </row>
    <row r="107" spans="1:3" ht="15" customHeight="1">
      <c r="A107" s="161" t="s">
        <v>600</v>
      </c>
      <c r="B107" s="162" t="s">
        <v>431</v>
      </c>
      <c r="C107" s="181" t="s">
        <v>409</v>
      </c>
    </row>
    <row r="108" spans="1:3" ht="15" customHeight="1">
      <c r="A108" s="157" t="s">
        <v>601</v>
      </c>
      <c r="B108" s="158" t="s">
        <v>420</v>
      </c>
      <c r="C108" s="177" t="s">
        <v>414</v>
      </c>
    </row>
    <row r="109" spans="1:3" ht="15" customHeight="1">
      <c r="A109" s="161" t="s">
        <v>602</v>
      </c>
      <c r="B109" s="162" t="s">
        <v>427</v>
      </c>
      <c r="C109" s="181" t="s">
        <v>414</v>
      </c>
    </row>
    <row r="110" spans="1:3" ht="15" customHeight="1">
      <c r="A110" s="157" t="s">
        <v>603</v>
      </c>
      <c r="B110" s="158" t="s">
        <v>468</v>
      </c>
      <c r="C110" s="177" t="s">
        <v>419</v>
      </c>
    </row>
    <row r="111" spans="1:3" ht="15" customHeight="1">
      <c r="A111" s="161" t="s">
        <v>604</v>
      </c>
      <c r="B111" s="162" t="s">
        <v>423</v>
      </c>
      <c r="C111" s="181" t="s">
        <v>419</v>
      </c>
    </row>
    <row r="112" spans="1:3" ht="15" customHeight="1">
      <c r="A112" s="157" t="s">
        <v>605</v>
      </c>
      <c r="B112" s="158" t="s">
        <v>445</v>
      </c>
      <c r="C112" s="177" t="s">
        <v>444</v>
      </c>
    </row>
    <row r="113" spans="1:3" ht="15" customHeight="1">
      <c r="A113" s="161" t="s">
        <v>606</v>
      </c>
      <c r="B113" s="162" t="s">
        <v>607</v>
      </c>
      <c r="C113" s="181" t="s">
        <v>414</v>
      </c>
    </row>
    <row r="114" spans="1:3" ht="15" customHeight="1">
      <c r="A114" s="157" t="s">
        <v>608</v>
      </c>
      <c r="B114" s="158" t="s">
        <v>609</v>
      </c>
      <c r="C114" s="177" t="s">
        <v>103</v>
      </c>
    </row>
    <row r="115" spans="1:3" ht="15" customHeight="1">
      <c r="A115" s="161" t="s">
        <v>610</v>
      </c>
      <c r="B115" s="162" t="s">
        <v>431</v>
      </c>
      <c r="C115" s="181" t="s">
        <v>430</v>
      </c>
    </row>
    <row r="116" spans="1:3" ht="15" customHeight="1">
      <c r="A116" s="157" t="s">
        <v>611</v>
      </c>
      <c r="B116" s="158" t="s">
        <v>415</v>
      </c>
      <c r="C116" s="177" t="s">
        <v>565</v>
      </c>
    </row>
    <row r="117" spans="1:3" ht="15" customHeight="1">
      <c r="A117" s="161" t="s">
        <v>612</v>
      </c>
      <c r="B117" s="162" t="s">
        <v>445</v>
      </c>
      <c r="C117" s="181" t="s">
        <v>437</v>
      </c>
    </row>
    <row r="118" spans="1:3" ht="15" customHeight="1">
      <c r="A118" s="157" t="s">
        <v>613</v>
      </c>
      <c r="B118" s="158" t="s">
        <v>423</v>
      </c>
      <c r="C118" s="177" t="s">
        <v>430</v>
      </c>
    </row>
    <row r="119" spans="1:3" ht="15" customHeight="1">
      <c r="A119" s="161" t="s">
        <v>614</v>
      </c>
      <c r="B119" s="162" t="s">
        <v>431</v>
      </c>
      <c r="C119" s="181" t="s">
        <v>409</v>
      </c>
    </row>
    <row r="120" spans="1:3" ht="15" customHeight="1" thickBot="1">
      <c r="A120" s="164" t="s">
        <v>615</v>
      </c>
      <c r="B120" s="165" t="s">
        <v>415</v>
      </c>
      <c r="C120" s="182" t="s">
        <v>460</v>
      </c>
    </row>
    <row r="121" spans="1:3" ht="15" customHeight="1" thickBot="1">
      <c r="A121" s="190" t="s">
        <v>616</v>
      </c>
      <c r="B121" s="191"/>
      <c r="C121" s="192"/>
    </row>
    <row r="122" spans="1:3" ht="15" customHeight="1">
      <c r="A122" s="152" t="s">
        <v>617</v>
      </c>
      <c r="B122" s="175" t="s">
        <v>431</v>
      </c>
      <c r="C122" s="176" t="s">
        <v>414</v>
      </c>
    </row>
    <row r="123" spans="1:3" ht="15" customHeight="1">
      <c r="A123" s="157" t="s">
        <v>618</v>
      </c>
      <c r="B123" s="158" t="s">
        <v>619</v>
      </c>
      <c r="C123" s="177" t="s">
        <v>620</v>
      </c>
    </row>
    <row r="124" spans="1:3" ht="15" customHeight="1">
      <c r="A124" s="161" t="s">
        <v>621</v>
      </c>
      <c r="B124" s="162" t="s">
        <v>431</v>
      </c>
      <c r="C124" s="181" t="s">
        <v>620</v>
      </c>
    </row>
    <row r="125" spans="1:3" ht="15" customHeight="1">
      <c r="A125" s="157" t="s">
        <v>622</v>
      </c>
      <c r="B125" s="158" t="s">
        <v>431</v>
      </c>
      <c r="C125" s="177" t="s">
        <v>414</v>
      </c>
    </row>
    <row r="126" spans="1:3" ht="15" customHeight="1">
      <c r="A126" s="161" t="s">
        <v>623</v>
      </c>
      <c r="B126" s="162" t="s">
        <v>431</v>
      </c>
      <c r="C126" s="181" t="s">
        <v>444</v>
      </c>
    </row>
    <row r="127" spans="1:3" ht="15" customHeight="1">
      <c r="A127" s="157" t="s">
        <v>624</v>
      </c>
      <c r="B127" s="158" t="s">
        <v>410</v>
      </c>
      <c r="C127" s="177" t="s">
        <v>103</v>
      </c>
    </row>
    <row r="128" spans="1:3" ht="15" customHeight="1">
      <c r="A128" s="161" t="s">
        <v>625</v>
      </c>
      <c r="B128" s="162" t="s">
        <v>420</v>
      </c>
      <c r="C128" s="181" t="s">
        <v>103</v>
      </c>
    </row>
    <row r="129" spans="1:3" ht="15" customHeight="1">
      <c r="A129" s="157" t="s">
        <v>626</v>
      </c>
      <c r="B129" s="158" t="s">
        <v>423</v>
      </c>
      <c r="C129" s="177" t="s">
        <v>103</v>
      </c>
    </row>
    <row r="130" spans="1:3" ht="15" customHeight="1">
      <c r="A130" s="161" t="s">
        <v>627</v>
      </c>
      <c r="B130" s="162" t="s">
        <v>415</v>
      </c>
      <c r="C130" s="181" t="s">
        <v>444</v>
      </c>
    </row>
    <row r="131" spans="1:3" ht="15" customHeight="1">
      <c r="A131" s="157" t="s">
        <v>628</v>
      </c>
      <c r="B131" s="158" t="s">
        <v>451</v>
      </c>
      <c r="C131" s="177" t="s">
        <v>460</v>
      </c>
    </row>
    <row r="132" spans="1:3" ht="15" customHeight="1">
      <c r="A132" s="161" t="s">
        <v>629</v>
      </c>
      <c r="B132" s="162" t="s">
        <v>423</v>
      </c>
      <c r="C132" s="181" t="s">
        <v>630</v>
      </c>
    </row>
    <row r="133" spans="1:3" ht="15" customHeight="1">
      <c r="A133" s="157" t="s">
        <v>631</v>
      </c>
      <c r="B133" s="158" t="s">
        <v>410</v>
      </c>
      <c r="C133" s="177" t="s">
        <v>409</v>
      </c>
    </row>
    <row r="134" spans="1:3" ht="15" customHeight="1">
      <c r="A134" s="161" t="s">
        <v>632</v>
      </c>
      <c r="B134" s="162" t="s">
        <v>423</v>
      </c>
      <c r="C134" s="181" t="s">
        <v>572</v>
      </c>
    </row>
    <row r="135" spans="1:3" ht="15" customHeight="1">
      <c r="A135" s="157" t="s">
        <v>633</v>
      </c>
      <c r="B135" s="158" t="s">
        <v>559</v>
      </c>
      <c r="C135" s="177" t="s">
        <v>414</v>
      </c>
    </row>
    <row r="136" spans="1:3" ht="15" customHeight="1">
      <c r="A136" s="161" t="s">
        <v>634</v>
      </c>
      <c r="B136" s="162" t="s">
        <v>415</v>
      </c>
      <c r="C136" s="181" t="s">
        <v>437</v>
      </c>
    </row>
    <row r="137" spans="1:3" ht="15" customHeight="1">
      <c r="A137" s="157" t="s">
        <v>635</v>
      </c>
      <c r="B137" s="158" t="s">
        <v>451</v>
      </c>
      <c r="C137" s="177" t="s">
        <v>450</v>
      </c>
    </row>
    <row r="138" spans="1:3" ht="15" customHeight="1">
      <c r="A138" s="161" t="s">
        <v>636</v>
      </c>
      <c r="B138" s="162" t="s">
        <v>585</v>
      </c>
      <c r="C138" s="181" t="s">
        <v>103</v>
      </c>
    </row>
    <row r="139" spans="1:3" ht="15" customHeight="1">
      <c r="A139" s="157" t="s">
        <v>637</v>
      </c>
      <c r="B139" s="158" t="s">
        <v>431</v>
      </c>
      <c r="C139" s="177" t="s">
        <v>444</v>
      </c>
    </row>
    <row r="140" spans="1:3" ht="15" customHeight="1">
      <c r="A140" s="161" t="s">
        <v>638</v>
      </c>
      <c r="B140" s="162" t="s">
        <v>609</v>
      </c>
      <c r="C140" s="181" t="s">
        <v>103</v>
      </c>
    </row>
    <row r="141" spans="1:3" ht="15" customHeight="1">
      <c r="A141" s="157" t="s">
        <v>639</v>
      </c>
      <c r="B141" s="158" t="s">
        <v>415</v>
      </c>
      <c r="C141" s="177" t="s">
        <v>437</v>
      </c>
    </row>
    <row r="142" spans="1:3" ht="15" customHeight="1">
      <c r="A142" s="161" t="s">
        <v>640</v>
      </c>
      <c r="B142" s="162" t="s">
        <v>465</v>
      </c>
      <c r="C142" s="181" t="s">
        <v>630</v>
      </c>
    </row>
    <row r="143" spans="1:3" ht="15" customHeight="1">
      <c r="A143" s="157" t="s">
        <v>641</v>
      </c>
      <c r="B143" s="158" t="s">
        <v>427</v>
      </c>
      <c r="C143" s="177" t="s">
        <v>419</v>
      </c>
    </row>
    <row r="144" spans="1:3" ht="15" customHeight="1">
      <c r="A144" s="161" t="s">
        <v>642</v>
      </c>
      <c r="B144" s="162" t="s">
        <v>445</v>
      </c>
      <c r="C144" s="181" t="s">
        <v>414</v>
      </c>
    </row>
    <row r="145" spans="1:3" ht="15" customHeight="1">
      <c r="A145" s="157" t="s">
        <v>643</v>
      </c>
      <c r="B145" s="158" t="s">
        <v>559</v>
      </c>
      <c r="C145" s="177" t="s">
        <v>630</v>
      </c>
    </row>
    <row r="146" spans="1:3" ht="15" customHeight="1">
      <c r="A146" s="161" t="s">
        <v>644</v>
      </c>
      <c r="B146" s="162" t="s">
        <v>415</v>
      </c>
      <c r="C146" s="181" t="s">
        <v>444</v>
      </c>
    </row>
    <row r="147" spans="1:3" ht="15" customHeight="1">
      <c r="A147" s="157" t="s">
        <v>645</v>
      </c>
      <c r="B147" s="158" t="s">
        <v>431</v>
      </c>
      <c r="C147" s="177" t="s">
        <v>409</v>
      </c>
    </row>
    <row r="148" spans="1:3" ht="15" customHeight="1">
      <c r="A148" s="161" t="s">
        <v>646</v>
      </c>
      <c r="B148" s="162" t="s">
        <v>445</v>
      </c>
      <c r="C148" s="181" t="s">
        <v>419</v>
      </c>
    </row>
    <row r="149" spans="1:3" ht="15" customHeight="1">
      <c r="A149" s="157" t="s">
        <v>647</v>
      </c>
      <c r="B149" s="158" t="s">
        <v>585</v>
      </c>
      <c r="C149" s="177" t="s">
        <v>103</v>
      </c>
    </row>
    <row r="150" spans="1:3" ht="15" customHeight="1">
      <c r="A150" s="161" t="s">
        <v>648</v>
      </c>
      <c r="B150" s="162" t="s">
        <v>451</v>
      </c>
      <c r="C150" s="181" t="s">
        <v>419</v>
      </c>
    </row>
    <row r="151" spans="1:3" ht="15" customHeight="1" thickBot="1">
      <c r="A151" s="164" t="s">
        <v>649</v>
      </c>
      <c r="B151" s="165" t="s">
        <v>451</v>
      </c>
      <c r="C151" s="182" t="s">
        <v>103</v>
      </c>
    </row>
    <row r="152" spans="1:3" ht="15" customHeight="1" thickBot="1">
      <c r="A152" s="190" t="s">
        <v>650</v>
      </c>
      <c r="B152" s="191"/>
      <c r="C152" s="192"/>
    </row>
    <row r="153" spans="1:3" ht="15" customHeight="1">
      <c r="A153" s="152" t="s">
        <v>651</v>
      </c>
      <c r="B153" s="175" t="s">
        <v>423</v>
      </c>
      <c r="C153" s="176" t="s">
        <v>414</v>
      </c>
    </row>
    <row r="154" spans="1:3" ht="15" customHeight="1">
      <c r="A154" s="157" t="s">
        <v>652</v>
      </c>
      <c r="B154" s="158" t="s">
        <v>423</v>
      </c>
      <c r="C154" s="177" t="s">
        <v>103</v>
      </c>
    </row>
    <row r="155" spans="1:3" ht="15" customHeight="1">
      <c r="A155" s="161" t="s">
        <v>653</v>
      </c>
      <c r="B155" s="162" t="s">
        <v>423</v>
      </c>
      <c r="C155" s="181" t="s">
        <v>419</v>
      </c>
    </row>
    <row r="156" spans="1:3" ht="15" customHeight="1">
      <c r="A156" s="157" t="s">
        <v>654</v>
      </c>
      <c r="B156" s="158" t="s">
        <v>415</v>
      </c>
      <c r="C156" s="177" t="s">
        <v>493</v>
      </c>
    </row>
    <row r="157" spans="1:3" ht="15" customHeight="1">
      <c r="A157" s="161" t="s">
        <v>655</v>
      </c>
      <c r="B157" s="162" t="s">
        <v>559</v>
      </c>
      <c r="C157" s="181" t="s">
        <v>414</v>
      </c>
    </row>
    <row r="158" spans="1:3" ht="15" customHeight="1">
      <c r="A158" s="157" t="s">
        <v>656</v>
      </c>
      <c r="B158" s="158" t="s">
        <v>423</v>
      </c>
      <c r="C158" s="177" t="s">
        <v>430</v>
      </c>
    </row>
    <row r="159" spans="1:3" ht="15" customHeight="1">
      <c r="A159" s="161" t="s">
        <v>657</v>
      </c>
      <c r="B159" s="162" t="s">
        <v>427</v>
      </c>
      <c r="C159" s="181" t="s">
        <v>430</v>
      </c>
    </row>
    <row r="160" spans="1:3" ht="15" customHeight="1">
      <c r="A160" s="157" t="s">
        <v>658</v>
      </c>
      <c r="B160" s="158" t="s">
        <v>423</v>
      </c>
      <c r="C160" s="177" t="s">
        <v>409</v>
      </c>
    </row>
    <row r="161" spans="1:3" ht="15" customHeight="1">
      <c r="A161" s="161" t="s">
        <v>659</v>
      </c>
      <c r="B161" s="162" t="s">
        <v>471</v>
      </c>
      <c r="C161" s="181" t="s">
        <v>460</v>
      </c>
    </row>
    <row r="162" spans="1:3" ht="15" customHeight="1" thickBot="1">
      <c r="A162" s="193" t="s">
        <v>660</v>
      </c>
      <c r="B162" s="165" t="s">
        <v>415</v>
      </c>
      <c r="C162" s="194" t="s">
        <v>409</v>
      </c>
    </row>
    <row r="163" spans="1:3" ht="15" customHeight="1" thickBot="1"/>
    <row r="164" spans="1:3" ht="15" customHeight="1" thickBot="1">
      <c r="A164" s="170" t="s">
        <v>550</v>
      </c>
      <c r="B164" s="145" t="s">
        <v>405</v>
      </c>
      <c r="C164" s="172" t="s">
        <v>14</v>
      </c>
    </row>
    <row r="165" spans="1:3" ht="15" customHeight="1" thickBot="1">
      <c r="A165" s="190" t="s">
        <v>661</v>
      </c>
      <c r="B165" s="191"/>
      <c r="C165" s="192"/>
    </row>
    <row r="166" spans="1:3" ht="15" customHeight="1">
      <c r="A166" s="152" t="s">
        <v>662</v>
      </c>
      <c r="B166" s="175" t="s">
        <v>415</v>
      </c>
      <c r="C166" s="176" t="s">
        <v>414</v>
      </c>
    </row>
    <row r="167" spans="1:3" ht="15" customHeight="1">
      <c r="A167" s="157" t="s">
        <v>663</v>
      </c>
      <c r="B167" s="158" t="s">
        <v>664</v>
      </c>
      <c r="C167" s="177" t="s">
        <v>419</v>
      </c>
    </row>
    <row r="168" spans="1:3" ht="15" customHeight="1">
      <c r="A168" s="161" t="s">
        <v>665</v>
      </c>
      <c r="B168" s="162" t="s">
        <v>479</v>
      </c>
      <c r="C168" s="181" t="s">
        <v>444</v>
      </c>
    </row>
    <row r="169" spans="1:3" ht="15" customHeight="1">
      <c r="A169" s="157" t="s">
        <v>666</v>
      </c>
      <c r="B169" s="158" t="s">
        <v>415</v>
      </c>
      <c r="C169" s="177" t="s">
        <v>414</v>
      </c>
    </row>
    <row r="170" spans="1:3" ht="15" customHeight="1">
      <c r="A170" s="161" t="s">
        <v>667</v>
      </c>
      <c r="B170" s="162" t="s">
        <v>668</v>
      </c>
      <c r="C170" s="181" t="s">
        <v>419</v>
      </c>
    </row>
    <row r="171" spans="1:3" ht="15" customHeight="1">
      <c r="A171" s="157" t="s">
        <v>669</v>
      </c>
      <c r="B171" s="158" t="s">
        <v>670</v>
      </c>
      <c r="C171" s="177" t="s">
        <v>419</v>
      </c>
    </row>
    <row r="172" spans="1:3" ht="15" customHeight="1">
      <c r="A172" s="161" t="s">
        <v>671</v>
      </c>
      <c r="B172" s="162" t="s">
        <v>479</v>
      </c>
      <c r="C172" s="181" t="s">
        <v>419</v>
      </c>
    </row>
    <row r="173" spans="1:3" ht="15" customHeight="1">
      <c r="A173" s="157" t="s">
        <v>672</v>
      </c>
      <c r="B173" s="158" t="s">
        <v>673</v>
      </c>
      <c r="C173" s="177" t="s">
        <v>430</v>
      </c>
    </row>
    <row r="174" spans="1:3" ht="15" customHeight="1">
      <c r="A174" s="161" t="s">
        <v>674</v>
      </c>
      <c r="B174" s="162" t="s">
        <v>445</v>
      </c>
      <c r="C174" s="181" t="s">
        <v>565</v>
      </c>
    </row>
    <row r="175" spans="1:3" ht="15" customHeight="1" thickBot="1">
      <c r="A175" s="164" t="s">
        <v>675</v>
      </c>
      <c r="B175" s="165" t="s">
        <v>479</v>
      </c>
      <c r="C175" s="182" t="s">
        <v>414</v>
      </c>
    </row>
    <row r="176" spans="1:3" ht="15" customHeight="1" thickBot="1">
      <c r="A176" s="190" t="s">
        <v>676</v>
      </c>
      <c r="B176" s="191"/>
      <c r="C176" s="192"/>
    </row>
    <row r="177" spans="1:3" ht="15" customHeight="1">
      <c r="A177" s="152" t="s">
        <v>677</v>
      </c>
      <c r="B177" s="153" t="s">
        <v>420</v>
      </c>
      <c r="C177" s="176" t="s">
        <v>103</v>
      </c>
    </row>
    <row r="178" spans="1:3" ht="15" customHeight="1">
      <c r="A178" s="157" t="s">
        <v>678</v>
      </c>
      <c r="B178" s="158" t="s">
        <v>431</v>
      </c>
      <c r="C178" s="177" t="s">
        <v>630</v>
      </c>
    </row>
    <row r="179" spans="1:3" ht="15" customHeight="1">
      <c r="A179" s="161" t="s">
        <v>679</v>
      </c>
      <c r="B179" s="162" t="s">
        <v>427</v>
      </c>
      <c r="C179" s="181" t="s">
        <v>103</v>
      </c>
    </row>
    <row r="180" spans="1:3" ht="15" customHeight="1">
      <c r="A180" s="157" t="s">
        <v>680</v>
      </c>
      <c r="B180" s="158" t="s">
        <v>431</v>
      </c>
      <c r="C180" s="177" t="s">
        <v>103</v>
      </c>
    </row>
    <row r="181" spans="1:3" ht="15" customHeight="1">
      <c r="A181" s="161" t="s">
        <v>681</v>
      </c>
      <c r="B181" s="162" t="s">
        <v>465</v>
      </c>
      <c r="C181" s="181" t="s">
        <v>419</v>
      </c>
    </row>
    <row r="182" spans="1:3" ht="15" customHeight="1">
      <c r="A182" s="157" t="s">
        <v>682</v>
      </c>
      <c r="B182" s="158" t="s">
        <v>423</v>
      </c>
      <c r="C182" s="177" t="s">
        <v>430</v>
      </c>
    </row>
    <row r="183" spans="1:3" ht="15" customHeight="1">
      <c r="A183" s="161" t="s">
        <v>683</v>
      </c>
      <c r="B183" s="162" t="s">
        <v>471</v>
      </c>
      <c r="C183" s="181" t="s">
        <v>409</v>
      </c>
    </row>
    <row r="184" spans="1:3" ht="15" customHeight="1" thickBot="1">
      <c r="A184" s="164" t="s">
        <v>684</v>
      </c>
      <c r="B184" s="165" t="s">
        <v>445</v>
      </c>
      <c r="C184" s="182" t="s">
        <v>430</v>
      </c>
    </row>
    <row r="185" spans="1:3" ht="15" customHeight="1" thickBot="1">
      <c r="A185" s="190" t="s">
        <v>685</v>
      </c>
      <c r="B185" s="191"/>
      <c r="C185" s="192"/>
    </row>
    <row r="186" spans="1:3" ht="15" customHeight="1">
      <c r="A186" s="152" t="s">
        <v>686</v>
      </c>
      <c r="B186" s="175" t="s">
        <v>465</v>
      </c>
      <c r="C186" s="176" t="s">
        <v>478</v>
      </c>
    </row>
    <row r="187" spans="1:3" ht="15" customHeight="1">
      <c r="A187" s="157" t="s">
        <v>687</v>
      </c>
      <c r="B187" s="158" t="s">
        <v>461</v>
      </c>
      <c r="C187" s="177" t="s">
        <v>516</v>
      </c>
    </row>
    <row r="188" spans="1:3" ht="15" customHeight="1">
      <c r="A188" s="161" t="s">
        <v>688</v>
      </c>
      <c r="B188" s="162" t="s">
        <v>468</v>
      </c>
      <c r="C188" s="181" t="s">
        <v>409</v>
      </c>
    </row>
    <row r="189" spans="1:3" ht="15" customHeight="1">
      <c r="A189" s="157" t="s">
        <v>689</v>
      </c>
      <c r="B189" s="158" t="s">
        <v>468</v>
      </c>
      <c r="C189" s="177" t="s">
        <v>409</v>
      </c>
    </row>
    <row r="190" spans="1:3" ht="15" customHeight="1">
      <c r="A190" s="161" t="s">
        <v>690</v>
      </c>
      <c r="B190" s="162" t="s">
        <v>445</v>
      </c>
      <c r="C190" s="181" t="s">
        <v>419</v>
      </c>
    </row>
    <row r="191" spans="1:3" ht="15" customHeight="1">
      <c r="A191" s="157" t="s">
        <v>691</v>
      </c>
      <c r="B191" s="158" t="s">
        <v>471</v>
      </c>
      <c r="C191" s="177" t="s">
        <v>444</v>
      </c>
    </row>
    <row r="192" spans="1:3" ht="15" customHeight="1">
      <c r="A192" s="161" t="s">
        <v>692</v>
      </c>
      <c r="B192" s="162" t="s">
        <v>693</v>
      </c>
      <c r="C192" s="181" t="s">
        <v>444</v>
      </c>
    </row>
    <row r="193" spans="1:4" ht="15" customHeight="1">
      <c r="A193" s="157" t="s">
        <v>694</v>
      </c>
      <c r="B193" s="158" t="s">
        <v>423</v>
      </c>
      <c r="C193" s="177" t="s">
        <v>409</v>
      </c>
    </row>
    <row r="194" spans="1:4" ht="15" customHeight="1">
      <c r="A194" s="161" t="s">
        <v>695</v>
      </c>
      <c r="B194" s="162" t="s">
        <v>431</v>
      </c>
      <c r="C194" s="181" t="s">
        <v>478</v>
      </c>
    </row>
    <row r="195" spans="1:4" ht="15" customHeight="1">
      <c r="A195" s="157" t="s">
        <v>696</v>
      </c>
      <c r="B195" s="158" t="s">
        <v>461</v>
      </c>
      <c r="C195" s="177" t="s">
        <v>478</v>
      </c>
    </row>
    <row r="196" spans="1:4" ht="15" customHeight="1">
      <c r="A196" s="161" t="s">
        <v>697</v>
      </c>
      <c r="B196" s="162" t="s">
        <v>468</v>
      </c>
      <c r="C196" s="181" t="s">
        <v>478</v>
      </c>
    </row>
    <row r="197" spans="1:4" ht="15" customHeight="1">
      <c r="A197" s="157" t="s">
        <v>698</v>
      </c>
      <c r="B197" s="158" t="s">
        <v>431</v>
      </c>
      <c r="C197" s="177" t="s">
        <v>409</v>
      </c>
    </row>
    <row r="198" spans="1:4" ht="15" customHeight="1">
      <c r="A198" s="161" t="s">
        <v>699</v>
      </c>
      <c r="B198" s="162" t="s">
        <v>468</v>
      </c>
      <c r="C198" s="181" t="s">
        <v>430</v>
      </c>
    </row>
    <row r="199" spans="1:4" ht="15" customHeight="1">
      <c r="A199" s="157" t="s">
        <v>700</v>
      </c>
      <c r="B199" s="158" t="s">
        <v>465</v>
      </c>
      <c r="C199" s="177" t="s">
        <v>565</v>
      </c>
    </row>
    <row r="200" spans="1:4" ht="15" customHeight="1">
      <c r="A200" s="161" t="s">
        <v>701</v>
      </c>
      <c r="B200" s="162" t="s">
        <v>479</v>
      </c>
      <c r="C200" s="181" t="s">
        <v>409</v>
      </c>
    </row>
    <row r="201" spans="1:4" ht="15" customHeight="1">
      <c r="A201" s="157" t="s">
        <v>702</v>
      </c>
      <c r="B201" s="158" t="s">
        <v>423</v>
      </c>
      <c r="C201" s="177" t="s">
        <v>409</v>
      </c>
    </row>
    <row r="202" spans="1:4" ht="15" customHeight="1">
      <c r="A202" s="161" t="s">
        <v>703</v>
      </c>
      <c r="B202" s="162" t="s">
        <v>431</v>
      </c>
      <c r="C202" s="181" t="s">
        <v>409</v>
      </c>
    </row>
    <row r="203" spans="1:4" ht="15" customHeight="1">
      <c r="A203" s="157" t="s">
        <v>957</v>
      </c>
      <c r="B203" s="158" t="s">
        <v>445</v>
      </c>
      <c r="C203" s="177" t="s">
        <v>419</v>
      </c>
    </row>
    <row r="204" spans="1:4" ht="15" customHeight="1" thickBot="1">
      <c r="A204" s="167" t="s">
        <v>958</v>
      </c>
      <c r="B204" s="168" t="s">
        <v>445</v>
      </c>
      <c r="C204" s="195" t="s">
        <v>414</v>
      </c>
    </row>
    <row r="205" spans="1:4" ht="15" customHeight="1" thickBot="1"/>
    <row r="206" spans="1:4" ht="15" customHeight="1">
      <c r="A206" s="928" t="s">
        <v>704</v>
      </c>
      <c r="B206" s="930" t="s">
        <v>705</v>
      </c>
      <c r="C206" s="930" t="s">
        <v>9</v>
      </c>
      <c r="D206" s="944" t="s">
        <v>963</v>
      </c>
    </row>
    <row r="207" spans="1:4" ht="15" customHeight="1" thickBot="1">
      <c r="A207" s="929"/>
      <c r="B207" s="931"/>
      <c r="C207" s="931"/>
      <c r="D207" s="945"/>
    </row>
    <row r="208" spans="1:4" ht="15" customHeight="1">
      <c r="A208" s="152" t="s">
        <v>706</v>
      </c>
      <c r="B208" s="175" t="s">
        <v>693</v>
      </c>
      <c r="C208" s="175" t="s">
        <v>707</v>
      </c>
      <c r="D208" s="176" t="s">
        <v>708</v>
      </c>
    </row>
    <row r="209" spans="1:4" ht="15" customHeight="1">
      <c r="A209" s="157" t="s">
        <v>709</v>
      </c>
      <c r="B209" s="158" t="s">
        <v>465</v>
      </c>
      <c r="C209" s="158" t="s">
        <v>710</v>
      </c>
      <c r="D209" s="177" t="s">
        <v>711</v>
      </c>
    </row>
    <row r="210" spans="1:4" ht="15" customHeight="1">
      <c r="A210" s="161" t="s">
        <v>712</v>
      </c>
      <c r="B210" s="162" t="s">
        <v>533</v>
      </c>
      <c r="C210" s="162" t="s">
        <v>713</v>
      </c>
      <c r="D210" s="181" t="s">
        <v>714</v>
      </c>
    </row>
    <row r="211" spans="1:4" ht="15" customHeight="1">
      <c r="A211" s="157" t="s">
        <v>715</v>
      </c>
      <c r="B211" s="158" t="s">
        <v>499</v>
      </c>
      <c r="C211" s="158" t="s">
        <v>713</v>
      </c>
      <c r="D211" s="177" t="s">
        <v>711</v>
      </c>
    </row>
    <row r="212" spans="1:4" ht="15" customHeight="1">
      <c r="A212" s="161" t="s">
        <v>716</v>
      </c>
      <c r="B212" s="162" t="s">
        <v>465</v>
      </c>
      <c r="C212" s="162" t="s">
        <v>707</v>
      </c>
      <c r="D212" s="181" t="s">
        <v>714</v>
      </c>
    </row>
    <row r="213" spans="1:4" ht="15" customHeight="1">
      <c r="A213" s="157" t="s">
        <v>717</v>
      </c>
      <c r="B213" s="158" t="s">
        <v>546</v>
      </c>
      <c r="C213" s="158" t="s">
        <v>707</v>
      </c>
      <c r="D213" s="177" t="s">
        <v>718</v>
      </c>
    </row>
    <row r="214" spans="1:4" ht="15" customHeight="1">
      <c r="A214" s="161" t="s">
        <v>719</v>
      </c>
      <c r="B214" s="162" t="s">
        <v>445</v>
      </c>
      <c r="C214" s="162" t="s">
        <v>707</v>
      </c>
      <c r="D214" s="181" t="s">
        <v>720</v>
      </c>
    </row>
    <row r="215" spans="1:4" ht="15" customHeight="1" thickBot="1">
      <c r="A215" s="193" t="s">
        <v>721</v>
      </c>
      <c r="B215" s="165" t="s">
        <v>479</v>
      </c>
      <c r="C215" s="165" t="s">
        <v>707</v>
      </c>
      <c r="D215" s="194" t="s">
        <v>722</v>
      </c>
    </row>
    <row r="216" spans="1:4" ht="15" customHeight="1" thickBot="1"/>
    <row r="217" spans="1:4" ht="15" customHeight="1" thickBot="1">
      <c r="A217" s="144" t="s">
        <v>723</v>
      </c>
      <c r="B217" s="145" t="s">
        <v>705</v>
      </c>
      <c r="C217" s="187" t="s">
        <v>14</v>
      </c>
    </row>
    <row r="218" spans="1:4" ht="15" customHeight="1">
      <c r="A218" s="152" t="s">
        <v>141</v>
      </c>
      <c r="B218" s="175" t="s">
        <v>724</v>
      </c>
      <c r="C218" s="176" t="s">
        <v>725</v>
      </c>
    </row>
    <row r="219" spans="1:4" ht="15" customHeight="1">
      <c r="A219" s="157" t="s">
        <v>726</v>
      </c>
      <c r="B219" s="158" t="s">
        <v>415</v>
      </c>
      <c r="C219" s="177" t="s">
        <v>414</v>
      </c>
    </row>
    <row r="220" spans="1:4" ht="15" customHeight="1">
      <c r="A220" s="161" t="s">
        <v>727</v>
      </c>
      <c r="B220" s="162" t="s">
        <v>609</v>
      </c>
      <c r="C220" s="181" t="s">
        <v>728</v>
      </c>
    </row>
    <row r="221" spans="1:4" ht="15" customHeight="1">
      <c r="A221" s="157" t="s">
        <v>729</v>
      </c>
      <c r="B221" s="158" t="s">
        <v>471</v>
      </c>
      <c r="C221" s="177" t="s">
        <v>730</v>
      </c>
    </row>
    <row r="222" spans="1:4" ht="15" customHeight="1">
      <c r="A222" s="161" t="s">
        <v>731</v>
      </c>
      <c r="B222" s="162" t="s">
        <v>732</v>
      </c>
      <c r="C222" s="181" t="s">
        <v>733</v>
      </c>
    </row>
    <row r="223" spans="1:4" ht="15" customHeight="1" thickBot="1">
      <c r="A223" s="164" t="s">
        <v>734</v>
      </c>
      <c r="B223" s="165" t="s">
        <v>451</v>
      </c>
      <c r="C223" s="182" t="s">
        <v>437</v>
      </c>
    </row>
    <row r="224" spans="1:4" ht="15" customHeight="1" thickBot="1">
      <c r="A224" s="190" t="s">
        <v>735</v>
      </c>
      <c r="B224" s="191"/>
      <c r="C224" s="192"/>
    </row>
    <row r="225" spans="1:3" ht="15" customHeight="1">
      <c r="A225" s="152" t="s">
        <v>959</v>
      </c>
      <c r="B225" s="153" t="s">
        <v>736</v>
      </c>
      <c r="C225" s="176" t="s">
        <v>536</v>
      </c>
    </row>
    <row r="226" spans="1:3" ht="15" customHeight="1">
      <c r="A226" s="157" t="s">
        <v>960</v>
      </c>
      <c r="B226" s="158" t="s">
        <v>461</v>
      </c>
      <c r="C226" s="177" t="s">
        <v>737</v>
      </c>
    </row>
    <row r="227" spans="1:3" ht="15" customHeight="1">
      <c r="A227" s="161" t="s">
        <v>961</v>
      </c>
      <c r="B227" s="162" t="s">
        <v>423</v>
      </c>
      <c r="C227" s="181" t="s">
        <v>738</v>
      </c>
    </row>
    <row r="228" spans="1:3" ht="15" customHeight="1">
      <c r="A228" s="157" t="s">
        <v>962</v>
      </c>
      <c r="B228" s="158" t="s">
        <v>468</v>
      </c>
      <c r="C228" s="177" t="s">
        <v>739</v>
      </c>
    </row>
    <row r="229" spans="1:3" ht="15" customHeight="1">
      <c r="A229" s="161" t="s">
        <v>740</v>
      </c>
      <c r="B229" s="162" t="s">
        <v>554</v>
      </c>
      <c r="C229" s="181" t="s">
        <v>516</v>
      </c>
    </row>
    <row r="230" spans="1:3" ht="15" customHeight="1">
      <c r="A230" s="157" t="s">
        <v>741</v>
      </c>
      <c r="B230" s="158" t="s">
        <v>461</v>
      </c>
      <c r="C230" s="177" t="s">
        <v>742</v>
      </c>
    </row>
    <row r="231" spans="1:3" ht="15" customHeight="1">
      <c r="A231" s="161" t="s">
        <v>743</v>
      </c>
      <c r="B231" s="162" t="s">
        <v>427</v>
      </c>
      <c r="C231" s="181" t="s">
        <v>103</v>
      </c>
    </row>
    <row r="232" spans="1:3" ht="15" customHeight="1" thickBot="1">
      <c r="A232" s="193" t="s">
        <v>731</v>
      </c>
      <c r="B232" s="165" t="s">
        <v>670</v>
      </c>
      <c r="C232" s="194" t="s">
        <v>744</v>
      </c>
    </row>
    <row r="233" spans="1:3" ht="15" customHeight="1" thickBot="1"/>
    <row r="234" spans="1:3" ht="15" customHeight="1" thickBot="1">
      <c r="A234" s="144" t="s">
        <v>745</v>
      </c>
      <c r="B234" s="145" t="s">
        <v>705</v>
      </c>
      <c r="C234" s="187" t="s">
        <v>9</v>
      </c>
    </row>
    <row r="235" spans="1:3" ht="15" customHeight="1">
      <c r="A235" s="152" t="s">
        <v>746</v>
      </c>
      <c r="B235" s="175" t="s">
        <v>465</v>
      </c>
      <c r="C235" s="176" t="s">
        <v>747</v>
      </c>
    </row>
    <row r="236" spans="1:3" ht="15" customHeight="1">
      <c r="A236" s="157" t="s">
        <v>748</v>
      </c>
      <c r="B236" s="158" t="s">
        <v>749</v>
      </c>
      <c r="C236" s="177" t="s">
        <v>750</v>
      </c>
    </row>
    <row r="237" spans="1:3" ht="15" customHeight="1">
      <c r="A237" s="161" t="s">
        <v>751</v>
      </c>
      <c r="B237" s="162" t="s">
        <v>752</v>
      </c>
      <c r="C237" s="181" t="s">
        <v>753</v>
      </c>
    </row>
    <row r="238" spans="1:3" ht="15" customHeight="1">
      <c r="A238" s="157" t="s">
        <v>754</v>
      </c>
      <c r="B238" s="158" t="s">
        <v>752</v>
      </c>
      <c r="C238" s="177" t="s">
        <v>755</v>
      </c>
    </row>
    <row r="239" spans="1:3" ht="15" customHeight="1">
      <c r="A239" s="161" t="s">
        <v>756</v>
      </c>
      <c r="B239" s="162" t="s">
        <v>757</v>
      </c>
      <c r="C239" s="181" t="s">
        <v>758</v>
      </c>
    </row>
    <row r="240" spans="1:3" ht="15" customHeight="1" thickBot="1">
      <c r="A240" s="193" t="s">
        <v>759</v>
      </c>
      <c r="B240" s="165" t="s">
        <v>760</v>
      </c>
      <c r="C240" s="194" t="s">
        <v>761</v>
      </c>
    </row>
    <row r="241" spans="1:2" ht="15" customHeight="1" thickBot="1"/>
    <row r="242" spans="1:2" ht="15" customHeight="1" thickBot="1">
      <c r="A242" s="196" t="s">
        <v>550</v>
      </c>
      <c r="B242" s="197" t="s">
        <v>405</v>
      </c>
    </row>
    <row r="243" spans="1:2" ht="15" customHeight="1" thickBot="1">
      <c r="A243" s="190" t="s">
        <v>777</v>
      </c>
      <c r="B243" s="192"/>
    </row>
    <row r="244" spans="1:2" ht="15" customHeight="1">
      <c r="A244" s="152" t="s">
        <v>778</v>
      </c>
      <c r="B244" s="153" t="s">
        <v>779</v>
      </c>
    </row>
    <row r="245" spans="1:2" ht="15" customHeight="1">
      <c r="A245" s="157" t="s">
        <v>780</v>
      </c>
      <c r="B245" s="158" t="s">
        <v>420</v>
      </c>
    </row>
    <row r="246" spans="1:2" ht="15" customHeight="1">
      <c r="A246" s="161" t="s">
        <v>781</v>
      </c>
      <c r="B246" s="162" t="s">
        <v>427</v>
      </c>
    </row>
    <row r="247" spans="1:2" ht="15" customHeight="1">
      <c r="A247" s="157" t="s">
        <v>782</v>
      </c>
      <c r="B247" s="158" t="s">
        <v>783</v>
      </c>
    </row>
    <row r="248" spans="1:2" ht="15" customHeight="1">
      <c r="A248" s="161" t="s">
        <v>784</v>
      </c>
      <c r="B248" s="162" t="s">
        <v>415</v>
      </c>
    </row>
    <row r="249" spans="1:2" ht="15" customHeight="1">
      <c r="A249" s="157" t="s">
        <v>785</v>
      </c>
      <c r="B249" s="158" t="s">
        <v>554</v>
      </c>
    </row>
    <row r="250" spans="1:2" ht="15" customHeight="1" thickBot="1">
      <c r="A250" s="178" t="s">
        <v>786</v>
      </c>
      <c r="B250" s="168" t="s">
        <v>468</v>
      </c>
    </row>
    <row r="251" spans="1:2" ht="15" customHeight="1" thickBot="1">
      <c r="A251" s="190" t="s">
        <v>787</v>
      </c>
      <c r="B251" s="192"/>
    </row>
    <row r="252" spans="1:2" ht="15" customHeight="1">
      <c r="A252" s="152" t="s">
        <v>788</v>
      </c>
      <c r="B252" s="153" t="s">
        <v>619</v>
      </c>
    </row>
    <row r="253" spans="1:2" ht="15" customHeight="1">
      <c r="A253" s="157" t="s">
        <v>789</v>
      </c>
      <c r="B253" s="158" t="s">
        <v>410</v>
      </c>
    </row>
    <row r="254" spans="1:2" ht="15" customHeight="1">
      <c r="A254" s="161" t="s">
        <v>790</v>
      </c>
      <c r="B254" s="162" t="s">
        <v>420</v>
      </c>
    </row>
    <row r="255" spans="1:2" ht="15" customHeight="1" thickBot="1">
      <c r="A255" s="164" t="s">
        <v>791</v>
      </c>
      <c r="B255" s="165" t="s">
        <v>585</v>
      </c>
    </row>
    <row r="256" spans="1:2" ht="15" customHeight="1" thickBot="1">
      <c r="A256" s="190" t="s">
        <v>792</v>
      </c>
      <c r="B256" s="192"/>
    </row>
    <row r="257" spans="1:2" ht="15" customHeight="1">
      <c r="A257" s="152" t="s">
        <v>778</v>
      </c>
      <c r="B257" s="153" t="s">
        <v>793</v>
      </c>
    </row>
    <row r="258" spans="1:2" ht="15" customHeight="1">
      <c r="A258" s="157" t="s">
        <v>780</v>
      </c>
      <c r="B258" s="158" t="s">
        <v>794</v>
      </c>
    </row>
    <row r="259" spans="1:2" ht="15" customHeight="1">
      <c r="A259" s="161" t="s">
        <v>781</v>
      </c>
      <c r="B259" s="162" t="s">
        <v>795</v>
      </c>
    </row>
    <row r="260" spans="1:2" ht="15" customHeight="1">
      <c r="A260" s="157" t="s">
        <v>782</v>
      </c>
      <c r="B260" s="158" t="s">
        <v>427</v>
      </c>
    </row>
    <row r="261" spans="1:2" ht="15" customHeight="1">
      <c r="A261" s="198" t="s">
        <v>784</v>
      </c>
      <c r="B261" s="199" t="s">
        <v>783</v>
      </c>
    </row>
    <row r="262" spans="1:2" ht="15" customHeight="1">
      <c r="A262" s="157" t="s">
        <v>785</v>
      </c>
      <c r="B262" s="158" t="s">
        <v>415</v>
      </c>
    </row>
    <row r="263" spans="1:2" ht="15" customHeight="1" thickBot="1">
      <c r="A263" s="178" t="s">
        <v>796</v>
      </c>
      <c r="B263" s="168" t="s">
        <v>795</v>
      </c>
    </row>
    <row r="264" spans="1:2" ht="15" customHeight="1" thickBot="1">
      <c r="A264" s="190" t="s">
        <v>797</v>
      </c>
      <c r="B264" s="192"/>
    </row>
    <row r="265" spans="1:2" ht="15" customHeight="1">
      <c r="A265" s="152" t="s">
        <v>798</v>
      </c>
      <c r="B265" s="153" t="s">
        <v>410</v>
      </c>
    </row>
    <row r="266" spans="1:2" ht="15" customHeight="1" thickBot="1">
      <c r="A266" s="193" t="s">
        <v>799</v>
      </c>
      <c r="B266" s="165" t="s">
        <v>468</v>
      </c>
    </row>
    <row r="267" spans="1:2" ht="15" customHeight="1" thickBot="1"/>
    <row r="268" spans="1:2" ht="15" customHeight="1" thickBot="1">
      <c r="A268" s="200" t="s">
        <v>800</v>
      </c>
      <c r="B268" s="201" t="s">
        <v>405</v>
      </c>
    </row>
    <row r="269" spans="1:2" ht="15" customHeight="1" thickBot="1">
      <c r="A269" s="190" t="s">
        <v>801</v>
      </c>
      <c r="B269" s="192"/>
    </row>
    <row r="270" spans="1:2" ht="15" customHeight="1">
      <c r="A270" s="152" t="s">
        <v>802</v>
      </c>
      <c r="B270" s="153" t="s">
        <v>803</v>
      </c>
    </row>
    <row r="271" spans="1:2" ht="15" customHeight="1">
      <c r="A271" s="157" t="s">
        <v>804</v>
      </c>
      <c r="B271" s="158" t="s">
        <v>805</v>
      </c>
    </row>
    <row r="272" spans="1:2" ht="15" customHeight="1">
      <c r="A272" s="161" t="s">
        <v>806</v>
      </c>
      <c r="B272" s="162" t="s">
        <v>807</v>
      </c>
    </row>
    <row r="273" spans="1:4" ht="15" customHeight="1" thickBot="1">
      <c r="A273" s="164" t="s">
        <v>808</v>
      </c>
      <c r="B273" s="165" t="s">
        <v>559</v>
      </c>
    </row>
    <row r="274" spans="1:4" ht="15" customHeight="1" thickBot="1">
      <c r="A274" s="190" t="s">
        <v>809</v>
      </c>
      <c r="B274" s="192"/>
    </row>
    <row r="275" spans="1:4" ht="15" customHeight="1">
      <c r="A275" s="152" t="s">
        <v>810</v>
      </c>
      <c r="B275" s="153" t="s">
        <v>811</v>
      </c>
    </row>
    <row r="276" spans="1:4" ht="15" customHeight="1">
      <c r="A276" s="157" t="s">
        <v>812</v>
      </c>
      <c r="B276" s="158" t="s">
        <v>559</v>
      </c>
    </row>
    <row r="277" spans="1:4" ht="15" customHeight="1" thickBot="1">
      <c r="A277" s="167" t="s">
        <v>813</v>
      </c>
      <c r="B277" s="168" t="s">
        <v>814</v>
      </c>
    </row>
    <row r="278" spans="1:4" ht="15" customHeight="1" thickBot="1">
      <c r="A278" s="202"/>
      <c r="B278" s="202"/>
    </row>
    <row r="279" spans="1:4" ht="15" customHeight="1" thickBot="1">
      <c r="A279" s="145" t="s">
        <v>705</v>
      </c>
      <c r="B279" s="946" t="s">
        <v>762</v>
      </c>
      <c r="C279" s="939"/>
      <c r="D279" s="940"/>
    </row>
    <row r="280" spans="1:4" ht="15" customHeight="1">
      <c r="A280" s="175" t="s">
        <v>559</v>
      </c>
      <c r="B280" s="947" t="s">
        <v>763</v>
      </c>
      <c r="C280" s="936"/>
      <c r="D280" s="937"/>
    </row>
    <row r="281" spans="1:4" ht="15" customHeight="1">
      <c r="A281" s="158" t="s">
        <v>585</v>
      </c>
      <c r="B281" s="941" t="s">
        <v>764</v>
      </c>
      <c r="C281" s="926"/>
      <c r="D281" s="927"/>
    </row>
    <row r="282" spans="1:4" ht="15" customHeight="1">
      <c r="A282" s="162" t="s">
        <v>451</v>
      </c>
      <c r="B282" s="942" t="s">
        <v>765</v>
      </c>
      <c r="C282" s="923"/>
      <c r="D282" s="924"/>
    </row>
    <row r="283" spans="1:4" ht="15" customHeight="1">
      <c r="A283" s="158" t="s">
        <v>420</v>
      </c>
      <c r="B283" s="941" t="s">
        <v>766</v>
      </c>
      <c r="C283" s="926"/>
      <c r="D283" s="927"/>
    </row>
    <row r="284" spans="1:4" ht="15" customHeight="1">
      <c r="A284" s="162" t="s">
        <v>427</v>
      </c>
      <c r="B284" s="942" t="s">
        <v>767</v>
      </c>
      <c r="C284" s="923"/>
      <c r="D284" s="924"/>
    </row>
    <row r="285" spans="1:4" ht="15" customHeight="1">
      <c r="A285" s="158" t="s">
        <v>431</v>
      </c>
      <c r="B285" s="941" t="s">
        <v>768</v>
      </c>
      <c r="C285" s="926"/>
      <c r="D285" s="927"/>
    </row>
    <row r="286" spans="1:4" ht="15" customHeight="1">
      <c r="A286" s="162" t="s">
        <v>415</v>
      </c>
      <c r="B286" s="942" t="s">
        <v>769</v>
      </c>
      <c r="C286" s="923"/>
      <c r="D286" s="924"/>
    </row>
    <row r="287" spans="1:4" ht="15" customHeight="1">
      <c r="A287" s="158" t="s">
        <v>664</v>
      </c>
      <c r="B287" s="941" t="s">
        <v>770</v>
      </c>
      <c r="C287" s="926"/>
      <c r="D287" s="927"/>
    </row>
    <row r="288" spans="1:4" ht="15" customHeight="1">
      <c r="A288" s="162" t="s">
        <v>423</v>
      </c>
      <c r="B288" s="942" t="s">
        <v>771</v>
      </c>
      <c r="C288" s="923"/>
      <c r="D288" s="924"/>
    </row>
    <row r="289" spans="1:14" ht="15" customHeight="1">
      <c r="A289" s="158" t="s">
        <v>468</v>
      </c>
      <c r="B289" s="941" t="s">
        <v>772</v>
      </c>
      <c r="C289" s="926"/>
      <c r="D289" s="927"/>
    </row>
    <row r="290" spans="1:14" ht="15" customHeight="1">
      <c r="A290" s="162" t="s">
        <v>471</v>
      </c>
      <c r="B290" s="942" t="s">
        <v>773</v>
      </c>
      <c r="C290" s="923"/>
      <c r="D290" s="924"/>
    </row>
    <row r="291" spans="1:14" ht="15" customHeight="1">
      <c r="A291" s="158" t="s">
        <v>465</v>
      </c>
      <c r="B291" s="941" t="s">
        <v>774</v>
      </c>
      <c r="C291" s="926"/>
      <c r="D291" s="927"/>
    </row>
    <row r="292" spans="1:14" ht="15" customHeight="1" thickBot="1">
      <c r="A292" s="168" t="s">
        <v>775</v>
      </c>
      <c r="B292" s="943" t="s">
        <v>776</v>
      </c>
      <c r="C292" s="933"/>
      <c r="D292" s="934"/>
    </row>
    <row r="293" spans="1:14" ht="15" customHeight="1" thickBot="1"/>
    <row r="294" spans="1:14" ht="15" customHeight="1" thickBot="1">
      <c r="A294" s="196" t="s">
        <v>815</v>
      </c>
      <c r="B294" s="203" t="s">
        <v>816</v>
      </c>
      <c r="C294" s="171"/>
      <c r="D294" s="171"/>
      <c r="E294" s="171"/>
      <c r="F294" s="171"/>
      <c r="G294" s="171"/>
      <c r="H294" s="171"/>
      <c r="I294" s="171"/>
      <c r="J294" s="171"/>
      <c r="K294" s="172"/>
      <c r="L294" s="204"/>
      <c r="M294" s="204"/>
      <c r="N294" s="204"/>
    </row>
    <row r="295" spans="1:14" ht="15" customHeight="1">
      <c r="A295" s="205">
        <v>1</v>
      </c>
      <c r="B295" s="954" t="s">
        <v>817</v>
      </c>
      <c r="C295" s="955"/>
      <c r="D295" s="955"/>
      <c r="E295" s="955"/>
      <c r="F295" s="955"/>
      <c r="G295" s="955"/>
      <c r="H295" s="955"/>
      <c r="I295" s="955"/>
      <c r="J295" s="955"/>
      <c r="K295" s="956"/>
      <c r="L295" s="202"/>
      <c r="M295" s="202"/>
      <c r="N295" s="202"/>
    </row>
    <row r="296" spans="1:14" ht="15" customHeight="1">
      <c r="A296" s="206">
        <v>2</v>
      </c>
      <c r="B296" s="948" t="s">
        <v>818</v>
      </c>
      <c r="C296" s="949"/>
      <c r="D296" s="949"/>
      <c r="E296" s="949"/>
      <c r="F296" s="949"/>
      <c r="G296" s="949"/>
      <c r="H296" s="949"/>
      <c r="I296" s="949"/>
      <c r="J296" s="949"/>
      <c r="K296" s="950"/>
      <c r="L296" s="202"/>
      <c r="M296" s="202"/>
      <c r="N296" s="202"/>
    </row>
    <row r="297" spans="1:14" ht="15" customHeight="1">
      <c r="A297" s="207">
        <v>3</v>
      </c>
      <c r="B297" s="951" t="s">
        <v>819</v>
      </c>
      <c r="C297" s="952"/>
      <c r="D297" s="952"/>
      <c r="E297" s="952"/>
      <c r="F297" s="952"/>
      <c r="G297" s="952"/>
      <c r="H297" s="952"/>
      <c r="I297" s="952"/>
      <c r="J297" s="952"/>
      <c r="K297" s="953"/>
      <c r="L297" s="202"/>
      <c r="M297" s="202"/>
      <c r="N297" s="202"/>
    </row>
    <row r="298" spans="1:14" ht="15" customHeight="1">
      <c r="A298" s="206">
        <v>4</v>
      </c>
      <c r="B298" s="948" t="s">
        <v>820</v>
      </c>
      <c r="C298" s="949"/>
      <c r="D298" s="949"/>
      <c r="E298" s="949"/>
      <c r="F298" s="949"/>
      <c r="G298" s="949"/>
      <c r="H298" s="949"/>
      <c r="I298" s="949"/>
      <c r="J298" s="949"/>
      <c r="K298" s="950"/>
      <c r="L298" s="202"/>
      <c r="M298" s="202"/>
      <c r="N298" s="202"/>
    </row>
    <row r="299" spans="1:14" ht="15" customHeight="1">
      <c r="A299" s="207">
        <v>5</v>
      </c>
      <c r="B299" s="951" t="s">
        <v>821</v>
      </c>
      <c r="C299" s="952"/>
      <c r="D299" s="952"/>
      <c r="E299" s="952"/>
      <c r="F299" s="952"/>
      <c r="G299" s="952"/>
      <c r="H299" s="952"/>
      <c r="I299" s="952"/>
      <c r="J299" s="952"/>
      <c r="K299" s="953"/>
      <c r="L299" s="202"/>
      <c r="M299" s="202"/>
      <c r="N299" s="202"/>
    </row>
    <row r="300" spans="1:14" ht="15" customHeight="1">
      <c r="A300" s="206">
        <v>6</v>
      </c>
      <c r="B300" s="948" t="s">
        <v>822</v>
      </c>
      <c r="C300" s="949"/>
      <c r="D300" s="949"/>
      <c r="E300" s="949"/>
      <c r="F300" s="949"/>
      <c r="G300" s="949"/>
      <c r="H300" s="949"/>
      <c r="I300" s="949"/>
      <c r="J300" s="949"/>
      <c r="K300" s="950"/>
      <c r="L300" s="202"/>
      <c r="M300" s="202"/>
      <c r="N300" s="202"/>
    </row>
    <row r="301" spans="1:14" ht="15" customHeight="1">
      <c r="A301" s="207">
        <v>7</v>
      </c>
      <c r="B301" s="951" t="s">
        <v>823</v>
      </c>
      <c r="C301" s="952"/>
      <c r="D301" s="952"/>
      <c r="E301" s="952"/>
      <c r="F301" s="952"/>
      <c r="G301" s="952"/>
      <c r="H301" s="952"/>
      <c r="I301" s="952"/>
      <c r="J301" s="952"/>
      <c r="K301" s="953"/>
      <c r="L301" s="202"/>
      <c r="M301" s="202"/>
      <c r="N301" s="202"/>
    </row>
    <row r="302" spans="1:14" ht="15" customHeight="1">
      <c r="A302" s="206">
        <v>8</v>
      </c>
      <c r="B302" s="948" t="s">
        <v>824</v>
      </c>
      <c r="C302" s="949"/>
      <c r="D302" s="949"/>
      <c r="E302" s="949"/>
      <c r="F302" s="949"/>
      <c r="G302" s="949"/>
      <c r="H302" s="949"/>
      <c r="I302" s="949"/>
      <c r="J302" s="949"/>
      <c r="K302" s="950"/>
      <c r="L302" s="202"/>
      <c r="M302" s="202"/>
      <c r="N302" s="202"/>
    </row>
    <row r="303" spans="1:14" ht="15" customHeight="1">
      <c r="A303" s="207">
        <v>9</v>
      </c>
      <c r="B303" s="951" t="s">
        <v>825</v>
      </c>
      <c r="C303" s="952"/>
      <c r="D303" s="952"/>
      <c r="E303" s="952"/>
      <c r="F303" s="952"/>
      <c r="G303" s="952"/>
      <c r="H303" s="952"/>
      <c r="I303" s="952"/>
      <c r="J303" s="952"/>
      <c r="K303" s="953"/>
      <c r="L303" s="202"/>
      <c r="M303" s="202"/>
      <c r="N303" s="202"/>
    </row>
    <row r="304" spans="1:14" ht="15" customHeight="1">
      <c r="A304" s="206">
        <v>10</v>
      </c>
      <c r="B304" s="948" t="s">
        <v>826</v>
      </c>
      <c r="C304" s="949"/>
      <c r="D304" s="949"/>
      <c r="E304" s="949"/>
      <c r="F304" s="949"/>
      <c r="G304" s="949"/>
      <c r="H304" s="949"/>
      <c r="I304" s="949"/>
      <c r="J304" s="949"/>
      <c r="K304" s="950"/>
      <c r="L304" s="202"/>
      <c r="M304" s="202"/>
      <c r="N304" s="202"/>
    </row>
    <row r="305" spans="1:14" ht="15" customHeight="1">
      <c r="A305" s="207">
        <v>11</v>
      </c>
      <c r="B305" s="951" t="s">
        <v>827</v>
      </c>
      <c r="C305" s="952"/>
      <c r="D305" s="952"/>
      <c r="E305" s="952"/>
      <c r="F305" s="952"/>
      <c r="G305" s="952"/>
      <c r="H305" s="952"/>
      <c r="I305" s="952"/>
      <c r="J305" s="952"/>
      <c r="K305" s="953"/>
      <c r="L305" s="202"/>
      <c r="M305" s="202"/>
      <c r="N305" s="202"/>
    </row>
    <row r="306" spans="1:14" ht="15" customHeight="1">
      <c r="A306" s="206">
        <v>12</v>
      </c>
      <c r="B306" s="948" t="s">
        <v>828</v>
      </c>
      <c r="C306" s="949"/>
      <c r="D306" s="949"/>
      <c r="E306" s="949"/>
      <c r="F306" s="949"/>
      <c r="G306" s="949"/>
      <c r="H306" s="949"/>
      <c r="I306" s="949"/>
      <c r="J306" s="949"/>
      <c r="K306" s="950"/>
      <c r="L306" s="202"/>
      <c r="M306" s="202"/>
      <c r="N306" s="202"/>
    </row>
    <row r="307" spans="1:14" ht="15" customHeight="1">
      <c r="A307" s="207">
        <v>13</v>
      </c>
      <c r="B307" s="951" t="s">
        <v>829</v>
      </c>
      <c r="C307" s="952"/>
      <c r="D307" s="952"/>
      <c r="E307" s="952"/>
      <c r="F307" s="952"/>
      <c r="G307" s="952"/>
      <c r="H307" s="952"/>
      <c r="I307" s="952"/>
      <c r="J307" s="952"/>
      <c r="K307" s="953"/>
      <c r="L307" s="202"/>
      <c r="M307" s="202"/>
      <c r="N307" s="202"/>
    </row>
    <row r="308" spans="1:14" ht="15" customHeight="1">
      <c r="A308" s="206">
        <v>14</v>
      </c>
      <c r="B308" s="948" t="s">
        <v>830</v>
      </c>
      <c r="C308" s="949"/>
      <c r="D308" s="949"/>
      <c r="E308" s="949"/>
      <c r="F308" s="949"/>
      <c r="G308" s="949"/>
      <c r="H308" s="949"/>
      <c r="I308" s="949"/>
      <c r="J308" s="949"/>
      <c r="K308" s="950"/>
      <c r="L308" s="202"/>
      <c r="M308" s="202"/>
      <c r="N308" s="202"/>
    </row>
    <row r="309" spans="1:14" ht="15" customHeight="1">
      <c r="A309" s="207">
        <v>15</v>
      </c>
      <c r="B309" s="951" t="s">
        <v>831</v>
      </c>
      <c r="C309" s="952"/>
      <c r="D309" s="952"/>
      <c r="E309" s="952"/>
      <c r="F309" s="952"/>
      <c r="G309" s="952"/>
      <c r="H309" s="952"/>
      <c r="I309" s="952"/>
      <c r="J309" s="952"/>
      <c r="K309" s="953"/>
      <c r="L309" s="202"/>
      <c r="M309" s="202"/>
      <c r="N309" s="202"/>
    </row>
    <row r="310" spans="1:14" ht="15" customHeight="1">
      <c r="A310" s="206">
        <v>16</v>
      </c>
      <c r="B310" s="948" t="s">
        <v>832</v>
      </c>
      <c r="C310" s="949"/>
      <c r="D310" s="949"/>
      <c r="E310" s="949"/>
      <c r="F310" s="949"/>
      <c r="G310" s="949"/>
      <c r="H310" s="949"/>
      <c r="I310" s="949"/>
      <c r="J310" s="949"/>
      <c r="K310" s="950"/>
      <c r="L310" s="202"/>
      <c r="M310" s="202"/>
      <c r="N310" s="202"/>
    </row>
    <row r="311" spans="1:14" ht="15" customHeight="1">
      <c r="A311" s="207">
        <v>17</v>
      </c>
      <c r="B311" s="951" t="s">
        <v>833</v>
      </c>
      <c r="C311" s="952"/>
      <c r="D311" s="952"/>
      <c r="E311" s="952"/>
      <c r="F311" s="952"/>
      <c r="G311" s="952"/>
      <c r="H311" s="952"/>
      <c r="I311" s="952"/>
      <c r="J311" s="952"/>
      <c r="K311" s="953"/>
      <c r="L311" s="202"/>
      <c r="M311" s="202"/>
      <c r="N311" s="202"/>
    </row>
    <row r="312" spans="1:14" ht="15" customHeight="1">
      <c r="A312" s="206">
        <v>18</v>
      </c>
      <c r="B312" s="948" t="s">
        <v>834</v>
      </c>
      <c r="C312" s="949"/>
      <c r="D312" s="949"/>
      <c r="E312" s="949"/>
      <c r="F312" s="949"/>
      <c r="G312" s="949"/>
      <c r="H312" s="949"/>
      <c r="I312" s="949"/>
      <c r="J312" s="949"/>
      <c r="K312" s="950"/>
      <c r="L312" s="202"/>
      <c r="M312" s="202"/>
      <c r="N312" s="202"/>
    </row>
    <row r="313" spans="1:14" ht="15" customHeight="1">
      <c r="A313" s="207">
        <v>19</v>
      </c>
      <c r="B313" s="951" t="s">
        <v>835</v>
      </c>
      <c r="C313" s="952"/>
      <c r="D313" s="952"/>
      <c r="E313" s="952"/>
      <c r="F313" s="952"/>
      <c r="G313" s="952"/>
      <c r="H313" s="952"/>
      <c r="I313" s="952"/>
      <c r="J313" s="952"/>
      <c r="K313" s="953"/>
      <c r="L313" s="202"/>
      <c r="M313" s="202"/>
      <c r="N313" s="202"/>
    </row>
    <row r="314" spans="1:14" ht="15" customHeight="1">
      <c r="A314" s="206">
        <v>20</v>
      </c>
      <c r="B314" s="948" t="s">
        <v>836</v>
      </c>
      <c r="C314" s="949"/>
      <c r="D314" s="949"/>
      <c r="E314" s="949"/>
      <c r="F314" s="949"/>
      <c r="G314" s="949"/>
      <c r="H314" s="949"/>
      <c r="I314" s="949"/>
      <c r="J314" s="949"/>
      <c r="K314" s="950"/>
      <c r="L314" s="202"/>
      <c r="M314" s="202"/>
      <c r="N314" s="202"/>
    </row>
    <row r="315" spans="1:14" ht="15" customHeight="1">
      <c r="A315" s="207">
        <v>21</v>
      </c>
      <c r="B315" s="951" t="s">
        <v>837</v>
      </c>
      <c r="C315" s="952"/>
      <c r="D315" s="952"/>
      <c r="E315" s="952"/>
      <c r="F315" s="952"/>
      <c r="G315" s="952"/>
      <c r="H315" s="952"/>
      <c r="I315" s="952"/>
      <c r="J315" s="952"/>
      <c r="K315" s="953"/>
      <c r="L315" s="202"/>
      <c r="M315" s="202"/>
      <c r="N315" s="202"/>
    </row>
    <row r="316" spans="1:14" ht="15" customHeight="1">
      <c r="A316" s="206">
        <v>22</v>
      </c>
      <c r="B316" s="948" t="s">
        <v>838</v>
      </c>
      <c r="C316" s="949"/>
      <c r="D316" s="949"/>
      <c r="E316" s="949"/>
      <c r="F316" s="949"/>
      <c r="G316" s="949"/>
      <c r="H316" s="949"/>
      <c r="I316" s="949"/>
      <c r="J316" s="949"/>
      <c r="K316" s="950"/>
      <c r="L316" s="202"/>
      <c r="M316" s="202"/>
      <c r="N316" s="202"/>
    </row>
    <row r="317" spans="1:14" ht="15" customHeight="1">
      <c r="A317" s="207">
        <v>23</v>
      </c>
      <c r="B317" s="951" t="s">
        <v>839</v>
      </c>
      <c r="C317" s="952"/>
      <c r="D317" s="952"/>
      <c r="E317" s="952"/>
      <c r="F317" s="952"/>
      <c r="G317" s="952"/>
      <c r="H317" s="952"/>
      <c r="I317" s="952"/>
      <c r="J317" s="952"/>
      <c r="K317" s="953"/>
      <c r="L317" s="202"/>
      <c r="M317" s="202"/>
      <c r="N317" s="202"/>
    </row>
    <row r="318" spans="1:14" ht="15" customHeight="1">
      <c r="A318" s="206">
        <v>24</v>
      </c>
      <c r="B318" s="948" t="s">
        <v>840</v>
      </c>
      <c r="C318" s="949"/>
      <c r="D318" s="949"/>
      <c r="E318" s="949"/>
      <c r="F318" s="949"/>
      <c r="G318" s="949"/>
      <c r="H318" s="949"/>
      <c r="I318" s="949"/>
      <c r="J318" s="949"/>
      <c r="K318" s="950"/>
      <c r="L318" s="202"/>
      <c r="M318" s="202"/>
      <c r="N318" s="202"/>
    </row>
    <row r="319" spans="1:14" ht="15" customHeight="1">
      <c r="A319" s="207">
        <v>25</v>
      </c>
      <c r="B319" s="951" t="s">
        <v>841</v>
      </c>
      <c r="C319" s="952"/>
      <c r="D319" s="952"/>
      <c r="E319" s="952"/>
      <c r="F319" s="952"/>
      <c r="G319" s="952"/>
      <c r="H319" s="952"/>
      <c r="I319" s="952"/>
      <c r="J319" s="952"/>
      <c r="K319" s="953"/>
      <c r="L319" s="202"/>
      <c r="M319" s="202"/>
      <c r="N319" s="202"/>
    </row>
    <row r="320" spans="1:14" ht="15" customHeight="1">
      <c r="A320" s="206">
        <v>26</v>
      </c>
      <c r="B320" s="948" t="s">
        <v>842</v>
      </c>
      <c r="C320" s="949"/>
      <c r="D320" s="949"/>
      <c r="E320" s="949"/>
      <c r="F320" s="949"/>
      <c r="G320" s="949"/>
      <c r="H320" s="949"/>
      <c r="I320" s="949"/>
      <c r="J320" s="949"/>
      <c r="K320" s="950"/>
      <c r="L320" s="202"/>
      <c r="M320" s="202"/>
      <c r="N320" s="202"/>
    </row>
    <row r="321" spans="1:14" ht="15" customHeight="1">
      <c r="A321" s="208">
        <v>27</v>
      </c>
      <c r="B321" s="957" t="s">
        <v>843</v>
      </c>
      <c r="C321" s="958"/>
      <c r="D321" s="958"/>
      <c r="E321" s="958"/>
      <c r="F321" s="958"/>
      <c r="G321" s="958"/>
      <c r="H321" s="958"/>
      <c r="I321" s="958"/>
      <c r="J321" s="958"/>
      <c r="K321" s="959"/>
      <c r="L321" s="202"/>
      <c r="M321" s="202"/>
      <c r="N321" s="202"/>
    </row>
    <row r="322" spans="1:14" ht="15" customHeight="1">
      <c r="A322" s="206">
        <v>28</v>
      </c>
      <c r="B322" s="948" t="s">
        <v>844</v>
      </c>
      <c r="C322" s="949"/>
      <c r="D322" s="949"/>
      <c r="E322" s="949"/>
      <c r="F322" s="949"/>
      <c r="G322" s="949"/>
      <c r="H322" s="949"/>
      <c r="I322" s="949"/>
      <c r="J322" s="949"/>
      <c r="K322" s="950"/>
      <c r="L322" s="202"/>
      <c r="M322" s="202"/>
      <c r="N322" s="202"/>
    </row>
    <row r="323" spans="1:14" ht="15" customHeight="1">
      <c r="A323" s="207">
        <v>29</v>
      </c>
      <c r="B323" s="951" t="s">
        <v>845</v>
      </c>
      <c r="C323" s="952"/>
      <c r="D323" s="952"/>
      <c r="E323" s="952"/>
      <c r="F323" s="952"/>
      <c r="G323" s="952"/>
      <c r="H323" s="952"/>
      <c r="I323" s="952"/>
      <c r="J323" s="952"/>
      <c r="K323" s="953"/>
      <c r="L323" s="202"/>
      <c r="M323" s="202"/>
      <c r="N323" s="202"/>
    </row>
    <row r="324" spans="1:14" ht="15" customHeight="1">
      <c r="A324" s="206">
        <v>30</v>
      </c>
      <c r="B324" s="948" t="s">
        <v>846</v>
      </c>
      <c r="C324" s="949"/>
      <c r="D324" s="949"/>
      <c r="E324" s="949"/>
      <c r="F324" s="949"/>
      <c r="G324" s="949"/>
      <c r="H324" s="949"/>
      <c r="I324" s="949"/>
      <c r="J324" s="949"/>
      <c r="K324" s="950"/>
      <c r="L324" s="202"/>
      <c r="M324" s="202"/>
      <c r="N324" s="202"/>
    </row>
    <row r="325" spans="1:14" ht="15" customHeight="1">
      <c r="A325" s="207">
        <v>31</v>
      </c>
      <c r="B325" s="951" t="s">
        <v>847</v>
      </c>
      <c r="C325" s="952"/>
      <c r="D325" s="952"/>
      <c r="E325" s="952"/>
      <c r="F325" s="952"/>
      <c r="G325" s="952"/>
      <c r="H325" s="952"/>
      <c r="I325" s="952"/>
      <c r="J325" s="952"/>
      <c r="K325" s="953"/>
      <c r="L325" s="202"/>
      <c r="M325" s="202"/>
      <c r="N325" s="202"/>
    </row>
    <row r="326" spans="1:14" ht="15" customHeight="1">
      <c r="A326" s="206">
        <v>32</v>
      </c>
      <c r="B326" s="948" t="s">
        <v>848</v>
      </c>
      <c r="C326" s="949"/>
      <c r="D326" s="949"/>
      <c r="E326" s="949"/>
      <c r="F326" s="949"/>
      <c r="G326" s="949"/>
      <c r="H326" s="949"/>
      <c r="I326" s="949"/>
      <c r="J326" s="949"/>
      <c r="K326" s="950"/>
      <c r="L326" s="202"/>
      <c r="M326" s="202"/>
      <c r="N326" s="202"/>
    </row>
    <row r="327" spans="1:14" ht="15" customHeight="1">
      <c r="A327" s="207">
        <v>33</v>
      </c>
      <c r="B327" s="951" t="s">
        <v>849</v>
      </c>
      <c r="C327" s="952"/>
      <c r="D327" s="952"/>
      <c r="E327" s="952"/>
      <c r="F327" s="952"/>
      <c r="G327" s="952"/>
      <c r="H327" s="952"/>
      <c r="I327" s="952"/>
      <c r="J327" s="952"/>
      <c r="K327" s="953"/>
      <c r="L327" s="202"/>
      <c r="M327" s="202"/>
      <c r="N327" s="202"/>
    </row>
    <row r="328" spans="1:14" ht="15" customHeight="1">
      <c r="A328" s="206">
        <v>34</v>
      </c>
      <c r="B328" s="948" t="s">
        <v>850</v>
      </c>
      <c r="C328" s="949"/>
      <c r="D328" s="949"/>
      <c r="E328" s="949"/>
      <c r="F328" s="949"/>
      <c r="G328" s="949"/>
      <c r="H328" s="949"/>
      <c r="I328" s="949"/>
      <c r="J328" s="949"/>
      <c r="K328" s="950"/>
      <c r="L328" s="202"/>
      <c r="M328" s="202"/>
      <c r="N328" s="202"/>
    </row>
    <row r="329" spans="1:14" ht="15" customHeight="1">
      <c r="A329" s="207">
        <v>35</v>
      </c>
      <c r="B329" s="951" t="s">
        <v>851</v>
      </c>
      <c r="C329" s="952"/>
      <c r="D329" s="952"/>
      <c r="E329" s="952"/>
      <c r="F329" s="952"/>
      <c r="G329" s="952"/>
      <c r="H329" s="952"/>
      <c r="I329" s="952"/>
      <c r="J329" s="952"/>
      <c r="K329" s="953"/>
      <c r="L329" s="202"/>
      <c r="M329" s="202"/>
      <c r="N329" s="202"/>
    </row>
    <row r="330" spans="1:14" ht="15" customHeight="1">
      <c r="A330" s="206">
        <v>36</v>
      </c>
      <c r="B330" s="948" t="s">
        <v>852</v>
      </c>
      <c r="C330" s="949"/>
      <c r="D330" s="949"/>
      <c r="E330" s="949"/>
      <c r="F330" s="949"/>
      <c r="G330" s="949"/>
      <c r="H330" s="949"/>
      <c r="I330" s="949"/>
      <c r="J330" s="949"/>
      <c r="K330" s="950"/>
      <c r="L330" s="202"/>
      <c r="M330" s="202"/>
      <c r="N330" s="202"/>
    </row>
    <row r="331" spans="1:14" ht="15" customHeight="1">
      <c r="A331" s="207">
        <v>37</v>
      </c>
      <c r="B331" s="951" t="s">
        <v>853</v>
      </c>
      <c r="C331" s="952"/>
      <c r="D331" s="952"/>
      <c r="E331" s="952"/>
      <c r="F331" s="952"/>
      <c r="G331" s="952"/>
      <c r="H331" s="952"/>
      <c r="I331" s="952"/>
      <c r="J331" s="952"/>
      <c r="K331" s="953"/>
      <c r="L331" s="202"/>
      <c r="M331" s="202"/>
      <c r="N331" s="202"/>
    </row>
    <row r="332" spans="1:14" ht="15" customHeight="1">
      <c r="A332" s="206">
        <v>38</v>
      </c>
      <c r="B332" s="948" t="s">
        <v>854</v>
      </c>
      <c r="C332" s="949"/>
      <c r="D332" s="949"/>
      <c r="E332" s="949"/>
      <c r="F332" s="949"/>
      <c r="G332" s="949"/>
      <c r="H332" s="949"/>
      <c r="I332" s="949"/>
      <c r="J332" s="949"/>
      <c r="K332" s="950"/>
      <c r="L332" s="202"/>
      <c r="M332" s="202"/>
      <c r="N332" s="202"/>
    </row>
    <row r="333" spans="1:14" ht="15" customHeight="1">
      <c r="A333" s="207">
        <v>39</v>
      </c>
      <c r="B333" s="951" t="s">
        <v>855</v>
      </c>
      <c r="C333" s="952"/>
      <c r="D333" s="952"/>
      <c r="E333" s="952"/>
      <c r="F333" s="952"/>
      <c r="G333" s="952"/>
      <c r="H333" s="952"/>
      <c r="I333" s="952"/>
      <c r="J333" s="952"/>
      <c r="K333" s="953"/>
      <c r="L333" s="202"/>
      <c r="M333" s="202"/>
      <c r="N333" s="202"/>
    </row>
    <row r="334" spans="1:14" ht="15" customHeight="1">
      <c r="A334" s="206">
        <v>40</v>
      </c>
      <c r="B334" s="948" t="s">
        <v>856</v>
      </c>
      <c r="C334" s="949"/>
      <c r="D334" s="949"/>
      <c r="E334" s="949"/>
      <c r="F334" s="949"/>
      <c r="G334" s="949"/>
      <c r="H334" s="949"/>
      <c r="I334" s="949"/>
      <c r="J334" s="949"/>
      <c r="K334" s="950"/>
      <c r="L334" s="202"/>
      <c r="M334" s="202"/>
      <c r="N334" s="202"/>
    </row>
    <row r="335" spans="1:14" ht="15" customHeight="1">
      <c r="A335" s="207">
        <v>41</v>
      </c>
      <c r="B335" s="951" t="s">
        <v>857</v>
      </c>
      <c r="C335" s="952"/>
      <c r="D335" s="952"/>
      <c r="E335" s="952"/>
      <c r="F335" s="952"/>
      <c r="G335" s="952"/>
      <c r="H335" s="952"/>
      <c r="I335" s="952"/>
      <c r="J335" s="952"/>
      <c r="K335" s="953"/>
      <c r="L335" s="202"/>
      <c r="M335" s="202"/>
      <c r="N335" s="202"/>
    </row>
    <row r="336" spans="1:14" ht="15" customHeight="1">
      <c r="A336" s="206">
        <v>42</v>
      </c>
      <c r="B336" s="948" t="s">
        <v>858</v>
      </c>
      <c r="C336" s="949"/>
      <c r="D336" s="949"/>
      <c r="E336" s="949"/>
      <c r="F336" s="949"/>
      <c r="G336" s="949"/>
      <c r="H336" s="949"/>
      <c r="I336" s="949"/>
      <c r="J336" s="949"/>
      <c r="K336" s="950"/>
      <c r="L336" s="202"/>
      <c r="M336" s="202"/>
      <c r="N336" s="202"/>
    </row>
    <row r="337" spans="1:14" ht="15" customHeight="1">
      <c r="A337" s="207">
        <v>43</v>
      </c>
      <c r="B337" s="951" t="s">
        <v>859</v>
      </c>
      <c r="C337" s="952"/>
      <c r="D337" s="952"/>
      <c r="E337" s="952"/>
      <c r="F337" s="952"/>
      <c r="G337" s="952"/>
      <c r="H337" s="952"/>
      <c r="I337" s="952"/>
      <c r="J337" s="952"/>
      <c r="K337" s="953"/>
      <c r="L337" s="202"/>
      <c r="M337" s="202"/>
      <c r="N337" s="202"/>
    </row>
    <row r="338" spans="1:14" ht="15" customHeight="1">
      <c r="A338" s="206">
        <v>44</v>
      </c>
      <c r="B338" s="948" t="s">
        <v>860</v>
      </c>
      <c r="C338" s="949"/>
      <c r="D338" s="949"/>
      <c r="E338" s="949"/>
      <c r="F338" s="949"/>
      <c r="G338" s="949"/>
      <c r="H338" s="949"/>
      <c r="I338" s="949"/>
      <c r="J338" s="949"/>
      <c r="K338" s="950"/>
      <c r="L338" s="202"/>
      <c r="M338" s="202"/>
      <c r="N338" s="202"/>
    </row>
    <row r="339" spans="1:14" ht="15" customHeight="1">
      <c r="A339" s="207">
        <v>45</v>
      </c>
      <c r="B339" s="951" t="s">
        <v>861</v>
      </c>
      <c r="C339" s="952"/>
      <c r="D339" s="952"/>
      <c r="E339" s="952"/>
      <c r="F339" s="952"/>
      <c r="G339" s="952"/>
      <c r="H339" s="952"/>
      <c r="I339" s="952"/>
      <c r="J339" s="952"/>
      <c r="K339" s="953"/>
      <c r="L339" s="202"/>
      <c r="M339" s="202"/>
      <c r="N339" s="202"/>
    </row>
    <row r="340" spans="1:14" ht="15" customHeight="1">
      <c r="A340" s="206">
        <v>46</v>
      </c>
      <c r="B340" s="948" t="s">
        <v>862</v>
      </c>
      <c r="C340" s="949"/>
      <c r="D340" s="949"/>
      <c r="E340" s="949"/>
      <c r="F340" s="949"/>
      <c r="G340" s="949"/>
      <c r="H340" s="949"/>
      <c r="I340" s="949"/>
      <c r="J340" s="949"/>
      <c r="K340" s="950"/>
      <c r="L340" s="202"/>
      <c r="M340" s="202"/>
      <c r="N340" s="202"/>
    </row>
    <row r="341" spans="1:14" ht="15" customHeight="1">
      <c r="A341" s="207">
        <v>47</v>
      </c>
      <c r="B341" s="951" t="s">
        <v>863</v>
      </c>
      <c r="C341" s="952"/>
      <c r="D341" s="952"/>
      <c r="E341" s="952"/>
      <c r="F341" s="952"/>
      <c r="G341" s="952"/>
      <c r="H341" s="952"/>
      <c r="I341" s="952"/>
      <c r="J341" s="952"/>
      <c r="K341" s="953"/>
      <c r="L341" s="202"/>
      <c r="M341" s="202"/>
      <c r="N341" s="202"/>
    </row>
    <row r="342" spans="1:14" ht="15" customHeight="1">
      <c r="A342" s="206">
        <v>48</v>
      </c>
      <c r="B342" s="948" t="s">
        <v>864</v>
      </c>
      <c r="C342" s="949"/>
      <c r="D342" s="949"/>
      <c r="E342" s="949"/>
      <c r="F342" s="949"/>
      <c r="G342" s="949"/>
      <c r="H342" s="949"/>
      <c r="I342" s="949"/>
      <c r="J342" s="949"/>
      <c r="K342" s="950"/>
      <c r="L342" s="202"/>
      <c r="M342" s="202"/>
      <c r="N342" s="202"/>
    </row>
    <row r="343" spans="1:14" ht="15" customHeight="1">
      <c r="A343" s="207">
        <v>49</v>
      </c>
      <c r="B343" s="951" t="s">
        <v>865</v>
      </c>
      <c r="C343" s="952"/>
      <c r="D343" s="952"/>
      <c r="E343" s="952"/>
      <c r="F343" s="952"/>
      <c r="G343" s="952"/>
      <c r="H343" s="952"/>
      <c r="I343" s="952"/>
      <c r="J343" s="952"/>
      <c r="K343" s="953"/>
      <c r="L343" s="202"/>
      <c r="M343" s="202"/>
      <c r="N343" s="202"/>
    </row>
    <row r="344" spans="1:14" ht="15" customHeight="1">
      <c r="A344" s="206">
        <v>50</v>
      </c>
      <c r="B344" s="948" t="s">
        <v>866</v>
      </c>
      <c r="C344" s="949"/>
      <c r="D344" s="949"/>
      <c r="E344" s="949"/>
      <c r="F344" s="949"/>
      <c r="G344" s="949"/>
      <c r="H344" s="949"/>
      <c r="I344" s="949"/>
      <c r="J344" s="949"/>
      <c r="K344" s="950"/>
      <c r="L344" s="202"/>
      <c r="M344" s="202"/>
      <c r="N344" s="202"/>
    </row>
    <row r="345" spans="1:14" ht="15" customHeight="1">
      <c r="A345" s="207">
        <v>51</v>
      </c>
      <c r="B345" s="951" t="s">
        <v>867</v>
      </c>
      <c r="C345" s="952"/>
      <c r="D345" s="952"/>
      <c r="E345" s="952"/>
      <c r="F345" s="952"/>
      <c r="G345" s="952"/>
      <c r="H345" s="952"/>
      <c r="I345" s="952"/>
      <c r="J345" s="952"/>
      <c r="K345" s="953"/>
      <c r="L345" s="202"/>
      <c r="M345" s="202"/>
      <c r="N345" s="202"/>
    </row>
    <row r="346" spans="1:14" ht="15" customHeight="1">
      <c r="A346" s="206">
        <v>52</v>
      </c>
      <c r="B346" s="948" t="s">
        <v>868</v>
      </c>
      <c r="C346" s="949"/>
      <c r="D346" s="949"/>
      <c r="E346" s="949"/>
      <c r="F346" s="949"/>
      <c r="G346" s="949"/>
      <c r="H346" s="949"/>
      <c r="I346" s="949"/>
      <c r="J346" s="949"/>
      <c r="K346" s="950"/>
      <c r="L346" s="202"/>
      <c r="M346" s="202"/>
      <c r="N346" s="202"/>
    </row>
    <row r="347" spans="1:14" ht="15" customHeight="1">
      <c r="A347" s="207">
        <v>53</v>
      </c>
      <c r="B347" s="951" t="s">
        <v>869</v>
      </c>
      <c r="C347" s="952"/>
      <c r="D347" s="952"/>
      <c r="E347" s="952"/>
      <c r="F347" s="952"/>
      <c r="G347" s="952"/>
      <c r="H347" s="952"/>
      <c r="I347" s="952"/>
      <c r="J347" s="952"/>
      <c r="K347" s="953"/>
      <c r="L347" s="202"/>
      <c r="M347" s="202"/>
      <c r="N347" s="202"/>
    </row>
    <row r="348" spans="1:14" ht="15" customHeight="1">
      <c r="A348" s="206">
        <v>54</v>
      </c>
      <c r="B348" s="948" t="s">
        <v>870</v>
      </c>
      <c r="C348" s="949"/>
      <c r="D348" s="949"/>
      <c r="E348" s="949"/>
      <c r="F348" s="949"/>
      <c r="G348" s="949"/>
      <c r="H348" s="949"/>
      <c r="I348" s="949"/>
      <c r="J348" s="949"/>
      <c r="K348" s="950"/>
      <c r="L348" s="202"/>
      <c r="M348" s="202"/>
      <c r="N348" s="202"/>
    </row>
    <row r="349" spans="1:14" ht="15" customHeight="1">
      <c r="A349" s="207">
        <v>55</v>
      </c>
      <c r="B349" s="951" t="s">
        <v>871</v>
      </c>
      <c r="C349" s="952"/>
      <c r="D349" s="952"/>
      <c r="E349" s="952"/>
      <c r="F349" s="952"/>
      <c r="G349" s="952"/>
      <c r="H349" s="952"/>
      <c r="I349" s="952"/>
      <c r="J349" s="952"/>
      <c r="K349" s="953"/>
      <c r="L349" s="202"/>
      <c r="M349" s="202"/>
      <c r="N349" s="202"/>
    </row>
    <row r="350" spans="1:14" ht="15" customHeight="1">
      <c r="A350" s="206">
        <v>56</v>
      </c>
      <c r="B350" s="948" t="s">
        <v>872</v>
      </c>
      <c r="C350" s="949"/>
      <c r="D350" s="949"/>
      <c r="E350" s="949"/>
      <c r="F350" s="949"/>
      <c r="G350" s="949"/>
      <c r="H350" s="949"/>
      <c r="I350" s="949"/>
      <c r="J350" s="949"/>
      <c r="K350" s="950"/>
      <c r="L350" s="202"/>
      <c r="M350" s="202"/>
      <c r="N350" s="202"/>
    </row>
    <row r="351" spans="1:14" ht="15" customHeight="1">
      <c r="A351" s="207">
        <v>57</v>
      </c>
      <c r="B351" s="951" t="s">
        <v>873</v>
      </c>
      <c r="C351" s="952"/>
      <c r="D351" s="952"/>
      <c r="E351" s="952"/>
      <c r="F351" s="952"/>
      <c r="G351" s="952"/>
      <c r="H351" s="952"/>
      <c r="I351" s="952"/>
      <c r="J351" s="952"/>
      <c r="K351" s="953"/>
      <c r="L351" s="202"/>
      <c r="M351" s="202"/>
      <c r="N351" s="202"/>
    </row>
    <row r="352" spans="1:14" ht="15" customHeight="1">
      <c r="A352" s="206">
        <v>58</v>
      </c>
      <c r="B352" s="948" t="s">
        <v>874</v>
      </c>
      <c r="C352" s="949"/>
      <c r="D352" s="949"/>
      <c r="E352" s="949"/>
      <c r="F352" s="949"/>
      <c r="G352" s="949"/>
      <c r="H352" s="949"/>
      <c r="I352" s="949"/>
      <c r="J352" s="949"/>
      <c r="K352" s="950"/>
      <c r="L352" s="202"/>
      <c r="M352" s="202"/>
      <c r="N352" s="202"/>
    </row>
    <row r="353" spans="1:14" ht="15" customHeight="1">
      <c r="A353" s="207">
        <v>59</v>
      </c>
      <c r="B353" s="951" t="s">
        <v>875</v>
      </c>
      <c r="C353" s="952"/>
      <c r="D353" s="952"/>
      <c r="E353" s="952"/>
      <c r="F353" s="952"/>
      <c r="G353" s="952"/>
      <c r="H353" s="952"/>
      <c r="I353" s="952"/>
      <c r="J353" s="952"/>
      <c r="K353" s="953"/>
      <c r="L353" s="202"/>
      <c r="M353" s="202"/>
      <c r="N353" s="202"/>
    </row>
    <row r="354" spans="1:14" ht="15" customHeight="1">
      <c r="A354" s="206">
        <v>60</v>
      </c>
      <c r="B354" s="948" t="s">
        <v>876</v>
      </c>
      <c r="C354" s="949"/>
      <c r="D354" s="949"/>
      <c r="E354" s="949"/>
      <c r="F354" s="949"/>
      <c r="G354" s="949"/>
      <c r="H354" s="949"/>
      <c r="I354" s="949"/>
      <c r="J354" s="949"/>
      <c r="K354" s="950"/>
      <c r="L354" s="202"/>
      <c r="M354" s="202"/>
      <c r="N354" s="202"/>
    </row>
    <row r="355" spans="1:14" ht="15" customHeight="1">
      <c r="A355" s="207">
        <v>61</v>
      </c>
      <c r="B355" s="951" t="s">
        <v>877</v>
      </c>
      <c r="C355" s="952"/>
      <c r="D355" s="952"/>
      <c r="E355" s="952"/>
      <c r="F355" s="952"/>
      <c r="G355" s="952"/>
      <c r="H355" s="952"/>
      <c r="I355" s="952"/>
      <c r="J355" s="952"/>
      <c r="K355" s="953"/>
      <c r="L355" s="202"/>
      <c r="M355" s="202"/>
      <c r="N355" s="202"/>
    </row>
    <row r="356" spans="1:14" ht="15" customHeight="1">
      <c r="A356" s="206">
        <v>62</v>
      </c>
      <c r="B356" s="948" t="s">
        <v>878</v>
      </c>
      <c r="C356" s="949"/>
      <c r="D356" s="949"/>
      <c r="E356" s="949"/>
      <c r="F356" s="949"/>
      <c r="G356" s="949"/>
      <c r="H356" s="949"/>
      <c r="I356" s="949"/>
      <c r="J356" s="949"/>
      <c r="K356" s="950"/>
      <c r="L356" s="202"/>
      <c r="M356" s="202"/>
      <c r="N356" s="202"/>
    </row>
    <row r="357" spans="1:14" ht="15" customHeight="1">
      <c r="A357" s="207">
        <v>63</v>
      </c>
      <c r="B357" s="951" t="s">
        <v>879</v>
      </c>
      <c r="C357" s="952"/>
      <c r="D357" s="952"/>
      <c r="E357" s="952"/>
      <c r="F357" s="952"/>
      <c r="G357" s="952"/>
      <c r="H357" s="952"/>
      <c r="I357" s="952"/>
      <c r="J357" s="952"/>
      <c r="K357" s="953"/>
      <c r="L357" s="202"/>
      <c r="M357" s="202"/>
      <c r="N357" s="202"/>
    </row>
    <row r="358" spans="1:14" ht="15" customHeight="1">
      <c r="A358" s="206">
        <v>64</v>
      </c>
      <c r="B358" s="948" t="s">
        <v>880</v>
      </c>
      <c r="C358" s="949"/>
      <c r="D358" s="949"/>
      <c r="E358" s="949"/>
      <c r="F358" s="949"/>
      <c r="G358" s="949"/>
      <c r="H358" s="949"/>
      <c r="I358" s="949"/>
      <c r="J358" s="949"/>
      <c r="K358" s="950"/>
      <c r="L358" s="202"/>
      <c r="M358" s="202"/>
      <c r="N358" s="202"/>
    </row>
    <row r="359" spans="1:14" ht="15" customHeight="1">
      <c r="A359" s="207">
        <v>65</v>
      </c>
      <c r="B359" s="951" t="s">
        <v>881</v>
      </c>
      <c r="C359" s="952"/>
      <c r="D359" s="952"/>
      <c r="E359" s="952"/>
      <c r="F359" s="952"/>
      <c r="G359" s="952"/>
      <c r="H359" s="952"/>
      <c r="I359" s="952"/>
      <c r="J359" s="952"/>
      <c r="K359" s="953"/>
      <c r="L359" s="202"/>
      <c r="M359" s="202"/>
      <c r="N359" s="202"/>
    </row>
    <row r="360" spans="1:14" ht="15" customHeight="1">
      <c r="A360" s="206">
        <v>66</v>
      </c>
      <c r="B360" s="948" t="s">
        <v>882</v>
      </c>
      <c r="C360" s="949"/>
      <c r="D360" s="949"/>
      <c r="E360" s="949"/>
      <c r="F360" s="949"/>
      <c r="G360" s="949"/>
      <c r="H360" s="949"/>
      <c r="I360" s="949"/>
      <c r="J360" s="949"/>
      <c r="K360" s="950"/>
      <c r="L360" s="202"/>
      <c r="M360" s="202"/>
      <c r="N360" s="202"/>
    </row>
    <row r="361" spans="1:14" ht="15" customHeight="1">
      <c r="A361" s="207">
        <v>67</v>
      </c>
      <c r="B361" s="951" t="s">
        <v>883</v>
      </c>
      <c r="C361" s="952"/>
      <c r="D361" s="952"/>
      <c r="E361" s="952"/>
      <c r="F361" s="952"/>
      <c r="G361" s="952"/>
      <c r="H361" s="952"/>
      <c r="I361" s="952"/>
      <c r="J361" s="952"/>
      <c r="K361" s="953"/>
      <c r="L361" s="202"/>
      <c r="M361" s="202"/>
      <c r="N361" s="202"/>
    </row>
    <row r="362" spans="1:14" ht="15" customHeight="1">
      <c r="A362" s="206">
        <v>68</v>
      </c>
      <c r="B362" s="948" t="s">
        <v>884</v>
      </c>
      <c r="C362" s="949"/>
      <c r="D362" s="949"/>
      <c r="E362" s="949"/>
      <c r="F362" s="949"/>
      <c r="G362" s="949"/>
      <c r="H362" s="949"/>
      <c r="I362" s="949"/>
      <c r="J362" s="949"/>
      <c r="K362" s="950"/>
      <c r="L362" s="202"/>
      <c r="M362" s="202"/>
      <c r="N362" s="202"/>
    </row>
    <row r="363" spans="1:14" ht="15" customHeight="1">
      <c r="A363" s="207">
        <v>69</v>
      </c>
      <c r="B363" s="951" t="s">
        <v>885</v>
      </c>
      <c r="C363" s="952"/>
      <c r="D363" s="952"/>
      <c r="E363" s="952"/>
      <c r="F363" s="952"/>
      <c r="G363" s="952"/>
      <c r="H363" s="952"/>
      <c r="I363" s="952"/>
      <c r="J363" s="952"/>
      <c r="K363" s="953"/>
      <c r="L363" s="202"/>
      <c r="M363" s="202"/>
      <c r="N363" s="202"/>
    </row>
    <row r="364" spans="1:14" ht="15" customHeight="1">
      <c r="A364" s="206">
        <v>70</v>
      </c>
      <c r="B364" s="948" t="s">
        <v>886</v>
      </c>
      <c r="C364" s="949"/>
      <c r="D364" s="949"/>
      <c r="E364" s="949"/>
      <c r="F364" s="949"/>
      <c r="G364" s="949"/>
      <c r="H364" s="949"/>
      <c r="I364" s="949"/>
      <c r="J364" s="949"/>
      <c r="K364" s="950"/>
      <c r="L364" s="202"/>
      <c r="M364" s="202"/>
      <c r="N364" s="202"/>
    </row>
    <row r="365" spans="1:14" ht="15" customHeight="1">
      <c r="A365" s="207">
        <v>71</v>
      </c>
      <c r="B365" s="951" t="s">
        <v>887</v>
      </c>
      <c r="C365" s="952"/>
      <c r="D365" s="952"/>
      <c r="E365" s="952"/>
      <c r="F365" s="952"/>
      <c r="G365" s="952"/>
      <c r="H365" s="952"/>
      <c r="I365" s="952"/>
      <c r="J365" s="952"/>
      <c r="K365" s="953"/>
      <c r="L365" s="202"/>
      <c r="M365" s="202"/>
      <c r="N365" s="202"/>
    </row>
    <row r="366" spans="1:14" ht="15" customHeight="1">
      <c r="A366" s="206">
        <v>72</v>
      </c>
      <c r="B366" s="948" t="s">
        <v>888</v>
      </c>
      <c r="C366" s="949"/>
      <c r="D366" s="949"/>
      <c r="E366" s="949"/>
      <c r="F366" s="949"/>
      <c r="G366" s="949"/>
      <c r="H366" s="949"/>
      <c r="I366" s="949"/>
      <c r="J366" s="949"/>
      <c r="K366" s="950"/>
      <c r="L366" s="202"/>
      <c r="M366" s="202"/>
      <c r="N366" s="202"/>
    </row>
    <row r="367" spans="1:14" ht="15" customHeight="1">
      <c r="A367" s="207">
        <v>73</v>
      </c>
      <c r="B367" s="951" t="s">
        <v>889</v>
      </c>
      <c r="C367" s="952"/>
      <c r="D367" s="952"/>
      <c r="E367" s="952"/>
      <c r="F367" s="952"/>
      <c r="G367" s="952"/>
      <c r="H367" s="952"/>
      <c r="I367" s="952"/>
      <c r="J367" s="952"/>
      <c r="K367" s="953"/>
      <c r="L367" s="202"/>
      <c r="M367" s="202"/>
      <c r="N367" s="202"/>
    </row>
    <row r="368" spans="1:14" ht="15" customHeight="1">
      <c r="A368" s="206">
        <v>74</v>
      </c>
      <c r="B368" s="948" t="s">
        <v>890</v>
      </c>
      <c r="C368" s="949"/>
      <c r="D368" s="949"/>
      <c r="E368" s="949"/>
      <c r="F368" s="949"/>
      <c r="G368" s="949"/>
      <c r="H368" s="949"/>
      <c r="I368" s="949"/>
      <c r="J368" s="949"/>
      <c r="K368" s="950"/>
      <c r="L368" s="202"/>
      <c r="M368" s="202"/>
      <c r="N368" s="202"/>
    </row>
    <row r="369" spans="1:14" ht="15" customHeight="1">
      <c r="A369" s="207">
        <v>75</v>
      </c>
      <c r="B369" s="951" t="s">
        <v>891</v>
      </c>
      <c r="C369" s="952"/>
      <c r="D369" s="952"/>
      <c r="E369" s="952"/>
      <c r="F369" s="952"/>
      <c r="G369" s="952"/>
      <c r="H369" s="952"/>
      <c r="I369" s="952"/>
      <c r="J369" s="952"/>
      <c r="K369" s="953"/>
      <c r="L369" s="202"/>
      <c r="M369" s="202"/>
      <c r="N369" s="202"/>
    </row>
    <row r="370" spans="1:14" ht="15" customHeight="1">
      <c r="A370" s="206">
        <v>76</v>
      </c>
      <c r="B370" s="948" t="s">
        <v>892</v>
      </c>
      <c r="C370" s="949"/>
      <c r="D370" s="949"/>
      <c r="E370" s="949"/>
      <c r="F370" s="949"/>
      <c r="G370" s="949"/>
      <c r="H370" s="949"/>
      <c r="I370" s="949"/>
      <c r="J370" s="949"/>
      <c r="K370" s="950"/>
      <c r="L370" s="202"/>
      <c r="M370" s="202"/>
      <c r="N370" s="202"/>
    </row>
    <row r="371" spans="1:14" ht="15" customHeight="1">
      <c r="A371" s="207">
        <v>77</v>
      </c>
      <c r="B371" s="951" t="s">
        <v>893</v>
      </c>
      <c r="C371" s="952"/>
      <c r="D371" s="952"/>
      <c r="E371" s="952"/>
      <c r="F371" s="952"/>
      <c r="G371" s="952"/>
      <c r="H371" s="952"/>
      <c r="I371" s="952"/>
      <c r="J371" s="952"/>
      <c r="K371" s="953"/>
      <c r="L371" s="202"/>
      <c r="M371" s="202"/>
      <c r="N371" s="202"/>
    </row>
    <row r="372" spans="1:14" ht="15" customHeight="1">
      <c r="A372" s="206">
        <v>78</v>
      </c>
      <c r="B372" s="948" t="s">
        <v>894</v>
      </c>
      <c r="C372" s="949"/>
      <c r="D372" s="949"/>
      <c r="E372" s="949"/>
      <c r="F372" s="949"/>
      <c r="G372" s="949"/>
      <c r="H372" s="949"/>
      <c r="I372" s="949"/>
      <c r="J372" s="949"/>
      <c r="K372" s="950"/>
      <c r="L372" s="202"/>
      <c r="M372" s="202"/>
      <c r="N372" s="202"/>
    </row>
    <row r="373" spans="1:14" ht="15" customHeight="1">
      <c r="A373" s="207">
        <v>79</v>
      </c>
      <c r="B373" s="951" t="s">
        <v>895</v>
      </c>
      <c r="C373" s="952"/>
      <c r="D373" s="952"/>
      <c r="E373" s="952"/>
      <c r="F373" s="952"/>
      <c r="G373" s="952"/>
      <c r="H373" s="952"/>
      <c r="I373" s="952"/>
      <c r="J373" s="952"/>
      <c r="K373" s="953"/>
      <c r="L373" s="202"/>
      <c r="M373" s="202"/>
      <c r="N373" s="202"/>
    </row>
    <row r="374" spans="1:14" ht="15" customHeight="1">
      <c r="A374" s="206">
        <v>80</v>
      </c>
      <c r="B374" s="948" t="s">
        <v>896</v>
      </c>
      <c r="C374" s="949"/>
      <c r="D374" s="949"/>
      <c r="E374" s="949"/>
      <c r="F374" s="949"/>
      <c r="G374" s="949"/>
      <c r="H374" s="949"/>
      <c r="I374" s="949"/>
      <c r="J374" s="949"/>
      <c r="K374" s="950"/>
      <c r="L374" s="202"/>
      <c r="M374" s="202"/>
      <c r="N374" s="202"/>
    </row>
    <row r="375" spans="1:14" ht="15" customHeight="1">
      <c r="A375" s="207">
        <v>81</v>
      </c>
      <c r="B375" s="951" t="s">
        <v>897</v>
      </c>
      <c r="C375" s="952"/>
      <c r="D375" s="952"/>
      <c r="E375" s="952"/>
      <c r="F375" s="952"/>
      <c r="G375" s="952"/>
      <c r="H375" s="952"/>
      <c r="I375" s="952"/>
      <c r="J375" s="952"/>
      <c r="K375" s="953"/>
      <c r="L375" s="202"/>
      <c r="M375" s="202"/>
      <c r="N375" s="202"/>
    </row>
    <row r="376" spans="1:14" ht="15" customHeight="1">
      <c r="A376" s="206">
        <v>82</v>
      </c>
      <c r="B376" s="948" t="s">
        <v>898</v>
      </c>
      <c r="C376" s="949"/>
      <c r="D376" s="949"/>
      <c r="E376" s="949"/>
      <c r="F376" s="949"/>
      <c r="G376" s="949"/>
      <c r="H376" s="949"/>
      <c r="I376" s="949"/>
      <c r="J376" s="949"/>
      <c r="K376" s="950"/>
      <c r="L376" s="202"/>
      <c r="M376" s="202"/>
      <c r="N376" s="202"/>
    </row>
    <row r="377" spans="1:14" ht="15" customHeight="1">
      <c r="A377" s="207">
        <v>83</v>
      </c>
      <c r="B377" s="951" t="s">
        <v>899</v>
      </c>
      <c r="C377" s="952"/>
      <c r="D377" s="952"/>
      <c r="E377" s="952"/>
      <c r="F377" s="952"/>
      <c r="G377" s="952"/>
      <c r="H377" s="952"/>
      <c r="I377" s="952"/>
      <c r="J377" s="952"/>
      <c r="K377" s="953"/>
      <c r="L377" s="202"/>
      <c r="M377" s="202"/>
      <c r="N377" s="202"/>
    </row>
    <row r="378" spans="1:14" ht="15" customHeight="1">
      <c r="A378" s="206">
        <v>84</v>
      </c>
      <c r="B378" s="948" t="s">
        <v>900</v>
      </c>
      <c r="C378" s="949"/>
      <c r="D378" s="949"/>
      <c r="E378" s="949"/>
      <c r="F378" s="949"/>
      <c r="G378" s="949"/>
      <c r="H378" s="949"/>
      <c r="I378" s="949"/>
      <c r="J378" s="949"/>
      <c r="K378" s="950"/>
      <c r="L378" s="202"/>
      <c r="M378" s="202"/>
      <c r="N378" s="202"/>
    </row>
    <row r="379" spans="1:14" ht="15" customHeight="1">
      <c r="A379" s="207">
        <v>85</v>
      </c>
      <c r="B379" s="951" t="s">
        <v>901</v>
      </c>
      <c r="C379" s="952"/>
      <c r="D379" s="952"/>
      <c r="E379" s="952"/>
      <c r="F379" s="952"/>
      <c r="G379" s="952"/>
      <c r="H379" s="952"/>
      <c r="I379" s="952"/>
      <c r="J379" s="952"/>
      <c r="K379" s="953"/>
      <c r="L379" s="202"/>
      <c r="M379" s="202"/>
      <c r="N379" s="202"/>
    </row>
    <row r="380" spans="1:14" ht="15" customHeight="1">
      <c r="A380" s="206">
        <v>86</v>
      </c>
      <c r="B380" s="948" t="s">
        <v>902</v>
      </c>
      <c r="C380" s="949"/>
      <c r="D380" s="949"/>
      <c r="E380" s="949"/>
      <c r="F380" s="949"/>
      <c r="G380" s="949"/>
      <c r="H380" s="949"/>
      <c r="I380" s="949"/>
      <c r="J380" s="949"/>
      <c r="K380" s="950"/>
      <c r="L380" s="202"/>
      <c r="M380" s="202"/>
      <c r="N380" s="202"/>
    </row>
    <row r="381" spans="1:14" ht="15" customHeight="1">
      <c r="A381" s="207">
        <v>87</v>
      </c>
      <c r="B381" s="951" t="s">
        <v>903</v>
      </c>
      <c r="C381" s="952"/>
      <c r="D381" s="952"/>
      <c r="E381" s="952"/>
      <c r="F381" s="952"/>
      <c r="G381" s="952"/>
      <c r="H381" s="952"/>
      <c r="I381" s="952"/>
      <c r="J381" s="952"/>
      <c r="K381" s="953"/>
      <c r="L381" s="202"/>
      <c r="M381" s="202"/>
      <c r="N381" s="202"/>
    </row>
    <row r="382" spans="1:14" ht="15" customHeight="1">
      <c r="A382" s="206">
        <v>88</v>
      </c>
      <c r="B382" s="948" t="s">
        <v>904</v>
      </c>
      <c r="C382" s="949"/>
      <c r="D382" s="949"/>
      <c r="E382" s="949"/>
      <c r="F382" s="949"/>
      <c r="G382" s="949"/>
      <c r="H382" s="949"/>
      <c r="I382" s="949"/>
      <c r="J382" s="949"/>
      <c r="K382" s="950"/>
      <c r="L382" s="202"/>
      <c r="M382" s="202"/>
      <c r="N382" s="202"/>
    </row>
    <row r="383" spans="1:14" ht="15" customHeight="1">
      <c r="A383" s="207">
        <v>89</v>
      </c>
      <c r="B383" s="951" t="s">
        <v>905</v>
      </c>
      <c r="C383" s="952"/>
      <c r="D383" s="952"/>
      <c r="E383" s="952"/>
      <c r="F383" s="952"/>
      <c r="G383" s="952"/>
      <c r="H383" s="952"/>
      <c r="I383" s="952"/>
      <c r="J383" s="952"/>
      <c r="K383" s="953"/>
      <c r="L383" s="202"/>
      <c r="M383" s="202"/>
      <c r="N383" s="202"/>
    </row>
    <row r="384" spans="1:14" ht="15" customHeight="1">
      <c r="A384" s="206">
        <v>90</v>
      </c>
      <c r="B384" s="948" t="s">
        <v>906</v>
      </c>
      <c r="C384" s="949"/>
      <c r="D384" s="949"/>
      <c r="E384" s="949"/>
      <c r="F384" s="949"/>
      <c r="G384" s="949"/>
      <c r="H384" s="949"/>
      <c r="I384" s="949"/>
      <c r="J384" s="949"/>
      <c r="K384" s="950"/>
      <c r="L384" s="202"/>
      <c r="M384" s="202"/>
      <c r="N384" s="202"/>
    </row>
    <row r="385" spans="1:14" ht="15" customHeight="1">
      <c r="A385" s="207">
        <v>91</v>
      </c>
      <c r="B385" s="951" t="s">
        <v>907</v>
      </c>
      <c r="C385" s="952"/>
      <c r="D385" s="952"/>
      <c r="E385" s="952"/>
      <c r="F385" s="952"/>
      <c r="G385" s="952"/>
      <c r="H385" s="952"/>
      <c r="I385" s="952"/>
      <c r="J385" s="952"/>
      <c r="K385" s="953"/>
      <c r="L385" s="202"/>
      <c r="M385" s="202"/>
      <c r="N385" s="202"/>
    </row>
    <row r="386" spans="1:14" ht="15" customHeight="1">
      <c r="A386" s="206">
        <v>92</v>
      </c>
      <c r="B386" s="948" t="s">
        <v>908</v>
      </c>
      <c r="C386" s="949"/>
      <c r="D386" s="949"/>
      <c r="E386" s="949"/>
      <c r="F386" s="949"/>
      <c r="G386" s="949"/>
      <c r="H386" s="949"/>
      <c r="I386" s="949"/>
      <c r="J386" s="949"/>
      <c r="K386" s="950"/>
      <c r="L386" s="202"/>
      <c r="M386" s="202"/>
      <c r="N386" s="202"/>
    </row>
    <row r="387" spans="1:14" ht="15" customHeight="1">
      <c r="A387" s="207">
        <v>93</v>
      </c>
      <c r="B387" s="951" t="s">
        <v>909</v>
      </c>
      <c r="C387" s="952"/>
      <c r="D387" s="952"/>
      <c r="E387" s="952"/>
      <c r="F387" s="952"/>
      <c r="G387" s="952"/>
      <c r="H387" s="952"/>
      <c r="I387" s="952"/>
      <c r="J387" s="952"/>
      <c r="K387" s="953"/>
      <c r="L387" s="202"/>
      <c r="M387" s="202"/>
      <c r="N387" s="202"/>
    </row>
    <row r="388" spans="1:14" ht="15" customHeight="1">
      <c r="A388" s="206">
        <v>94</v>
      </c>
      <c r="B388" s="948" t="s">
        <v>910</v>
      </c>
      <c r="C388" s="949"/>
      <c r="D388" s="949"/>
      <c r="E388" s="949"/>
      <c r="F388" s="949"/>
      <c r="G388" s="949"/>
      <c r="H388" s="949"/>
      <c r="I388" s="949"/>
      <c r="J388" s="949"/>
      <c r="K388" s="950"/>
      <c r="L388" s="202"/>
      <c r="M388" s="202"/>
      <c r="N388" s="202"/>
    </row>
    <row r="389" spans="1:14" ht="15" customHeight="1">
      <c r="A389" s="207">
        <v>95</v>
      </c>
      <c r="B389" s="951" t="s">
        <v>911</v>
      </c>
      <c r="C389" s="952"/>
      <c r="D389" s="952"/>
      <c r="E389" s="952"/>
      <c r="F389" s="952"/>
      <c r="G389" s="952"/>
      <c r="H389" s="952"/>
      <c r="I389" s="952"/>
      <c r="J389" s="952"/>
      <c r="K389" s="953"/>
      <c r="L389" s="202"/>
      <c r="M389" s="202"/>
      <c r="N389" s="202"/>
    </row>
    <row r="390" spans="1:14" ht="15" customHeight="1">
      <c r="A390" s="206">
        <v>96</v>
      </c>
      <c r="B390" s="948" t="s">
        <v>912</v>
      </c>
      <c r="C390" s="949"/>
      <c r="D390" s="949"/>
      <c r="E390" s="949"/>
      <c r="F390" s="949"/>
      <c r="G390" s="949"/>
      <c r="H390" s="949"/>
      <c r="I390" s="949"/>
      <c r="J390" s="949"/>
      <c r="K390" s="950"/>
      <c r="L390" s="202"/>
      <c r="M390" s="202"/>
      <c r="N390" s="202"/>
    </row>
    <row r="391" spans="1:14" ht="15" customHeight="1">
      <c r="A391" s="207">
        <v>97</v>
      </c>
      <c r="B391" s="951" t="s">
        <v>913</v>
      </c>
      <c r="C391" s="952"/>
      <c r="D391" s="952"/>
      <c r="E391" s="952"/>
      <c r="F391" s="952"/>
      <c r="G391" s="952"/>
      <c r="H391" s="952"/>
      <c r="I391" s="952"/>
      <c r="J391" s="952"/>
      <c r="K391" s="953"/>
      <c r="L391" s="202"/>
      <c r="M391" s="202"/>
      <c r="N391" s="202"/>
    </row>
    <row r="392" spans="1:14" ht="15" customHeight="1">
      <c r="A392" s="206">
        <v>98</v>
      </c>
      <c r="B392" s="948" t="s">
        <v>914</v>
      </c>
      <c r="C392" s="949"/>
      <c r="D392" s="949"/>
      <c r="E392" s="949"/>
      <c r="F392" s="949"/>
      <c r="G392" s="949"/>
      <c r="H392" s="949"/>
      <c r="I392" s="949"/>
      <c r="J392" s="949"/>
      <c r="K392" s="950"/>
      <c r="L392" s="202"/>
      <c r="M392" s="202"/>
      <c r="N392" s="202"/>
    </row>
    <row r="393" spans="1:14" ht="15" customHeight="1">
      <c r="A393" s="207">
        <v>99</v>
      </c>
      <c r="B393" s="951" t="s">
        <v>915</v>
      </c>
      <c r="C393" s="952"/>
      <c r="D393" s="952"/>
      <c r="E393" s="952"/>
      <c r="F393" s="952"/>
      <c r="G393" s="952"/>
      <c r="H393" s="952"/>
      <c r="I393" s="952"/>
      <c r="J393" s="952"/>
      <c r="K393" s="953"/>
      <c r="L393" s="202"/>
      <c r="M393" s="202"/>
      <c r="N393" s="202"/>
    </row>
    <row r="394" spans="1:14" ht="15" customHeight="1" thickBot="1">
      <c r="A394" s="209">
        <v>100</v>
      </c>
      <c r="B394" s="960" t="s">
        <v>916</v>
      </c>
      <c r="C394" s="961"/>
      <c r="D394" s="961"/>
      <c r="E394" s="961"/>
      <c r="F394" s="961"/>
      <c r="G394" s="961"/>
      <c r="H394" s="961"/>
      <c r="I394" s="961"/>
      <c r="J394" s="961"/>
      <c r="K394" s="962"/>
      <c r="L394" s="202"/>
      <c r="M394" s="202"/>
      <c r="N394" s="202"/>
    </row>
  </sheetData>
  <sheetProtection password="EA2F" sheet="1" objects="1" scenarios="1"/>
  <mergeCells count="156">
    <mergeCell ref="B390:K390"/>
    <mergeCell ref="B391:K391"/>
    <mergeCell ref="B392:K392"/>
    <mergeCell ref="B393:K393"/>
    <mergeCell ref="B394:K394"/>
    <mergeCell ref="B385:K385"/>
    <mergeCell ref="B386:K386"/>
    <mergeCell ref="B387:K387"/>
    <mergeCell ref="B388:K388"/>
    <mergeCell ref="B389:K389"/>
    <mergeCell ref="B380:K380"/>
    <mergeCell ref="B381:K381"/>
    <mergeCell ref="B382:K382"/>
    <mergeCell ref="B383:K383"/>
    <mergeCell ref="B384:K384"/>
    <mergeCell ref="B375:K375"/>
    <mergeCell ref="B376:K376"/>
    <mergeCell ref="B377:K377"/>
    <mergeCell ref="B378:K378"/>
    <mergeCell ref="B379:K379"/>
    <mergeCell ref="B370:K370"/>
    <mergeCell ref="B371:K371"/>
    <mergeCell ref="B372:K372"/>
    <mergeCell ref="B373:K373"/>
    <mergeCell ref="B374:K374"/>
    <mergeCell ref="B365:K365"/>
    <mergeCell ref="B366:K366"/>
    <mergeCell ref="B367:K367"/>
    <mergeCell ref="B368:K368"/>
    <mergeCell ref="B369:K369"/>
    <mergeCell ref="B360:K360"/>
    <mergeCell ref="B361:K361"/>
    <mergeCell ref="B362:K362"/>
    <mergeCell ref="B363:K363"/>
    <mergeCell ref="B364:K364"/>
    <mergeCell ref="B355:K355"/>
    <mergeCell ref="B356:K356"/>
    <mergeCell ref="B357:K357"/>
    <mergeCell ref="B358:K358"/>
    <mergeCell ref="B359:K359"/>
    <mergeCell ref="B350:K350"/>
    <mergeCell ref="B351:K351"/>
    <mergeCell ref="B352:K352"/>
    <mergeCell ref="B353:K353"/>
    <mergeCell ref="B354:K354"/>
    <mergeCell ref="B345:K345"/>
    <mergeCell ref="B346:K346"/>
    <mergeCell ref="B347:K347"/>
    <mergeCell ref="B348:K348"/>
    <mergeCell ref="B349:K349"/>
    <mergeCell ref="B340:K340"/>
    <mergeCell ref="B341:K341"/>
    <mergeCell ref="B342:K342"/>
    <mergeCell ref="B343:K343"/>
    <mergeCell ref="B344:K344"/>
    <mergeCell ref="B335:K335"/>
    <mergeCell ref="B336:K336"/>
    <mergeCell ref="B337:K337"/>
    <mergeCell ref="B338:K338"/>
    <mergeCell ref="B339:K339"/>
    <mergeCell ref="B330:K330"/>
    <mergeCell ref="B331:K331"/>
    <mergeCell ref="B332:K332"/>
    <mergeCell ref="B333:K333"/>
    <mergeCell ref="B334:K334"/>
    <mergeCell ref="B325:K325"/>
    <mergeCell ref="B326:K326"/>
    <mergeCell ref="B327:K327"/>
    <mergeCell ref="B328:K328"/>
    <mergeCell ref="B329:K329"/>
    <mergeCell ref="B320:K320"/>
    <mergeCell ref="B321:K321"/>
    <mergeCell ref="B322:K322"/>
    <mergeCell ref="B323:K323"/>
    <mergeCell ref="B324:K324"/>
    <mergeCell ref="B315:K315"/>
    <mergeCell ref="B316:K316"/>
    <mergeCell ref="B317:K317"/>
    <mergeCell ref="B318:K318"/>
    <mergeCell ref="B319:K319"/>
    <mergeCell ref="B310:K310"/>
    <mergeCell ref="B311:K311"/>
    <mergeCell ref="B312:K312"/>
    <mergeCell ref="B313:K313"/>
    <mergeCell ref="B314:K314"/>
    <mergeCell ref="B305:K305"/>
    <mergeCell ref="B306:K306"/>
    <mergeCell ref="B307:K307"/>
    <mergeCell ref="B308:K308"/>
    <mergeCell ref="B309:K309"/>
    <mergeCell ref="B300:K300"/>
    <mergeCell ref="B301:K301"/>
    <mergeCell ref="B302:K302"/>
    <mergeCell ref="B303:K303"/>
    <mergeCell ref="B304:K304"/>
    <mergeCell ref="B295:K295"/>
    <mergeCell ref="B296:K296"/>
    <mergeCell ref="B297:K297"/>
    <mergeCell ref="B298:K298"/>
    <mergeCell ref="B299:K299"/>
    <mergeCell ref="B289:D289"/>
    <mergeCell ref="B290:D290"/>
    <mergeCell ref="B291:D291"/>
    <mergeCell ref="B292:D292"/>
    <mergeCell ref="D206:D207"/>
    <mergeCell ref="B279:D279"/>
    <mergeCell ref="B280:D280"/>
    <mergeCell ref="B281:D281"/>
    <mergeCell ref="B282:D282"/>
    <mergeCell ref="B283:D283"/>
    <mergeCell ref="B284:D284"/>
    <mergeCell ref="B285:D285"/>
    <mergeCell ref="B286:D286"/>
    <mergeCell ref="B287:D287"/>
    <mergeCell ref="B288:D288"/>
    <mergeCell ref="E12:H12"/>
    <mergeCell ref="E3:H3"/>
    <mergeCell ref="E4:H4"/>
    <mergeCell ref="E5:H5"/>
    <mergeCell ref="E6:H6"/>
    <mergeCell ref="E7:H7"/>
    <mergeCell ref="E1:H1"/>
    <mergeCell ref="E8:H8"/>
    <mergeCell ref="E9:H9"/>
    <mergeCell ref="E10:H10"/>
    <mergeCell ref="E11:H11"/>
    <mergeCell ref="E28:H28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31:H31"/>
    <mergeCell ref="E30:H30"/>
    <mergeCell ref="E29:H29"/>
    <mergeCell ref="A206:A207"/>
    <mergeCell ref="B206:B207"/>
    <mergeCell ref="C206:C207"/>
    <mergeCell ref="E42:H42"/>
    <mergeCell ref="E41:H41"/>
    <mergeCell ref="E40:H40"/>
    <mergeCell ref="E39:H39"/>
    <mergeCell ref="E38:H38"/>
    <mergeCell ref="E36:H36"/>
    <mergeCell ref="E35:H35"/>
    <mergeCell ref="E34:H34"/>
    <mergeCell ref="E33:H3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35</vt:i4>
      </vt:variant>
    </vt:vector>
  </HeadingPairs>
  <TitlesOfParts>
    <vt:vector size="39" baseType="lpstr">
      <vt:lpstr>Feuille de personnage</vt:lpstr>
      <vt:lpstr>Feuil3</vt:lpstr>
      <vt:lpstr>Feuil1</vt:lpstr>
      <vt:lpstr>Equipements</vt:lpstr>
      <vt:lpstr>_dbBonus</vt:lpstr>
      <vt:lpstr>_dbCarac</vt:lpstr>
      <vt:lpstr>_lstCarac</vt:lpstr>
      <vt:lpstr>alignements</vt:lpstr>
      <vt:lpstr>Arme</vt:lpstr>
      <vt:lpstr>Arme12</vt:lpstr>
      <vt:lpstr>Armes</vt:lpstr>
      <vt:lpstr>Armur</vt:lpstr>
      <vt:lpstr>Armure</vt:lpstr>
      <vt:lpstr>Armure1</vt:lpstr>
      <vt:lpstr>Armures</vt:lpstr>
      <vt:lpstr>attaque1</vt:lpstr>
      <vt:lpstr>attaque2</vt:lpstr>
      <vt:lpstr>attaque3</vt:lpstr>
      <vt:lpstr>attaque4</vt:lpstr>
      <vt:lpstr>attaque5</vt:lpstr>
      <vt:lpstr>Background</vt:lpstr>
      <vt:lpstr>Bouclier</vt:lpstr>
      <vt:lpstr>Carac</vt:lpstr>
      <vt:lpstr>Caract</vt:lpstr>
      <vt:lpstr>Classe</vt:lpstr>
      <vt:lpstr>classe1</vt:lpstr>
      <vt:lpstr>Classe2</vt:lpstr>
      <vt:lpstr>Classe3</vt:lpstr>
      <vt:lpstr>Classes</vt:lpstr>
      <vt:lpstr>Couleur</vt:lpstr>
      <vt:lpstr>Equipement</vt:lpstr>
      <vt:lpstr>Langues</vt:lpstr>
      <vt:lpstr>Niveau</vt:lpstr>
      <vt:lpstr>Poids</vt:lpstr>
      <vt:lpstr>Races</vt:lpstr>
      <vt:lpstr>Specialisation</vt:lpstr>
      <vt:lpstr>trace</vt:lpstr>
      <vt:lpstr>Type</vt:lpstr>
      <vt:lpstr>'Feuille de personnage'!Zone_d_impression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Nouns</dc:creator>
  <cp:lastModifiedBy>Nouns</cp:lastModifiedBy>
  <cp:lastPrinted>2016-06-27T20:46:00Z</cp:lastPrinted>
  <dcterms:created xsi:type="dcterms:W3CDTF">2016-06-26T16:16:39Z</dcterms:created>
  <dcterms:modified xsi:type="dcterms:W3CDTF">2016-07-03T09:25:05Z</dcterms:modified>
</cp:coreProperties>
</file>