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18\Documents\Major-Prépa\"/>
    </mc:Choice>
  </mc:AlternateContent>
  <bookViews>
    <workbookView xWindow="600" yWindow="648" windowWidth="18432" windowHeight="7932"/>
  </bookViews>
  <sheets>
    <sheet name="Notes" sheetId="1" r:id="rId1"/>
    <sheet name="Admissibilités" sheetId="2" r:id="rId2"/>
    <sheet name="Oraux" sheetId="4" r:id="rId3"/>
  </sheets>
  <calcPr calcId="152511"/>
</workbook>
</file>

<file path=xl/calcChain.xml><?xml version="1.0" encoding="utf-8"?>
<calcChain xmlns="http://schemas.openxmlformats.org/spreadsheetml/2006/main">
  <c r="K16" i="4" l="1"/>
  <c r="D28" i="2"/>
  <c r="E28" i="2" s="1"/>
  <c r="D14" i="2"/>
  <c r="F14" i="2" s="1"/>
  <c r="D13" i="2"/>
  <c r="F13" i="2" s="1"/>
  <c r="D11" i="2"/>
  <c r="F11" i="2" s="1"/>
  <c r="D18" i="2"/>
  <c r="F18" i="2" s="1"/>
  <c r="D30" i="2"/>
  <c r="E30" i="2" s="1"/>
  <c r="D24" i="2"/>
  <c r="F24" i="2" s="1"/>
  <c r="D27" i="2"/>
  <c r="F27" i="2" s="1"/>
  <c r="D22" i="2"/>
  <c r="F22" i="2" s="1"/>
  <c r="D21" i="2"/>
  <c r="F21" i="2" s="1"/>
  <c r="D7" i="2"/>
  <c r="E15" i="4" s="1"/>
  <c r="J30" i="4"/>
  <c r="I30" i="4"/>
  <c r="H30" i="4"/>
  <c r="D30" i="4"/>
  <c r="E30" i="4"/>
  <c r="F30" i="4"/>
  <c r="G30" i="4"/>
  <c r="C30" i="4"/>
  <c r="J16" i="4"/>
  <c r="I16" i="4"/>
  <c r="H16" i="4"/>
  <c r="D16" i="4"/>
  <c r="D4" i="2"/>
  <c r="E4" i="2" s="1"/>
  <c r="E16" i="4"/>
  <c r="C16" i="4"/>
  <c r="D23" i="2"/>
  <c r="F23" i="2" s="1"/>
  <c r="D26" i="2"/>
  <c r="F26" i="2" s="1"/>
  <c r="D29" i="2"/>
  <c r="F29" i="2" s="1"/>
  <c r="D25" i="2"/>
  <c r="F25" i="2" s="1"/>
  <c r="D20" i="2"/>
  <c r="F20" i="2" s="1"/>
  <c r="D19" i="2"/>
  <c r="F19" i="2" s="1"/>
  <c r="D17" i="2"/>
  <c r="F17" i="2" s="1"/>
  <c r="D15" i="2"/>
  <c r="F15" i="2" s="1"/>
  <c r="D16" i="2"/>
  <c r="F16" i="2" s="1"/>
  <c r="D6" i="2"/>
  <c r="F6" i="2" s="1"/>
  <c r="D12" i="2"/>
  <c r="F12" i="2" s="1"/>
  <c r="D10" i="2"/>
  <c r="F10" i="2" s="1"/>
  <c r="D8" i="2"/>
  <c r="F8" i="2" s="1"/>
  <c r="D5" i="2"/>
  <c r="F5" i="2" s="1"/>
  <c r="D9" i="2"/>
  <c r="F9" i="2" s="1"/>
  <c r="K15" i="4" l="1"/>
  <c r="K18" i="4" s="1"/>
  <c r="K20" i="4" s="1"/>
  <c r="E27" i="2"/>
  <c r="E24" i="2"/>
  <c r="F7" i="2"/>
  <c r="F30" i="2"/>
  <c r="D15" i="4"/>
  <c r="D18" i="4" s="1"/>
  <c r="D20" i="4" s="1"/>
  <c r="C15" i="4"/>
  <c r="E29" i="2"/>
  <c r="F28" i="2"/>
  <c r="E15" i="2"/>
  <c r="E21" i="2"/>
  <c r="G29" i="4"/>
  <c r="G32" i="4" s="1"/>
  <c r="G34" i="4" s="1"/>
  <c r="E14" i="2"/>
  <c r="E20" i="2"/>
  <c r="E29" i="4"/>
  <c r="E32" i="4" s="1"/>
  <c r="E34" i="4" s="1"/>
  <c r="E12" i="2"/>
  <c r="C29" i="4"/>
  <c r="E11" i="2"/>
  <c r="D29" i="4"/>
  <c r="D32" i="4" s="1"/>
  <c r="D34" i="4" s="1"/>
  <c r="E10" i="2"/>
  <c r="E13" i="2"/>
  <c r="E17" i="2"/>
  <c r="J15" i="4"/>
  <c r="J18" i="4" s="1"/>
  <c r="J20" i="4" s="1"/>
  <c r="H29" i="4"/>
  <c r="H32" i="4" s="1"/>
  <c r="H34" i="4" s="1"/>
  <c r="E18" i="2"/>
  <c r="I29" i="4"/>
  <c r="I32" i="4" s="1"/>
  <c r="I34" i="4" s="1"/>
  <c r="E16" i="2"/>
  <c r="E19" i="2"/>
  <c r="E22" i="2"/>
  <c r="E25" i="2"/>
  <c r="E26" i="2"/>
  <c r="E23" i="2"/>
  <c r="F29" i="4"/>
  <c r="F32" i="4" s="1"/>
  <c r="F34" i="4" s="1"/>
  <c r="J29" i="4"/>
  <c r="J32" i="4" s="1"/>
  <c r="J34" i="4" s="1"/>
  <c r="E8" i="2"/>
  <c r="H15" i="4"/>
  <c r="H18" i="4" s="1"/>
  <c r="H20" i="4" s="1"/>
  <c r="E9" i="2"/>
  <c r="I15" i="4"/>
  <c r="I18" i="4" s="1"/>
  <c r="I20" i="4" s="1"/>
  <c r="F4" i="2"/>
  <c r="E7" i="2"/>
  <c r="E18" i="4" s="1"/>
  <c r="E20" i="4" s="1"/>
  <c r="C18" i="4"/>
  <c r="C20" i="4" s="1"/>
  <c r="E6" i="2"/>
  <c r="C32" i="4" l="1"/>
  <c r="C34" i="4" s="1"/>
</calcChain>
</file>

<file path=xl/sharedStrings.xml><?xml version="1.0" encoding="utf-8"?>
<sst xmlns="http://schemas.openxmlformats.org/spreadsheetml/2006/main" count="117" uniqueCount="73">
  <si>
    <t>Entrez vos notes !</t>
  </si>
  <si>
    <t>Mathématiques</t>
  </si>
  <si>
    <t>HGG</t>
  </si>
  <si>
    <t>Culture générale (dissertation)</t>
  </si>
  <si>
    <t xml:space="preserve">Epreuve I HEC </t>
  </si>
  <si>
    <t>Epreuve ESCP</t>
  </si>
  <si>
    <t>Epreuve HEC</t>
  </si>
  <si>
    <t>Epreuve ESSEC</t>
  </si>
  <si>
    <t>Epreuve EDHEC-ESSEC</t>
  </si>
  <si>
    <t>Epreuve Ecricome</t>
  </si>
  <si>
    <t>Epreuve EM Lyon</t>
  </si>
  <si>
    <t>Epreuve EDHEC</t>
  </si>
  <si>
    <t>LV1</t>
  </si>
  <si>
    <t>LV2</t>
  </si>
  <si>
    <t>Contraction/ Synthèse de textes</t>
  </si>
  <si>
    <t>Epreuve IENA</t>
  </si>
  <si>
    <t>Fait par Mehdi Cornilliet</t>
  </si>
  <si>
    <t>Vos résultats</t>
  </si>
  <si>
    <t>Ecole</t>
  </si>
  <si>
    <t>Votre moyenne</t>
  </si>
  <si>
    <t>Admissible ?</t>
  </si>
  <si>
    <t>HEC</t>
  </si>
  <si>
    <t>ENSAE</t>
  </si>
  <si>
    <t>ESSEC</t>
  </si>
  <si>
    <t>ESCP Europe</t>
  </si>
  <si>
    <t>EM Lyon</t>
  </si>
  <si>
    <t>EDHEC</t>
  </si>
  <si>
    <t>Audencia</t>
  </si>
  <si>
    <t>ESC Grenoble</t>
  </si>
  <si>
    <t>Telecom EM</t>
  </si>
  <si>
    <t>ICN Business School</t>
  </si>
  <si>
    <t>EM Strasbourg</t>
  </si>
  <si>
    <t>ESC Rennes</t>
  </si>
  <si>
    <t>ESC Dijon</t>
  </si>
  <si>
    <t>ESC La Rochelle</t>
  </si>
  <si>
    <t>ISC Paris</t>
  </si>
  <si>
    <t>EM Normandie</t>
  </si>
  <si>
    <t>ESC Troyes</t>
  </si>
  <si>
    <t>ESC Pau</t>
  </si>
  <si>
    <t>NEOMA</t>
  </si>
  <si>
    <t>Toulouse BS</t>
  </si>
  <si>
    <t>KEDGE</t>
  </si>
  <si>
    <t>SKEMA</t>
  </si>
  <si>
    <t>Epreuve II CCIR</t>
  </si>
  <si>
    <t>Epreuve ELVi</t>
  </si>
  <si>
    <t>ISG</t>
  </si>
  <si>
    <t xml:space="preserve">Major-Prépa : Le site des prépas HEC qui vous propose des contenus exclusifs et gratuits ! </t>
  </si>
  <si>
    <t>Points</t>
  </si>
  <si>
    <t>X</t>
  </si>
  <si>
    <t>ESCP</t>
  </si>
  <si>
    <t>CG</t>
  </si>
  <si>
    <t>Triptyque</t>
  </si>
  <si>
    <t>Entretien</t>
  </si>
  <si>
    <t>Moyenne écrits</t>
  </si>
  <si>
    <t>Moyenne oraux</t>
  </si>
  <si>
    <t>Moyenne totale</t>
  </si>
  <si>
    <t>Barre totale</t>
  </si>
  <si>
    <t>Tests psychotechniques</t>
  </si>
  <si>
    <t>Parisiennes</t>
  </si>
  <si>
    <t>Admis ?</t>
  </si>
  <si>
    <t>Le reste</t>
  </si>
  <si>
    <t>Grenoble EM</t>
  </si>
  <si>
    <t>Montpellier BS</t>
  </si>
  <si>
    <t>Admissions</t>
  </si>
  <si>
    <t>HGGMC/ESH/Manag.</t>
  </si>
  <si>
    <t>Barre totale (2014)</t>
  </si>
  <si>
    <t>nc</t>
  </si>
  <si>
    <t>Barre d'admissibilité 2016</t>
  </si>
  <si>
    <t>Brest BS</t>
  </si>
  <si>
    <t>ESC Clermont</t>
  </si>
  <si>
    <t>INSEEC</t>
  </si>
  <si>
    <t>Top 7</t>
  </si>
  <si>
    <t>Barre totale (2014 ou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</si>
</sst>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/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/>
    <xf numFmtId="164" fontId="2" fillId="7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2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12" borderId="2" xfId="0" applyFill="1" applyBorder="1"/>
    <xf numFmtId="0" fontId="2" fillId="12" borderId="2" xfId="0" applyFont="1" applyFill="1" applyBorder="1"/>
    <xf numFmtId="0" fontId="0" fillId="0" borderId="2" xfId="0" applyBorder="1"/>
    <xf numFmtId="0" fontId="0" fillId="12" borderId="3" xfId="0" applyFill="1" applyBorder="1"/>
    <xf numFmtId="0" fontId="2" fillId="12" borderId="3" xfId="0" applyFont="1" applyFill="1" applyBorder="1"/>
    <xf numFmtId="2" fontId="0" fillId="12" borderId="3" xfId="0" applyNumberFormat="1" applyFill="1" applyBorder="1"/>
    <xf numFmtId="0" fontId="0" fillId="0" borderId="3" xfId="0" applyBorder="1"/>
    <xf numFmtId="0" fontId="2" fillId="12" borderId="4" xfId="0" applyFont="1" applyFill="1" applyBorder="1" applyAlignment="1">
      <alignment horizontal="center"/>
    </xf>
    <xf numFmtId="0" fontId="0" fillId="12" borderId="4" xfId="0" applyFill="1" applyBorder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2" fontId="0" fillId="12" borderId="4" xfId="0" applyNumberFormat="1" applyFill="1" applyBorder="1"/>
    <xf numFmtId="0" fontId="0" fillId="12" borderId="4" xfId="0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2" fillId="0" borderId="2" xfId="0" applyFont="1" applyBorder="1"/>
    <xf numFmtId="0" fontId="2" fillId="12" borderId="8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0" fillId="12" borderId="5" xfId="0" applyNumberFormat="1" applyFill="1" applyBorder="1"/>
    <xf numFmtId="2" fontId="0" fillId="12" borderId="6" xfId="0" applyNumberFormat="1" applyFill="1" applyBorder="1"/>
    <xf numFmtId="0" fontId="0" fillId="12" borderId="7" xfId="0" applyFill="1" applyBorder="1"/>
    <xf numFmtId="2" fontId="0" fillId="12" borderId="1" xfId="0" applyNumberFormat="1" applyFill="1" applyBorder="1"/>
    <xf numFmtId="0" fontId="0" fillId="12" borderId="9" xfId="0" applyFill="1" applyBorder="1" applyAlignment="1">
      <alignment horizontal="right"/>
    </xf>
    <xf numFmtId="2" fontId="2" fillId="12" borderId="6" xfId="0" applyNumberFormat="1" applyFont="1" applyFill="1" applyBorder="1"/>
    <xf numFmtId="2" fontId="2" fillId="12" borderId="7" xfId="0" applyNumberFormat="1" applyFont="1" applyFill="1" applyBorder="1"/>
    <xf numFmtId="2" fontId="2" fillId="12" borderId="1" xfId="0" applyNumberFormat="1" applyFont="1" applyFill="1" applyBorder="1"/>
    <xf numFmtId="2" fontId="2" fillId="12" borderId="9" xfId="0" applyNumberFormat="1" applyFont="1" applyFill="1" applyBorder="1"/>
    <xf numFmtId="164" fontId="0" fillId="12" borderId="5" xfId="0" applyNumberFormat="1" applyFill="1" applyBorder="1"/>
    <xf numFmtId="0" fontId="0" fillId="12" borderId="6" xfId="0" applyFill="1" applyBorder="1"/>
    <xf numFmtId="164" fontId="0" fillId="12" borderId="7" xfId="0" applyNumberFormat="1" applyFill="1" applyBorder="1"/>
    <xf numFmtId="164" fontId="0" fillId="12" borderId="8" xfId="0" applyNumberFormat="1" applyFill="1" applyBorder="1"/>
    <xf numFmtId="0" fontId="0" fillId="12" borderId="1" xfId="0" applyFill="1" applyBorder="1"/>
    <xf numFmtId="164" fontId="0" fillId="12" borderId="9" xfId="0" applyNumberFormat="1" applyFill="1" applyBorder="1"/>
    <xf numFmtId="0" fontId="0" fillId="12" borderId="5" xfId="0" applyFill="1" applyBorder="1"/>
    <xf numFmtId="2" fontId="0" fillId="12" borderId="7" xfId="0" applyNumberFormat="1" applyFill="1" applyBorder="1"/>
    <xf numFmtId="0" fontId="0" fillId="12" borderId="8" xfId="0" applyFill="1" applyBorder="1"/>
    <xf numFmtId="0" fontId="0" fillId="12" borderId="9" xfId="0" applyFill="1" applyBorder="1"/>
    <xf numFmtId="0" fontId="2" fillId="14" borderId="10" xfId="0" applyFont="1" applyFill="1" applyBorder="1"/>
    <xf numFmtId="0" fontId="2" fillId="14" borderId="3" xfId="0" applyFont="1" applyFill="1" applyBorder="1"/>
    <xf numFmtId="0" fontId="2" fillId="14" borderId="11" xfId="0" applyFont="1" applyFill="1" applyBorder="1"/>
    <xf numFmtId="0" fontId="2" fillId="15" borderId="10" xfId="0" applyFont="1" applyFill="1" applyBorder="1"/>
    <xf numFmtId="0" fontId="2" fillId="15" borderId="3" xfId="0" applyFont="1" applyFill="1" applyBorder="1"/>
    <xf numFmtId="0" fontId="2" fillId="16" borderId="10" xfId="0" applyFont="1" applyFill="1" applyBorder="1"/>
    <xf numFmtId="0" fontId="2" fillId="16" borderId="3" xfId="0" applyFont="1" applyFill="1" applyBorder="1"/>
    <xf numFmtId="0" fontId="2" fillId="16" borderId="11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15" borderId="11" xfId="0" applyFont="1" applyFill="1" applyBorder="1"/>
    <xf numFmtId="2" fontId="2" fillId="16" borderId="3" xfId="0" applyNumberFormat="1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0" borderId="12" xfId="0" applyBorder="1"/>
    <xf numFmtId="0" fontId="0" fillId="12" borderId="5" xfId="0" applyFill="1" applyBorder="1" applyAlignment="1">
      <alignment horizontal="right"/>
    </xf>
    <xf numFmtId="0" fontId="0" fillId="12" borderId="8" xfId="0" applyFill="1" applyBorder="1" applyAlignment="1">
      <alignment horizontal="right"/>
    </xf>
    <xf numFmtId="0" fontId="0" fillId="1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739140</xdr:colOff>
      <xdr:row>0</xdr:row>
      <xdr:rowOff>0</xdr:rowOff>
    </xdr:from>
    <xdr:to>
      <xdr:col>8</xdr:col>
      <xdr:colOff>764427</xdr:colOff>
      <xdr:row>4</xdr:row>
      <xdr:rowOff>133096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4620" y="0"/>
          <a:ext cx="2326527" cy="933196"/>
        </a:xfrm>
        <a:prstGeom prst="rect">
          <a:avLst/>
        </a:prstGeom>
      </xdr:spPr>
    </xdr:pic>
    <xdr:clientData/>
  </xdr:twoCellAnchor>
  <xdr:twoCellAnchor editAs="oneCell">
    <xdr:from>
      <xdr:col>0</xdr:col>
      <xdr:colOff>99059</xdr:colOff>
      <xdr:row>0</xdr:row>
      <xdr:rowOff>81810</xdr:rowOff>
    </xdr:from>
    <xdr:to>
      <xdr:col>4</xdr:col>
      <xdr:colOff>121920</xdr:colOff>
      <xdr:row>3</xdr:row>
      <xdr:rowOff>150269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59" y="81810"/>
          <a:ext cx="3749041" cy="617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65076</xdr:colOff>
      <xdr:row>0</xdr:row>
      <xdr:rowOff>76200</xdr:rowOff>
    </xdr:from>
    <xdr:to>
      <xdr:col>10</xdr:col>
      <xdr:colOff>703467</xdr:colOff>
      <xdr:row>7</xdr:row>
      <xdr:rowOff>178816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436" y="76200"/>
          <a:ext cx="3808311" cy="1527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</xdr:colOff>
      <xdr:row>0</xdr:row>
      <xdr:rowOff>0</xdr:rowOff>
    </xdr:from>
    <xdr:to>
      <xdr:col>2</xdr:col>
      <xdr:colOff>204051</xdr:colOff>
      <xdr:row>1</xdr:row>
      <xdr:rowOff>154711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1316571" cy="528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K8" sqref="K8"/>
    </sheetView>
  </sheetViews>
  <sheetFormatPr baseColWidth="10" defaultRowHeight="14.4" x14ac:dyDescent="0.3"/>
  <cols>
    <col min="2" max="2" width="19.6640625" customWidth="1"/>
    <col min="5" max="5" width="17.88671875" customWidth="1"/>
    <col min="8" max="8" width="22" customWidth="1"/>
  </cols>
  <sheetData>
    <row r="1" spans="1:15" x14ac:dyDescent="0.3">
      <c r="A1" s="15"/>
      <c r="B1" s="15"/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3">
      <c r="A2" s="15"/>
      <c r="B2" s="15"/>
      <c r="C2" s="15"/>
      <c r="D2" s="15"/>
      <c r="E2" s="21" t="s">
        <v>0</v>
      </c>
      <c r="F2" s="22"/>
      <c r="G2" s="22"/>
      <c r="H2" s="15"/>
      <c r="I2" s="15"/>
      <c r="J2" s="15"/>
      <c r="K2" s="15"/>
      <c r="L2" s="15"/>
      <c r="M2" s="15"/>
      <c r="N2" s="15"/>
      <c r="O2" s="15"/>
    </row>
    <row r="3" spans="1:15" x14ac:dyDescent="0.3">
      <c r="A3" s="15"/>
      <c r="B3" s="15"/>
      <c r="C3" s="15"/>
      <c r="D3" s="15"/>
      <c r="E3" s="22"/>
      <c r="F3" s="22"/>
      <c r="G3" s="22"/>
      <c r="H3" s="15"/>
      <c r="I3" s="15"/>
      <c r="J3" s="15"/>
      <c r="K3" s="15"/>
      <c r="L3" s="15"/>
      <c r="M3" s="15"/>
      <c r="N3" s="15"/>
      <c r="O3" s="15"/>
    </row>
    <row r="4" spans="1:15" ht="19.8" x14ac:dyDescent="0.4">
      <c r="A4" s="15"/>
      <c r="B4" s="15"/>
      <c r="C4" s="15"/>
      <c r="D4" s="15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</row>
    <row r="5" spans="1:15" x14ac:dyDescent="0.3">
      <c r="A5" s="15"/>
      <c r="B5" s="15"/>
      <c r="C5" s="15"/>
      <c r="D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3">
      <c r="A6" s="15"/>
      <c r="B6" s="23" t="s">
        <v>1</v>
      </c>
      <c r="C6" s="23"/>
      <c r="D6" s="17"/>
      <c r="E6" s="23" t="s">
        <v>2</v>
      </c>
      <c r="F6" s="23"/>
      <c r="G6" s="17"/>
      <c r="H6" s="23" t="s">
        <v>3</v>
      </c>
      <c r="I6" s="23"/>
      <c r="J6" s="15"/>
      <c r="K6" s="15"/>
      <c r="L6" s="15"/>
      <c r="M6" s="15"/>
      <c r="N6" s="15"/>
      <c r="O6" s="15"/>
    </row>
    <row r="7" spans="1:15" x14ac:dyDescent="0.3">
      <c r="A7" s="15"/>
      <c r="B7" s="2" t="s">
        <v>4</v>
      </c>
      <c r="C7" s="1">
        <v>10</v>
      </c>
      <c r="D7" s="17"/>
      <c r="E7" s="3" t="s">
        <v>5</v>
      </c>
      <c r="F7" s="1">
        <v>10</v>
      </c>
      <c r="G7" s="17"/>
      <c r="H7" s="2" t="s">
        <v>6</v>
      </c>
      <c r="I7" s="1">
        <v>10</v>
      </c>
      <c r="J7" s="15"/>
      <c r="K7" s="15"/>
      <c r="L7" s="15"/>
      <c r="M7" s="15"/>
      <c r="N7" s="15"/>
      <c r="O7" s="15"/>
    </row>
    <row r="8" spans="1:15" x14ac:dyDescent="0.3">
      <c r="A8" s="15"/>
      <c r="B8" s="2" t="s">
        <v>43</v>
      </c>
      <c r="C8" s="1">
        <v>10</v>
      </c>
      <c r="D8" s="17"/>
      <c r="E8" s="3" t="s">
        <v>7</v>
      </c>
      <c r="F8" s="1">
        <v>10</v>
      </c>
      <c r="G8" s="17"/>
      <c r="H8" s="2" t="s">
        <v>8</v>
      </c>
      <c r="I8" s="1">
        <v>10</v>
      </c>
      <c r="J8" s="15"/>
      <c r="K8" s="15"/>
      <c r="L8" s="15"/>
      <c r="M8" s="15"/>
      <c r="N8" s="15"/>
      <c r="O8" s="15"/>
    </row>
    <row r="9" spans="1:15" x14ac:dyDescent="0.3">
      <c r="A9" s="15"/>
      <c r="B9" s="2" t="s">
        <v>7</v>
      </c>
      <c r="C9" s="1">
        <v>10</v>
      </c>
      <c r="D9" s="17"/>
      <c r="E9" s="3" t="s">
        <v>9</v>
      </c>
      <c r="F9" s="1">
        <v>10</v>
      </c>
      <c r="G9" s="17"/>
      <c r="H9" s="2" t="s">
        <v>10</v>
      </c>
      <c r="I9" s="1">
        <v>10</v>
      </c>
      <c r="J9" s="15"/>
      <c r="K9" s="15"/>
      <c r="L9" s="15"/>
      <c r="M9" s="15"/>
      <c r="N9" s="15"/>
      <c r="O9" s="15"/>
    </row>
    <row r="10" spans="1:15" x14ac:dyDescent="0.3">
      <c r="A10" s="15"/>
      <c r="B10" s="2" t="s">
        <v>10</v>
      </c>
      <c r="C10" s="1">
        <v>10</v>
      </c>
      <c r="D10" s="17"/>
      <c r="E10" s="17"/>
      <c r="F10" s="17"/>
      <c r="G10" s="17"/>
      <c r="H10" s="2" t="s">
        <v>9</v>
      </c>
      <c r="I10" s="1">
        <v>10</v>
      </c>
      <c r="J10" s="15"/>
      <c r="K10" s="15"/>
      <c r="L10" s="15"/>
      <c r="M10" s="15"/>
      <c r="N10" s="15"/>
      <c r="O10" s="15"/>
    </row>
    <row r="11" spans="1:15" x14ac:dyDescent="0.3">
      <c r="A11" s="15"/>
      <c r="B11" s="2" t="s">
        <v>11</v>
      </c>
      <c r="C11" s="1">
        <v>10</v>
      </c>
      <c r="D11" s="17"/>
      <c r="E11" s="17"/>
      <c r="F11" s="1"/>
      <c r="G11" s="17"/>
      <c r="H11" s="1"/>
      <c r="I11" s="17"/>
      <c r="J11" s="15"/>
      <c r="K11" s="15"/>
      <c r="L11" s="15"/>
      <c r="M11" s="15"/>
      <c r="N11" s="15"/>
      <c r="O11" s="15"/>
    </row>
    <row r="12" spans="1:15" x14ac:dyDescent="0.3">
      <c r="A12" s="15"/>
      <c r="B12" s="2" t="s">
        <v>9</v>
      </c>
      <c r="C12" s="1">
        <v>10</v>
      </c>
      <c r="D12" s="17"/>
      <c r="E12" s="17"/>
      <c r="F12" s="17"/>
      <c r="G12" s="17"/>
      <c r="H12" s="17"/>
      <c r="I12" s="17"/>
      <c r="J12" s="15"/>
      <c r="K12" s="15"/>
      <c r="L12" s="15"/>
      <c r="M12" s="15"/>
      <c r="N12" s="15"/>
      <c r="O12" s="15"/>
    </row>
    <row r="13" spans="1:15" x14ac:dyDescent="0.3">
      <c r="A13" s="15"/>
      <c r="B13" s="17"/>
      <c r="C13" s="17"/>
      <c r="D13" s="17"/>
      <c r="E13" s="17"/>
      <c r="F13" s="17"/>
      <c r="G13" s="17"/>
      <c r="H13" s="17"/>
      <c r="I13" s="17"/>
      <c r="J13" s="15"/>
      <c r="K13" s="15"/>
      <c r="L13" s="15"/>
      <c r="M13" s="15"/>
      <c r="N13" s="15"/>
      <c r="O13" s="15"/>
    </row>
    <row r="14" spans="1:15" x14ac:dyDescent="0.3">
      <c r="A14" s="15"/>
      <c r="B14" s="17"/>
      <c r="C14" s="17"/>
      <c r="D14" s="17"/>
      <c r="E14" s="17"/>
      <c r="F14" s="17"/>
      <c r="G14" s="17"/>
      <c r="H14" s="17"/>
      <c r="I14" s="17"/>
      <c r="J14" s="15"/>
      <c r="K14" s="15"/>
      <c r="L14" s="15"/>
      <c r="M14" s="15"/>
      <c r="N14" s="15"/>
      <c r="O14" s="15"/>
    </row>
    <row r="15" spans="1:15" x14ac:dyDescent="0.3">
      <c r="A15" s="15"/>
      <c r="B15" s="17"/>
      <c r="C15" s="17"/>
      <c r="D15" s="17"/>
      <c r="E15" s="17"/>
      <c r="F15" s="17"/>
      <c r="G15" s="17"/>
      <c r="H15" s="17"/>
      <c r="I15" s="17"/>
      <c r="J15" s="15"/>
      <c r="K15" s="15"/>
      <c r="L15" s="15"/>
      <c r="M15" s="15"/>
      <c r="N15" s="15"/>
      <c r="O15" s="15"/>
    </row>
    <row r="16" spans="1:15" x14ac:dyDescent="0.3">
      <c r="A16" s="15"/>
      <c r="B16" s="23" t="s">
        <v>12</v>
      </c>
      <c r="C16" s="23"/>
      <c r="D16" s="17"/>
      <c r="E16" s="23" t="s">
        <v>13</v>
      </c>
      <c r="F16" s="23"/>
      <c r="G16" s="17"/>
      <c r="H16" s="23" t="s">
        <v>14</v>
      </c>
      <c r="I16" s="24"/>
      <c r="J16" s="15"/>
      <c r="K16" s="15"/>
      <c r="L16" s="15"/>
      <c r="M16" s="15"/>
      <c r="N16" s="15"/>
      <c r="O16" s="15"/>
    </row>
    <row r="17" spans="1:15" x14ac:dyDescent="0.3">
      <c r="A17" s="15"/>
      <c r="B17" s="2" t="s">
        <v>44</v>
      </c>
      <c r="C17" s="1">
        <v>10</v>
      </c>
      <c r="D17" s="17"/>
      <c r="E17" s="2" t="s">
        <v>44</v>
      </c>
      <c r="F17" s="1">
        <v>10</v>
      </c>
      <c r="G17" s="17"/>
      <c r="H17" s="2" t="s">
        <v>6</v>
      </c>
      <c r="I17" s="1">
        <v>10</v>
      </c>
      <c r="J17" s="15"/>
      <c r="K17" s="15"/>
      <c r="L17" s="15"/>
      <c r="M17" s="15"/>
      <c r="N17" s="15"/>
      <c r="O17" s="15"/>
    </row>
    <row r="18" spans="1:15" x14ac:dyDescent="0.3">
      <c r="A18" s="15"/>
      <c r="B18" s="2" t="s">
        <v>9</v>
      </c>
      <c r="C18" s="1">
        <v>10</v>
      </c>
      <c r="D18" s="17"/>
      <c r="E18" s="2" t="s">
        <v>9</v>
      </c>
      <c r="F18" s="1">
        <v>10</v>
      </c>
      <c r="G18" s="17"/>
      <c r="H18" s="2" t="s">
        <v>5</v>
      </c>
      <c r="I18" s="1">
        <v>10</v>
      </c>
      <c r="J18" s="15"/>
      <c r="K18" s="15"/>
      <c r="L18" s="15"/>
      <c r="M18" s="15"/>
      <c r="N18" s="15"/>
      <c r="O18" s="15"/>
    </row>
    <row r="19" spans="1:15" x14ac:dyDescent="0.3">
      <c r="A19" s="15"/>
      <c r="B19" s="2" t="s">
        <v>15</v>
      </c>
      <c r="C19" s="1">
        <v>10</v>
      </c>
      <c r="D19" s="17"/>
      <c r="E19" s="2" t="s">
        <v>15</v>
      </c>
      <c r="F19" s="1">
        <v>10</v>
      </c>
      <c r="G19" s="17"/>
      <c r="H19" s="2" t="s">
        <v>9</v>
      </c>
      <c r="I19" s="1">
        <v>10</v>
      </c>
      <c r="J19" s="15"/>
      <c r="K19" s="15"/>
      <c r="L19" s="15"/>
      <c r="M19" s="15"/>
      <c r="N19" s="15"/>
      <c r="O19" s="15"/>
    </row>
    <row r="20" spans="1:15" x14ac:dyDescent="0.3">
      <c r="A20" s="15"/>
      <c r="B20" s="17"/>
      <c r="C20" s="17"/>
      <c r="D20" s="17"/>
      <c r="E20" s="17"/>
      <c r="F20" s="17"/>
      <c r="G20" s="17"/>
      <c r="H20" s="17"/>
      <c r="I20" s="17"/>
      <c r="J20" s="15"/>
      <c r="K20" s="15"/>
      <c r="L20" s="15"/>
      <c r="M20" s="15"/>
      <c r="N20" s="15"/>
      <c r="O20" s="15"/>
    </row>
    <row r="21" spans="1:15" x14ac:dyDescent="0.3">
      <c r="A21" s="15"/>
      <c r="B21" s="17"/>
      <c r="C21" s="17"/>
      <c r="D21" s="17"/>
      <c r="E21" s="17"/>
      <c r="F21" s="17"/>
      <c r="G21" s="17"/>
      <c r="H21" s="17"/>
      <c r="I21" s="17"/>
      <c r="J21" s="15"/>
      <c r="K21" s="15"/>
      <c r="L21" s="15"/>
      <c r="M21" s="15"/>
      <c r="N21" s="15"/>
      <c r="O21" s="15"/>
    </row>
    <row r="22" spans="1:15" x14ac:dyDescent="0.3">
      <c r="A22" s="15"/>
      <c r="B22" s="17"/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5" x14ac:dyDescent="0.3">
      <c r="A23" s="18" t="s">
        <v>16</v>
      </c>
      <c r="B23" s="17"/>
      <c r="C23" s="17"/>
      <c r="D23" s="20" t="s">
        <v>46</v>
      </c>
      <c r="E23" s="20"/>
      <c r="F23" s="20"/>
      <c r="G23" s="20"/>
      <c r="H23" s="20"/>
      <c r="I23" s="17"/>
      <c r="J23" s="15"/>
      <c r="K23" s="15"/>
      <c r="L23" s="15"/>
      <c r="M23" s="15"/>
      <c r="N23" s="15"/>
      <c r="O23" s="15"/>
    </row>
    <row r="24" spans="1:15" x14ac:dyDescent="0.3">
      <c r="A24" s="15"/>
      <c r="B24" s="15"/>
      <c r="C24" s="15"/>
      <c r="D24" s="20"/>
      <c r="E24" s="20"/>
      <c r="F24" s="20"/>
      <c r="G24" s="20"/>
      <c r="H24" s="20"/>
      <c r="I24" s="15"/>
      <c r="J24" s="15"/>
      <c r="K24" s="15"/>
      <c r="L24" s="15"/>
      <c r="M24" s="15"/>
      <c r="N24" s="15"/>
      <c r="O24" s="15"/>
    </row>
    <row r="25" spans="1:15" x14ac:dyDescent="0.3">
      <c r="A25" s="15"/>
      <c r="B25" s="15"/>
      <c r="C25" s="15"/>
      <c r="D25" s="20"/>
      <c r="E25" s="20"/>
      <c r="F25" s="20"/>
      <c r="G25" s="20"/>
      <c r="H25" s="20"/>
      <c r="I25" s="15"/>
      <c r="J25" s="15"/>
      <c r="K25" s="15"/>
      <c r="L25" s="15"/>
      <c r="M25" s="15"/>
      <c r="N25" s="15"/>
      <c r="O25" s="15"/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</sheetData>
  <protectedRanges>
    <protectedRange sqref="C7:C12 F7:F9 I7:I10 I17:I19 F17:F19 C17:C19" name="Maths"/>
  </protectedRanges>
  <mergeCells count="8">
    <mergeCell ref="D23:H25"/>
    <mergeCell ref="E2:G3"/>
    <mergeCell ref="B6:C6"/>
    <mergeCell ref="E6:F6"/>
    <mergeCell ref="H6:I6"/>
    <mergeCell ref="B16:C16"/>
    <mergeCell ref="E16:F16"/>
    <mergeCell ref="H16:I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I7" sqref="I7"/>
    </sheetView>
  </sheetViews>
  <sheetFormatPr baseColWidth="10" defaultRowHeight="14.4" x14ac:dyDescent="0.3"/>
  <cols>
    <col min="1" max="1" width="24.88671875" customWidth="1"/>
    <col min="2" max="2" width="22.33203125" customWidth="1"/>
    <col min="3" max="3" width="28.88671875" customWidth="1"/>
    <col min="4" max="5" width="16.44140625" customWidth="1"/>
    <col min="6" max="6" width="16.33203125" customWidth="1"/>
  </cols>
  <sheetData>
    <row r="1" spans="1:19" ht="24.75" customHeight="1" x14ac:dyDescent="0.3">
      <c r="A1" s="15"/>
      <c r="B1" s="15"/>
      <c r="C1" s="27" t="s">
        <v>17</v>
      </c>
      <c r="D1" s="27"/>
      <c r="E1" s="27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5"/>
      <c r="B3" s="4" t="s">
        <v>18</v>
      </c>
      <c r="C3" s="4" t="s">
        <v>67</v>
      </c>
      <c r="D3" s="4" t="s">
        <v>19</v>
      </c>
      <c r="E3" s="4" t="s">
        <v>47</v>
      </c>
      <c r="F3" s="5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">
      <c r="A4" s="15"/>
      <c r="B4" s="6" t="s">
        <v>21</v>
      </c>
      <c r="C4" s="7">
        <v>14.04</v>
      </c>
      <c r="D4" s="19">
        <f>(6*(Notes!C7)+5*(Notes!C8)+6*(Notes!F7)+4*(Notes!I7)+4*(Notes!C17)+2*(Notes!F17)+3*(Notes!I17))/30</f>
        <v>10</v>
      </c>
      <c r="E4" s="8">
        <f>D4*30</f>
        <v>300</v>
      </c>
      <c r="F4" s="9" t="str">
        <f t="shared" ref="F4:F26" si="0">IF($D4&gt;=$C4,"Oui","Non")</f>
        <v>Non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15"/>
      <c r="B5" s="6" t="s">
        <v>22</v>
      </c>
      <c r="C5" s="7">
        <v>13.2</v>
      </c>
      <c r="D5" s="19">
        <f>(25*(Notes!C7)+20*(Notes!I9)+15*(Notes!F8)+10*(Notes!C17))/70</f>
        <v>10</v>
      </c>
      <c r="E5" s="8" t="s">
        <v>48</v>
      </c>
      <c r="F5" s="10" t="str">
        <f t="shared" si="0"/>
        <v>Non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15"/>
      <c r="B6" s="6" t="s">
        <v>23</v>
      </c>
      <c r="C6" s="7">
        <v>13.34</v>
      </c>
      <c r="D6" s="19">
        <f>(Notes!C9*6+Notes!C8*5+Notes!F8*6+Notes!I8*5+4*Notes!C17+2*Notes!F17+2*Notes!I17)/30</f>
        <v>10</v>
      </c>
      <c r="E6" s="8">
        <f t="shared" ref="E6:E11" si="1">D6*30</f>
        <v>300</v>
      </c>
      <c r="F6" s="10" t="str">
        <f t="shared" si="0"/>
        <v>Non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15"/>
      <c r="B7" s="6" t="s">
        <v>24</v>
      </c>
      <c r="C7" s="7">
        <v>13.1</v>
      </c>
      <c r="D7" s="19">
        <f>(Notes!C7*6+4*Notes!C8+Notes!F7*5+4*Notes!I7+5*Notes!C17+3*Notes!F17+3*Notes!I18)/30</f>
        <v>10</v>
      </c>
      <c r="E7" s="8">
        <f t="shared" si="1"/>
        <v>300</v>
      </c>
      <c r="F7" s="10" t="str">
        <f t="shared" si="0"/>
        <v>Non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15"/>
      <c r="B8" s="11" t="s">
        <v>25</v>
      </c>
      <c r="C8" s="7">
        <v>12.58</v>
      </c>
      <c r="D8" s="19">
        <f>(6*Notes!C10+3*Notes!C8+5*Notes!F7+5*Notes!I9+5*Notes!C17+3*Notes!F17+3*Notes!I17)/30</f>
        <v>10</v>
      </c>
      <c r="E8" s="8">
        <f t="shared" si="1"/>
        <v>300</v>
      </c>
      <c r="F8" s="10" t="str">
        <f t="shared" si="0"/>
        <v>Non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15"/>
      <c r="B9" s="11" t="s">
        <v>26</v>
      </c>
      <c r="C9" s="7">
        <v>12.3</v>
      </c>
      <c r="D9" s="19">
        <f>(8*Notes!C11+2*Notes!C8+5*Notes!F7+5*Notes!I8+5*Notes!C17+3*Notes!I17+2*Notes!F17)/30</f>
        <v>10</v>
      </c>
      <c r="E9" s="8">
        <f t="shared" si="1"/>
        <v>300</v>
      </c>
      <c r="F9" s="10" t="str">
        <f t="shared" si="0"/>
        <v>Non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15"/>
      <c r="B10" s="11" t="s">
        <v>27</v>
      </c>
      <c r="C10" s="7">
        <v>11.5</v>
      </c>
      <c r="D10" s="19">
        <f>(8*Notes!C11+5*Notes!F7+5*Notes!I7+5*Notes!C17+3*Notes!F17+4*Notes!I17)/30</f>
        <v>10</v>
      </c>
      <c r="E10" s="8">
        <f t="shared" si="1"/>
        <v>300</v>
      </c>
      <c r="F10" s="10" t="str">
        <f t="shared" si="0"/>
        <v>Non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15"/>
      <c r="B11" s="12" t="s">
        <v>28</v>
      </c>
      <c r="C11" s="7">
        <v>11.5</v>
      </c>
      <c r="D11" s="19">
        <f>(8*Notes!C11+6*Notes!F7+Notes!I9*2+6*Notes!C17+5*Notes!F17+3*Notes!I17)/30</f>
        <v>10</v>
      </c>
      <c r="E11" s="8">
        <f t="shared" si="1"/>
        <v>300</v>
      </c>
      <c r="F11" s="10" t="str">
        <f t="shared" si="0"/>
        <v>Non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15"/>
      <c r="B12" s="12" t="s">
        <v>39</v>
      </c>
      <c r="C12" s="7">
        <v>11.25</v>
      </c>
      <c r="D12" s="19">
        <f>(Notes!C12*6+5*Notes!F9+4*Notes!I10+4*Notes!C18+3*Notes!F18+3*Notes!I19)/25</f>
        <v>10</v>
      </c>
      <c r="E12" s="8">
        <f>D12*25</f>
        <v>250</v>
      </c>
      <c r="F12" s="10" t="str">
        <f t="shared" si="0"/>
        <v>Non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A13" s="15"/>
      <c r="B13" s="12" t="s">
        <v>40</v>
      </c>
      <c r="C13" s="7">
        <v>10.7</v>
      </c>
      <c r="D13" s="19">
        <f>(Notes!C11*8+Notes!F7*6+4*Notes!I9+5*Notes!C17+4*Notes!F17+3*Notes!I18)/30</f>
        <v>10</v>
      </c>
      <c r="E13" s="8">
        <f>D13*30</f>
        <v>300</v>
      </c>
      <c r="F13" s="10" t="str">
        <f t="shared" si="0"/>
        <v>Non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3">
      <c r="A14" s="15"/>
      <c r="B14" s="13" t="s">
        <v>41</v>
      </c>
      <c r="C14" s="7">
        <v>9.9</v>
      </c>
      <c r="D14" s="19">
        <f>(Notes!C12*5+5*Notes!F9+5*Notes!I10+4*Notes!C18+3*Notes!F18+3*Notes!I19)/25</f>
        <v>10</v>
      </c>
      <c r="E14" s="8">
        <f>D14*25</f>
        <v>250</v>
      </c>
      <c r="F14" s="10" t="str">
        <f t="shared" si="0"/>
        <v>Oui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15"/>
      <c r="B15" s="13" t="s">
        <v>42</v>
      </c>
      <c r="C15" s="7">
        <v>9.1</v>
      </c>
      <c r="D15" s="19">
        <f>(Notes!C10*5+4*Notes!F7+5*Notes!I9+6*Notes!C17+5*Notes!F17+5*Notes!I18)/30</f>
        <v>10</v>
      </c>
      <c r="E15" s="8">
        <f>D15*30</f>
        <v>300</v>
      </c>
      <c r="F15" s="10" t="str">
        <f>IF($D15&gt;=$C15,"Oui","Non")</f>
        <v>Oui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15"/>
      <c r="B16" s="13" t="s">
        <v>29</v>
      </c>
      <c r="C16" s="7">
        <v>9</v>
      </c>
      <c r="D16" s="19">
        <f>(Notes!C10*6+6*Notes!F7+5*Notes!I9+6*Notes!C19+3*Notes!F19+4*Notes!I18)/30</f>
        <v>10</v>
      </c>
      <c r="E16" s="8">
        <f t="shared" ref="E16:E26" si="2">D16*30</f>
        <v>300</v>
      </c>
      <c r="F16" s="10" t="str">
        <f t="shared" si="0"/>
        <v>Oui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15"/>
      <c r="B17" s="13" t="s">
        <v>62</v>
      </c>
      <c r="C17" s="7">
        <v>8.6</v>
      </c>
      <c r="D17" s="19">
        <f>(Notes!C11*6+6*Notes!F7+4*Notes!I9+6*Notes!C19+4*Notes!F19+4*Notes!I17)/30</f>
        <v>10</v>
      </c>
      <c r="E17" s="8">
        <f t="shared" si="2"/>
        <v>300</v>
      </c>
      <c r="F17" s="10" t="str">
        <f t="shared" si="0"/>
        <v>Oui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5"/>
      <c r="B18" s="13" t="s">
        <v>32</v>
      </c>
      <c r="C18" s="7">
        <v>8.1</v>
      </c>
      <c r="D18" s="19">
        <f>(4*Notes!C10+5*Notes!F7+5*Notes!I9+6*Notes!C17+5*Notes!F17+5*Notes!I17)/30</f>
        <v>10</v>
      </c>
      <c r="E18" s="8">
        <f t="shared" si="2"/>
        <v>300</v>
      </c>
      <c r="F18" s="10" t="str">
        <f t="shared" si="0"/>
        <v>Oui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5"/>
      <c r="B19" s="13" t="s">
        <v>31</v>
      </c>
      <c r="C19" s="7">
        <v>8.1</v>
      </c>
      <c r="D19" s="19">
        <f>(5*Notes!C10+5*Notes!F7+4*Notes!I9+8*Notes!C19+5*Notes!F19+3*Notes!I17)/30</f>
        <v>10</v>
      </c>
      <c r="E19" s="8">
        <f t="shared" si="2"/>
        <v>300</v>
      </c>
      <c r="F19" s="10" t="str">
        <f t="shared" si="0"/>
        <v>Oui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5"/>
      <c r="B20" s="13" t="s">
        <v>30</v>
      </c>
      <c r="C20" s="7">
        <v>8</v>
      </c>
      <c r="D20" s="19">
        <f>(Notes!C12*5+5*Notes!F9+5*Notes!I10+4*Notes!C18+3*Notes!F18+3*Notes!I19)/25</f>
        <v>10</v>
      </c>
      <c r="E20" s="8">
        <f t="shared" si="2"/>
        <v>300</v>
      </c>
      <c r="F20" s="10" t="str">
        <f t="shared" si="0"/>
        <v>Oui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5"/>
      <c r="B21" s="14" t="s">
        <v>34</v>
      </c>
      <c r="C21" s="7">
        <v>7.2</v>
      </c>
      <c r="D21" s="19">
        <f>(4*Notes!C10+6*Notes!F7+6*Notes!I9+7*Notes!C19+4*Notes!F19+3*Notes!I17)/30</f>
        <v>10</v>
      </c>
      <c r="E21" s="8">
        <f>D21*30</f>
        <v>300</v>
      </c>
      <c r="F21" s="10" t="str">
        <f>IF($D21&gt;=$C21,"Oui","Non")</f>
        <v>Oui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3">
      <c r="A22" s="15"/>
      <c r="B22" s="14" t="s">
        <v>33</v>
      </c>
      <c r="C22" s="7">
        <v>7.01</v>
      </c>
      <c r="D22" s="19">
        <f>(5*Notes!C10+6*Notes!F7+4*Notes!I9+7*Notes!C19+5*Notes!F19+3*Notes!I17)/30</f>
        <v>10</v>
      </c>
      <c r="E22" s="8">
        <f t="shared" si="2"/>
        <v>300</v>
      </c>
      <c r="F22" s="10" t="str">
        <f t="shared" si="0"/>
        <v>Oui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3">
      <c r="A23" s="15"/>
      <c r="B23" s="14" t="s">
        <v>70</v>
      </c>
      <c r="C23" s="7">
        <v>6.61</v>
      </c>
      <c r="D23" s="19">
        <f>(4*Notes!C10+5*Notes!F7+5*Notes!I9+7*Notes!C19+6*Notes!F19+3*Notes!I17)/30</f>
        <v>10</v>
      </c>
      <c r="E23" s="8">
        <f>D23*30</f>
        <v>300</v>
      </c>
      <c r="F23" s="10" t="str">
        <f>IF($D23&gt;=$C23,"Oui","Non")</f>
        <v>Oui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3">
      <c r="A24" s="15"/>
      <c r="B24" s="14" t="s">
        <v>68</v>
      </c>
      <c r="C24" s="7">
        <v>6.5</v>
      </c>
      <c r="D24" s="19">
        <f>(4*Notes!C10+6*Notes!F7+6*Notes!I9+7*Notes!C19+3*Notes!F19+4*Notes!I17)/30</f>
        <v>10</v>
      </c>
      <c r="E24" s="8">
        <f>D24*30</f>
        <v>300</v>
      </c>
      <c r="F24" s="10" t="str">
        <f>IF($D24&gt;=$C24,"Oui","Non")</f>
        <v>Oui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15"/>
      <c r="B25" s="14" t="s">
        <v>35</v>
      </c>
      <c r="C25" s="7">
        <v>6.1</v>
      </c>
      <c r="D25" s="19">
        <f>(4*Notes!C10+5*Notes!F7+5*Notes!I9+8*Notes!C19+5*Notes!F19+3*Notes!I17)/30</f>
        <v>10</v>
      </c>
      <c r="E25" s="8">
        <f t="shared" si="2"/>
        <v>300</v>
      </c>
      <c r="F25" s="10" t="str">
        <f t="shared" si="0"/>
        <v>Oui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">
      <c r="A26" s="15"/>
      <c r="B26" s="14" t="s">
        <v>36</v>
      </c>
      <c r="C26" s="7">
        <v>6</v>
      </c>
      <c r="D26" s="19">
        <f>(6*Notes!C10+5*Notes!F7+4*Notes!I9+7*Notes!C19+5*Notes!F19+3*Notes!I17)/30</f>
        <v>10</v>
      </c>
      <c r="E26" s="8">
        <f t="shared" si="2"/>
        <v>300</v>
      </c>
      <c r="F26" s="10" t="str">
        <f t="shared" si="0"/>
        <v>Oui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">
      <c r="A27" s="15"/>
      <c r="B27" s="14" t="s">
        <v>69</v>
      </c>
      <c r="C27" s="7">
        <v>6</v>
      </c>
      <c r="D27" s="19">
        <f>(5*Notes!C10+6*Notes!F7+4*Notes!I9+7*Notes!C19+5*Notes!F19+3*Notes!I17)/30</f>
        <v>10</v>
      </c>
      <c r="E27" s="8">
        <f>D27*30</f>
        <v>300</v>
      </c>
      <c r="F27" s="10" t="str">
        <f>IF($D27&gt;=$C27,"Oui","Non")</f>
        <v>Oui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">
      <c r="A28" s="15"/>
      <c r="B28" s="14" t="s">
        <v>38</v>
      </c>
      <c r="C28" s="7">
        <v>5.7</v>
      </c>
      <c r="D28" s="19">
        <f>(4*Notes!C10+3*Notes!F7+7*Notes!I9+9*Notes!C19+4*Notes!F19+3*Notes!I17)/30</f>
        <v>10</v>
      </c>
      <c r="E28" s="8">
        <f>D28*30</f>
        <v>300</v>
      </c>
      <c r="F28" s="10" t="str">
        <f>IF($D28&gt;=$C28,"Oui","Non")</f>
        <v>Oui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">
      <c r="A29" s="15"/>
      <c r="B29" s="14" t="s">
        <v>45</v>
      </c>
      <c r="C29" s="7">
        <v>5.51</v>
      </c>
      <c r="D29" s="19">
        <f>(4*Notes!C10+5*Notes!F7+5*Notes!I9+8*Notes!C19+5*Notes!F19+3*Notes!I17)/30</f>
        <v>10</v>
      </c>
      <c r="E29" s="8">
        <f>D29*30</f>
        <v>300</v>
      </c>
      <c r="F29" s="10" t="str">
        <f>IF($D29&gt;=$C29,"Oui","Non")</f>
        <v>Oui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">
      <c r="A30" s="15"/>
      <c r="B30" s="14" t="s">
        <v>37</v>
      </c>
      <c r="C30" s="7">
        <v>5.35</v>
      </c>
      <c r="D30" s="19">
        <f>(4*Notes!C10+5*Notes!F7+4*Notes!I9+8*Notes!C19+5*Notes!F19+4*Notes!I17)/30</f>
        <v>10</v>
      </c>
      <c r="E30" s="8">
        <f>D30*30</f>
        <v>300</v>
      </c>
      <c r="F30" s="10" t="str">
        <f>IF($D30&gt;=$C30,"Oui","Non")</f>
        <v>Oui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</sheetData>
  <mergeCells count="1">
    <mergeCell ref="C1:E1"/>
  </mergeCells>
  <conditionalFormatting sqref="D4:E4">
    <cfRule type="iconSet" priority="13">
      <iconSet iconSet="3Symbols2">
        <cfvo type="percent" val="0"/>
        <cfvo type="percent" val="&quot;Non&quot;"/>
        <cfvo type="percent" val="&quot;Oui&quot;"/>
      </iconSet>
    </cfRule>
  </conditionalFormatting>
  <conditionalFormatting sqref="F4">
    <cfRule type="expression" priority="10">
      <formula>IF($D4&gt;=$C4,"10","1")</formula>
    </cfRule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7">
      <dataBar>
        <cfvo type="min"/>
        <cfvo type="max"/>
        <color rgb="FF638EC6"/>
      </dataBar>
    </cfRule>
    <cfRule type="iconSet" priority="8">
      <iconSet iconSet="3Symbols2">
        <cfvo type="percent" val="0"/>
        <cfvo type="percent" val="&quot;Non&quot;"/>
        <cfvo type="percent" val="&quot;Oui&quot;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5">
      <iconSet iconSet="3Symbols">
        <cfvo type="percent" val="0"/>
        <cfvo type="num" val="0"/>
        <cfvo type="num" val="1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4:C30">
    <cfRule type="iconSet" priority="1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30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B4:B30">
    <cfRule type="colorScale" priority="1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ignoredErrors>
    <ignoredError sqref="D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workbookViewId="0">
      <selection activeCell="F8" sqref="F8"/>
    </sheetView>
  </sheetViews>
  <sheetFormatPr baseColWidth="10" defaultRowHeight="14.4" x14ac:dyDescent="0.3"/>
  <cols>
    <col min="2" max="2" width="21.5546875" customWidth="1"/>
    <col min="3" max="5" width="14.6640625" customWidth="1"/>
    <col min="7" max="7" width="16.88671875" customWidth="1"/>
    <col min="8" max="8" width="11.5546875" bestFit="1" customWidth="1"/>
    <col min="9" max="9" width="12.88671875" customWidth="1"/>
    <col min="10" max="10" width="13.88671875" customWidth="1"/>
  </cols>
  <sheetData>
    <row r="1" spans="1:19" ht="29.4" customHeight="1" x14ac:dyDescent="0.3">
      <c r="A1" s="15"/>
      <c r="B1" s="15"/>
      <c r="C1" s="15"/>
      <c r="D1" s="15"/>
      <c r="E1" s="28" t="s">
        <v>63</v>
      </c>
      <c r="F1" s="28"/>
      <c r="G1" s="28"/>
      <c r="H1" s="2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4.4" customHeight="1" x14ac:dyDescent="0.3">
      <c r="A3" s="15"/>
      <c r="B3" s="52" t="s">
        <v>58</v>
      </c>
      <c r="C3" s="53"/>
      <c r="D3" s="53"/>
      <c r="E3" s="54"/>
      <c r="F3" s="34"/>
      <c r="G3" s="47" t="s">
        <v>71</v>
      </c>
      <c r="H3" s="48"/>
      <c r="I3" s="48"/>
      <c r="J3" s="48"/>
      <c r="K3" s="49"/>
      <c r="L3" s="15"/>
      <c r="M3" s="15"/>
      <c r="N3" s="15"/>
      <c r="O3" s="15"/>
      <c r="P3" s="15"/>
      <c r="Q3" s="15"/>
      <c r="R3" s="15"/>
      <c r="S3" s="15"/>
    </row>
    <row r="4" spans="1:19" ht="14.4" customHeight="1" x14ac:dyDescent="0.3">
      <c r="A4" s="15"/>
      <c r="B4" s="87"/>
      <c r="C4" s="88"/>
      <c r="D4" s="88"/>
      <c r="E4" s="89"/>
      <c r="F4" s="34"/>
      <c r="G4" s="90"/>
      <c r="H4" s="91"/>
      <c r="I4" s="91"/>
      <c r="J4" s="91"/>
      <c r="K4" s="92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15"/>
      <c r="B5" s="33"/>
      <c r="C5" s="29" t="s">
        <v>21</v>
      </c>
      <c r="D5" s="29" t="s">
        <v>23</v>
      </c>
      <c r="E5" s="38" t="s">
        <v>49</v>
      </c>
      <c r="F5" s="35"/>
      <c r="G5" s="50"/>
      <c r="H5" s="29" t="s">
        <v>25</v>
      </c>
      <c r="I5" s="29" t="s">
        <v>26</v>
      </c>
      <c r="J5" s="29" t="s">
        <v>27</v>
      </c>
      <c r="K5" s="38" t="s">
        <v>61</v>
      </c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15"/>
      <c r="B6" s="74" t="s">
        <v>1</v>
      </c>
      <c r="C6" s="30">
        <v>7</v>
      </c>
      <c r="D6" s="30"/>
      <c r="E6" s="39">
        <v>11</v>
      </c>
      <c r="F6" s="34"/>
      <c r="G6" s="74" t="s">
        <v>52</v>
      </c>
      <c r="H6" s="30">
        <v>10</v>
      </c>
      <c r="I6" s="30">
        <v>10</v>
      </c>
      <c r="J6" s="30">
        <v>10</v>
      </c>
      <c r="K6" s="39">
        <v>10</v>
      </c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15"/>
      <c r="B7" s="75" t="s">
        <v>12</v>
      </c>
      <c r="C7" s="30">
        <v>14</v>
      </c>
      <c r="D7" s="30">
        <v>10</v>
      </c>
      <c r="E7" s="39">
        <v>10</v>
      </c>
      <c r="F7" s="34"/>
      <c r="G7" s="75" t="s">
        <v>12</v>
      </c>
      <c r="H7" s="30">
        <v>10</v>
      </c>
      <c r="I7" s="30">
        <v>10</v>
      </c>
      <c r="J7" s="30">
        <v>10</v>
      </c>
      <c r="K7" s="39">
        <v>10</v>
      </c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15"/>
      <c r="B8" s="75" t="s">
        <v>13</v>
      </c>
      <c r="C8" s="30">
        <v>13.5</v>
      </c>
      <c r="D8" s="30">
        <v>10</v>
      </c>
      <c r="E8" s="39">
        <v>15</v>
      </c>
      <c r="F8" s="34"/>
      <c r="G8" s="76" t="s">
        <v>13</v>
      </c>
      <c r="H8" s="30">
        <v>10</v>
      </c>
      <c r="I8" s="30">
        <v>10</v>
      </c>
      <c r="J8" s="30">
        <v>10</v>
      </c>
      <c r="K8" s="39">
        <v>10</v>
      </c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15"/>
      <c r="B9" s="75" t="s">
        <v>64</v>
      </c>
      <c r="C9" s="30">
        <v>16</v>
      </c>
      <c r="D9" s="30"/>
      <c r="E9" s="39"/>
      <c r="F9" s="34"/>
      <c r="G9" s="31"/>
      <c r="H9" s="30"/>
      <c r="I9" s="30"/>
      <c r="J9" s="30"/>
      <c r="K9" s="39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15"/>
      <c r="B10" s="75" t="s">
        <v>50</v>
      </c>
      <c r="C10" s="30">
        <v>17</v>
      </c>
      <c r="D10" s="30"/>
      <c r="E10" s="39"/>
      <c r="F10" s="34"/>
      <c r="G10" s="32"/>
      <c r="H10" s="30"/>
      <c r="I10" s="30"/>
      <c r="J10" s="30"/>
      <c r="K10" s="43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15"/>
      <c r="B11" s="75" t="s">
        <v>51</v>
      </c>
      <c r="C11" s="30">
        <v>12</v>
      </c>
      <c r="D11" s="30"/>
      <c r="E11" s="39"/>
      <c r="F11" s="34"/>
      <c r="G11" s="32"/>
      <c r="H11" s="30"/>
      <c r="I11" s="30"/>
      <c r="J11" s="30"/>
      <c r="K11" s="39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15"/>
      <c r="B12" s="75" t="s">
        <v>52</v>
      </c>
      <c r="C12" s="30"/>
      <c r="D12" s="30">
        <v>10</v>
      </c>
      <c r="E12" s="39">
        <v>18</v>
      </c>
      <c r="F12" s="34"/>
      <c r="G12" s="31"/>
      <c r="H12" s="30"/>
      <c r="I12" s="30"/>
      <c r="J12" s="30"/>
      <c r="K12" s="39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A13" s="15"/>
      <c r="B13" s="76" t="s">
        <v>57</v>
      </c>
      <c r="C13" s="30"/>
      <c r="D13" s="30">
        <v>10</v>
      </c>
      <c r="E13" s="39"/>
      <c r="F13" s="34"/>
      <c r="G13" s="32"/>
      <c r="H13" s="30"/>
      <c r="I13" s="30"/>
      <c r="J13" s="30"/>
      <c r="K13" s="39"/>
      <c r="L13" s="15"/>
      <c r="M13" s="15"/>
      <c r="N13" s="15"/>
      <c r="O13" s="15"/>
      <c r="P13" s="15"/>
      <c r="Q13" s="15"/>
      <c r="R13" s="15"/>
      <c r="S13" s="15"/>
    </row>
    <row r="14" spans="1:19" x14ac:dyDescent="0.3">
      <c r="A14" s="15"/>
      <c r="B14" s="33"/>
      <c r="C14" s="30"/>
      <c r="D14" s="30"/>
      <c r="E14" s="39"/>
      <c r="F14" s="34"/>
      <c r="G14" s="51"/>
      <c r="H14" s="30"/>
      <c r="I14" s="30"/>
      <c r="J14" s="30"/>
      <c r="K14" s="44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15"/>
      <c r="B15" s="77" t="s">
        <v>53</v>
      </c>
      <c r="C15" s="64">
        <f>Admissibilités!D4</f>
        <v>10</v>
      </c>
      <c r="D15" s="65">
        <f>Admissibilités!D5</f>
        <v>10</v>
      </c>
      <c r="E15" s="66">
        <f>Admissibilités!D7</f>
        <v>10</v>
      </c>
      <c r="F15" s="34"/>
      <c r="G15" s="77" t="s">
        <v>53</v>
      </c>
      <c r="H15" s="70">
        <f>Admissibilités!D8</f>
        <v>10</v>
      </c>
      <c r="I15" s="65">
        <f>Admissibilités!D9</f>
        <v>10</v>
      </c>
      <c r="J15" s="65">
        <f>Admissibilités!D10</f>
        <v>10</v>
      </c>
      <c r="K15" s="71">
        <f>Admissibilités!D11</f>
        <v>10</v>
      </c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15"/>
      <c r="B16" s="85" t="s">
        <v>54</v>
      </c>
      <c r="C16" s="67">
        <f>(C6*9+C7*4+C8*3+C9*8+C10*6+C11*6)/36</f>
        <v>12.819444444444445</v>
      </c>
      <c r="D16" s="68">
        <f>(6*D7+4*D8+10*D12+10*D13)/30</f>
        <v>10</v>
      </c>
      <c r="E16" s="69">
        <f>(8*E6+6*E7+4*E8+12*E12)/30</f>
        <v>14.133333333333333</v>
      </c>
      <c r="F16" s="34"/>
      <c r="G16" s="85" t="s">
        <v>54</v>
      </c>
      <c r="H16" s="72">
        <f>(9*H6+3*H7+3*H8)/15</f>
        <v>10</v>
      </c>
      <c r="I16" s="68">
        <f>(20*I6+6*I7+4*I8)/30</f>
        <v>10</v>
      </c>
      <c r="J16" s="68">
        <f>(8*J6+4*J7+3*J8)/15</f>
        <v>10</v>
      </c>
      <c r="K16" s="73">
        <f>(10*K6+5*K7+5*K8)/20</f>
        <v>10</v>
      </c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15"/>
      <c r="B17" s="33"/>
      <c r="C17" s="30"/>
      <c r="D17" s="30"/>
      <c r="E17" s="39"/>
      <c r="F17" s="34"/>
      <c r="G17" s="33"/>
      <c r="H17" s="30"/>
      <c r="I17" s="30"/>
      <c r="J17" s="30"/>
      <c r="K17" s="39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5"/>
      <c r="B18" s="79" t="s">
        <v>55</v>
      </c>
      <c r="C18" s="60">
        <f>(30*C15+C16*36)/66</f>
        <v>11.537878787878787</v>
      </c>
      <c r="D18" s="60">
        <f>(D15+D16)/2</f>
        <v>10</v>
      </c>
      <c r="E18" s="61">
        <f>(E15+E16)/2</f>
        <v>12.066666666666666</v>
      </c>
      <c r="F18" s="34"/>
      <c r="G18" s="79" t="s">
        <v>55</v>
      </c>
      <c r="H18" s="56">
        <f>(30*H15+15*H16)/45</f>
        <v>10</v>
      </c>
      <c r="I18" s="56">
        <f>(I15+I16)/2</f>
        <v>10</v>
      </c>
      <c r="J18" s="56">
        <f>(J15*30+J16*15)/45</f>
        <v>10</v>
      </c>
      <c r="K18" s="57">
        <f>(K15*30+K16*20)/50</f>
        <v>10</v>
      </c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5"/>
      <c r="B19" s="80" t="s">
        <v>72</v>
      </c>
      <c r="C19" s="62">
        <v>12.69</v>
      </c>
      <c r="D19" s="62">
        <v>11.71</v>
      </c>
      <c r="E19" s="63">
        <v>12.66</v>
      </c>
      <c r="F19" s="36"/>
      <c r="G19" s="86" t="s">
        <v>65</v>
      </c>
      <c r="H19" s="58">
        <v>12.59</v>
      </c>
      <c r="I19" s="58">
        <v>12.34</v>
      </c>
      <c r="J19" s="58">
        <v>12.28</v>
      </c>
      <c r="K19" s="59">
        <v>12.37</v>
      </c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5"/>
      <c r="B20" s="81" t="s">
        <v>59</v>
      </c>
      <c r="C20" s="45" t="str">
        <f>IF($C18&gt;=$C19,"Oui","Non")</f>
        <v>Non</v>
      </c>
      <c r="D20" s="45" t="str">
        <f>IF($D18&gt;=$D19,"Oui","Non")</f>
        <v>Non</v>
      </c>
      <c r="E20" s="46" t="str">
        <f>IF($E18&gt;=$E19,"Oui","Non")</f>
        <v>Non</v>
      </c>
      <c r="F20" s="37"/>
      <c r="G20" s="81" t="s">
        <v>59</v>
      </c>
      <c r="H20" s="45" t="str">
        <f>IF($H18&gt;=$H19,"Oui","Non")</f>
        <v>Non</v>
      </c>
      <c r="I20" s="45" t="str">
        <f>IF($I18&gt;=$I19,"Oui","Non")</f>
        <v>Non</v>
      </c>
      <c r="J20" s="45" t="str">
        <f>IF($J18&gt;=$J19,"Oui","Non")</f>
        <v>Non</v>
      </c>
      <c r="K20" s="46" t="str">
        <f>IF($K18&gt;=$K19,"Oui","Non")</f>
        <v>Non</v>
      </c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25"/>
      <c r="L21" s="15"/>
      <c r="M21" s="15"/>
      <c r="N21" s="15"/>
      <c r="O21" s="15"/>
      <c r="P21" s="15"/>
      <c r="Q21" s="15"/>
      <c r="R21" s="15"/>
      <c r="S21" s="15"/>
    </row>
    <row r="22" spans="1:19" ht="15" customHeight="1" x14ac:dyDescent="0.3">
      <c r="A22" s="15"/>
      <c r="B22" s="40" t="s">
        <v>60</v>
      </c>
      <c r="C22" s="41"/>
      <c r="D22" s="41"/>
      <c r="E22" s="41"/>
      <c r="F22" s="41"/>
      <c r="G22" s="41"/>
      <c r="H22" s="41"/>
      <c r="I22" s="41"/>
      <c r="J22" s="42"/>
      <c r="K22" s="26"/>
      <c r="L22" s="15"/>
      <c r="M22" s="15"/>
      <c r="N22" s="15"/>
      <c r="O22" s="15"/>
      <c r="P22" s="15"/>
      <c r="Q22" s="15"/>
      <c r="R22" s="15"/>
      <c r="S22" s="15"/>
    </row>
    <row r="23" spans="1:19" ht="15" customHeight="1" x14ac:dyDescent="0.3">
      <c r="A23" s="15"/>
      <c r="B23" s="93"/>
      <c r="C23" s="94"/>
      <c r="D23" s="94"/>
      <c r="E23" s="94"/>
      <c r="F23" s="94"/>
      <c r="G23" s="94"/>
      <c r="H23" s="94"/>
      <c r="I23" s="94"/>
      <c r="J23" s="95"/>
      <c r="K23" s="26"/>
      <c r="L23" s="15"/>
      <c r="M23" s="15"/>
      <c r="N23" s="15"/>
      <c r="O23" s="15"/>
      <c r="P23" s="15"/>
      <c r="Q23" s="15"/>
      <c r="R23" s="15"/>
      <c r="S23" s="15"/>
    </row>
    <row r="24" spans="1:19" x14ac:dyDescent="0.3">
      <c r="A24" s="15"/>
      <c r="B24" s="33"/>
      <c r="C24" s="29" t="s">
        <v>39</v>
      </c>
      <c r="D24" s="29" t="s">
        <v>40</v>
      </c>
      <c r="E24" s="29" t="s">
        <v>41</v>
      </c>
      <c r="F24" s="29" t="s">
        <v>29</v>
      </c>
      <c r="G24" s="29" t="s">
        <v>42</v>
      </c>
      <c r="H24" s="29" t="s">
        <v>32</v>
      </c>
      <c r="I24" s="29" t="s">
        <v>62</v>
      </c>
      <c r="J24" s="38" t="s">
        <v>31</v>
      </c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15"/>
      <c r="B25" s="74" t="s">
        <v>52</v>
      </c>
      <c r="C25" s="30">
        <v>10</v>
      </c>
      <c r="D25" s="30">
        <v>10</v>
      </c>
      <c r="E25" s="30">
        <v>10</v>
      </c>
      <c r="F25" s="30">
        <v>10</v>
      </c>
      <c r="G25" s="30">
        <v>10</v>
      </c>
      <c r="H25" s="30">
        <v>10</v>
      </c>
      <c r="I25" s="30">
        <v>10</v>
      </c>
      <c r="J25" s="39">
        <v>10</v>
      </c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">
      <c r="A26" s="15"/>
      <c r="B26" s="75" t="s">
        <v>12</v>
      </c>
      <c r="C26" s="30">
        <v>10</v>
      </c>
      <c r="D26" s="30">
        <v>10</v>
      </c>
      <c r="E26" s="30">
        <v>10</v>
      </c>
      <c r="F26" s="30">
        <v>10</v>
      </c>
      <c r="G26" s="30">
        <v>10</v>
      </c>
      <c r="H26" s="30">
        <v>10</v>
      </c>
      <c r="I26" s="30">
        <v>10</v>
      </c>
      <c r="J26" s="39">
        <v>10</v>
      </c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">
      <c r="A27" s="15"/>
      <c r="B27" s="76" t="s">
        <v>13</v>
      </c>
      <c r="C27" s="30">
        <v>10</v>
      </c>
      <c r="D27" s="30">
        <v>10</v>
      </c>
      <c r="E27" s="30">
        <v>10</v>
      </c>
      <c r="F27" s="30">
        <v>10</v>
      </c>
      <c r="G27" s="30">
        <v>10</v>
      </c>
      <c r="H27" s="30">
        <v>10</v>
      </c>
      <c r="I27" s="30">
        <v>10</v>
      </c>
      <c r="J27" s="39">
        <v>10</v>
      </c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">
      <c r="A28" s="15"/>
      <c r="B28" s="33"/>
      <c r="C28" s="30"/>
      <c r="D28" s="30"/>
      <c r="E28" s="30"/>
      <c r="F28" s="30"/>
      <c r="G28" s="30"/>
      <c r="H28" s="30"/>
      <c r="I28" s="30"/>
      <c r="J28" s="39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">
      <c r="A29" s="15"/>
      <c r="B29" s="77" t="s">
        <v>53</v>
      </c>
      <c r="C29" s="55">
        <f>Admissibilités!D12</f>
        <v>10</v>
      </c>
      <c r="D29" s="56">
        <f>Admissibilités!D13</f>
        <v>10</v>
      </c>
      <c r="E29" s="56">
        <f>Admissibilités!D14</f>
        <v>10</v>
      </c>
      <c r="F29" s="56">
        <f>Admissibilités!D16</f>
        <v>10</v>
      </c>
      <c r="G29" s="56">
        <f>Admissibilités!D15</f>
        <v>10</v>
      </c>
      <c r="H29" s="56">
        <f>Admissibilités!D17</f>
        <v>10</v>
      </c>
      <c r="I29" s="56">
        <f>Admissibilités!D18</f>
        <v>10</v>
      </c>
      <c r="J29" s="71">
        <f>Admissibilités!D19</f>
        <v>10</v>
      </c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">
      <c r="A30" s="15"/>
      <c r="B30" s="78" t="s">
        <v>54</v>
      </c>
      <c r="C30" s="72">
        <f>(7*C25+4*C26+4*C27)/15</f>
        <v>10</v>
      </c>
      <c r="D30" s="68">
        <f>(11*D25+5*D26+4*D27)/20</f>
        <v>10</v>
      </c>
      <c r="E30" s="68">
        <f>(12*E25+4*E26+3*E27)/19</f>
        <v>10</v>
      </c>
      <c r="F30" s="68">
        <f>(12*F25+4*F26+4*F27)/20</f>
        <v>10</v>
      </c>
      <c r="G30" s="68">
        <f>(12*G25+4*G26+4*G27)/20</f>
        <v>10</v>
      </c>
      <c r="H30" s="68">
        <f>(20*H25+6*H26+4*H27)/30</f>
        <v>10</v>
      </c>
      <c r="I30" s="68">
        <f>(20*I25+5*I26+5*I27)/30</f>
        <v>10</v>
      </c>
      <c r="J30" s="73">
        <f>(20*J25+6*J26+4*J27)/30</f>
        <v>10</v>
      </c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">
      <c r="A31" s="15"/>
      <c r="B31" s="96"/>
      <c r="C31" s="30"/>
      <c r="D31" s="30"/>
      <c r="E31" s="30"/>
      <c r="F31" s="30"/>
      <c r="G31" s="30"/>
      <c r="H31" s="30"/>
      <c r="I31" s="30"/>
      <c r="J31" s="39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">
      <c r="A32" s="15"/>
      <c r="B32" s="79" t="s">
        <v>55</v>
      </c>
      <c r="C32" s="97">
        <f>(C29*25+C30*15)/40</f>
        <v>10</v>
      </c>
      <c r="D32" s="65">
        <f>(D29*30+D30*20)/50</f>
        <v>10</v>
      </c>
      <c r="E32" s="65">
        <f>(E29*25+E30*19)/44</f>
        <v>10</v>
      </c>
      <c r="F32" s="65">
        <f>(F29*30+F30*20)/50</f>
        <v>10</v>
      </c>
      <c r="G32" s="65">
        <f>(G29*30+G30*20)/50</f>
        <v>10</v>
      </c>
      <c r="H32" s="65">
        <f>(H29*30+H30*30)/60</f>
        <v>10</v>
      </c>
      <c r="I32" s="65">
        <f>(I29*30+I30*30)/60</f>
        <v>10</v>
      </c>
      <c r="J32" s="57">
        <f>(J29*30+J30*30)/60</f>
        <v>10</v>
      </c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">
      <c r="A33" s="15"/>
      <c r="B33" s="80" t="s">
        <v>56</v>
      </c>
      <c r="C33" s="98" t="s">
        <v>66</v>
      </c>
      <c r="D33" s="99" t="s">
        <v>66</v>
      </c>
      <c r="E33" s="99" t="s">
        <v>66</v>
      </c>
      <c r="F33" s="99">
        <v>9.5</v>
      </c>
      <c r="G33" s="99">
        <v>11.55</v>
      </c>
      <c r="H33" s="99" t="s">
        <v>66</v>
      </c>
      <c r="I33" s="99">
        <v>11.9</v>
      </c>
      <c r="J33" s="59">
        <v>11.9</v>
      </c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">
      <c r="A34" s="15"/>
      <c r="B34" s="81" t="s">
        <v>59</v>
      </c>
      <c r="C34" s="82" t="str">
        <f>IF($C32&gt;=$C33,"Oui","Non")</f>
        <v>Non</v>
      </c>
      <c r="D34" s="83" t="str">
        <f>IF($D32&gt;=$D33,"Oui","Non")</f>
        <v>Non</v>
      </c>
      <c r="E34" s="83" t="str">
        <f>IF($E32&gt;=$E33,"Oui","Non")</f>
        <v>Non</v>
      </c>
      <c r="F34" s="83" t="str">
        <f>IF($F32&gt;=$F33,"Oui","Non")</f>
        <v>Oui</v>
      </c>
      <c r="G34" s="83" t="str">
        <f>IF($G32&gt;=$G33,"Oui","Non")</f>
        <v>Non</v>
      </c>
      <c r="H34" s="83" t="str">
        <f>IF($H32&gt;=$H33,"Oui","Non")</f>
        <v>Non</v>
      </c>
      <c r="I34" s="83" t="str">
        <f>IF($I32&gt;=$I33,"Oui","Non")</f>
        <v>Non</v>
      </c>
      <c r="J34" s="84" t="str">
        <f>IF($J32&gt;=$J33,"Oui","Non")</f>
        <v>Non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1:19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1:19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1:19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1:19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1:19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1:19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1:19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1:19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1:19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1:19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1:19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1:19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1:19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1:19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1:19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1:19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1:19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1:19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1:19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1:19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1:19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1:19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1:19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1:19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1:19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1:19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1:19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1:19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1:19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1:19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1:19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1:19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1:19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1:19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1:19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1:19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1:19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1:19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</row>
    <row r="153" spans="1:19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spans="1:19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</row>
    <row r="155" spans="1:19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1:19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1:19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9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9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1:19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1:19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1:19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1:19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1:19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1:19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1:19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1:19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</row>
    <row r="168" spans="1:19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1:19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1:19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</row>
    <row r="171" spans="1:19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</row>
    <row r="172" spans="1:19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</row>
    <row r="173" spans="1:19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</row>
    <row r="174" spans="1:19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</row>
    <row r="175" spans="1:19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</row>
    <row r="176" spans="1:19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</row>
    <row r="177" spans="1:19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1:19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</row>
    <row r="179" spans="1:19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</row>
    <row r="180" spans="1:19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</row>
    <row r="181" spans="1:19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</row>
    <row r="182" spans="1:19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</row>
    <row r="183" spans="1:19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</row>
    <row r="184" spans="1:19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1:19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</row>
    <row r="186" spans="1:19" x14ac:dyDescent="0.3">
      <c r="A186" s="15"/>
      <c r="L186" s="15"/>
      <c r="M186" s="15"/>
      <c r="N186" s="15"/>
      <c r="O186" s="15"/>
      <c r="P186" s="15"/>
      <c r="Q186" s="15"/>
      <c r="R186" s="15"/>
      <c r="S186" s="15"/>
    </row>
    <row r="187" spans="1:19" x14ac:dyDescent="0.3">
      <c r="A187" s="15"/>
      <c r="L187" s="15"/>
      <c r="M187" s="15"/>
      <c r="N187" s="15"/>
      <c r="O187" s="15"/>
      <c r="P187" s="15"/>
      <c r="Q187" s="15"/>
      <c r="R187" s="15"/>
      <c r="S187" s="15"/>
    </row>
    <row r="188" spans="1:19" x14ac:dyDescent="0.3">
      <c r="A188" s="15"/>
    </row>
    <row r="189" spans="1:19" x14ac:dyDescent="0.3">
      <c r="A189" s="15"/>
    </row>
  </sheetData>
  <mergeCells count="4">
    <mergeCell ref="B3:E4"/>
    <mergeCell ref="B22:J23"/>
    <mergeCell ref="G3:K4"/>
    <mergeCell ref="E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Notes</vt:lpstr>
      <vt:lpstr>Admissibilités</vt:lpstr>
      <vt:lpstr>Oraux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Cornilliet Mehdi</cp:lastModifiedBy>
  <dcterms:created xsi:type="dcterms:W3CDTF">2014-06-06T09:58:16Z</dcterms:created>
  <dcterms:modified xsi:type="dcterms:W3CDTF">2016-06-14T14:00:33Z</dcterms:modified>
</cp:coreProperties>
</file>