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60" windowWidth="19200" windowHeight="7470"/>
  </bookViews>
  <sheets>
    <sheet name="Euro 2016 vierge" sheetId="3" r:id="rId1"/>
  </sheets>
  <calcPr calcId="125725"/>
</workbook>
</file>

<file path=xl/calcChain.xml><?xml version="1.0" encoding="utf-8"?>
<calcChain xmlns="http://schemas.openxmlformats.org/spreadsheetml/2006/main">
  <c r="Q11" i="3"/>
  <c r="D13"/>
  <c r="BF38" l="1"/>
  <c r="BF37"/>
  <c r="BF36"/>
  <c r="BF35"/>
  <c r="BF32"/>
  <c r="BF31"/>
  <c r="BF30"/>
  <c r="BF29"/>
  <c r="BF26"/>
  <c r="BF25"/>
  <c r="BF24"/>
  <c r="BF23"/>
  <c r="BF20"/>
  <c r="BF19"/>
  <c r="BF18"/>
  <c r="BF17"/>
  <c r="BF14"/>
  <c r="BF13"/>
  <c r="BF12"/>
  <c r="BF11"/>
  <c r="BF8"/>
  <c r="BF7"/>
  <c r="BF6"/>
  <c r="BF5"/>
  <c r="AW38" l="1"/>
  <c r="AV38"/>
  <c r="AW37"/>
  <c r="AV37"/>
  <c r="AW36"/>
  <c r="AV36"/>
  <c r="AW35"/>
  <c r="BA38"/>
  <c r="BA37"/>
  <c r="BA36"/>
  <c r="AU38"/>
  <c r="AU37"/>
  <c r="AU36"/>
  <c r="AV35"/>
  <c r="G45"/>
  <c r="D45"/>
  <c r="H45" s="1"/>
  <c r="G44"/>
  <c r="D44"/>
  <c r="H44" s="1"/>
  <c r="G43"/>
  <c r="D43"/>
  <c r="G42"/>
  <c r="D42"/>
  <c r="AW32"/>
  <c r="AV32"/>
  <c r="AW30"/>
  <c r="AV30"/>
  <c r="BA32"/>
  <c r="BA31"/>
  <c r="BA30"/>
  <c r="AU32"/>
  <c r="AU31"/>
  <c r="AU30"/>
  <c r="AW29"/>
  <c r="AV29"/>
  <c r="G39"/>
  <c r="D39"/>
  <c r="G38"/>
  <c r="D38"/>
  <c r="H38" s="1"/>
  <c r="G37"/>
  <c r="D37"/>
  <c r="H37" s="1"/>
  <c r="G36"/>
  <c r="D36"/>
  <c r="AW26"/>
  <c r="AV26"/>
  <c r="AW25"/>
  <c r="AV25"/>
  <c r="AW24"/>
  <c r="AV24"/>
  <c r="AW23"/>
  <c r="AV23"/>
  <c r="BA26"/>
  <c r="BA25"/>
  <c r="BA24"/>
  <c r="AU26"/>
  <c r="AU25"/>
  <c r="AU24"/>
  <c r="AU23"/>
  <c r="G33"/>
  <c r="D33"/>
  <c r="G32"/>
  <c r="D32"/>
  <c r="G31"/>
  <c r="D31"/>
  <c r="G30"/>
  <c r="D30"/>
  <c r="AW20"/>
  <c r="AV20"/>
  <c r="AW19"/>
  <c r="AV19"/>
  <c r="AW18"/>
  <c r="AV18"/>
  <c r="AW17"/>
  <c r="AV17"/>
  <c r="BA20"/>
  <c r="BA19"/>
  <c r="BA18"/>
  <c r="BA17"/>
  <c r="AU20"/>
  <c r="AU19"/>
  <c r="AU18"/>
  <c r="AU17"/>
  <c r="G27"/>
  <c r="D27"/>
  <c r="G26"/>
  <c r="D26"/>
  <c r="G25"/>
  <c r="D25"/>
  <c r="G24"/>
  <c r="D24"/>
  <c r="AW14"/>
  <c r="AV14"/>
  <c r="AW13"/>
  <c r="AV13"/>
  <c r="AW12"/>
  <c r="AV12"/>
  <c r="BA14"/>
  <c r="BA13"/>
  <c r="BA12"/>
  <c r="AU14"/>
  <c r="AU13"/>
  <c r="AU12"/>
  <c r="AW11"/>
  <c r="AV11"/>
  <c r="AW8"/>
  <c r="AV8"/>
  <c r="AW7"/>
  <c r="AW6"/>
  <c r="AV7"/>
  <c r="AV6"/>
  <c r="AW5"/>
  <c r="AV5"/>
  <c r="BA8"/>
  <c r="BA7"/>
  <c r="BA6"/>
  <c r="AU6"/>
  <c r="AU8"/>
  <c r="AU7"/>
  <c r="G20"/>
  <c r="D20"/>
  <c r="H20" s="1"/>
  <c r="G19"/>
  <c r="G21" s="1"/>
  <c r="D19"/>
  <c r="H19" s="1"/>
  <c r="G18"/>
  <c r="D18"/>
  <c r="H18" s="1"/>
  <c r="G14"/>
  <c r="G15"/>
  <c r="D15"/>
  <c r="D14"/>
  <c r="H14" s="1"/>
  <c r="G12"/>
  <c r="D12"/>
  <c r="G13"/>
  <c r="H41"/>
  <c r="H40"/>
  <c r="BA35"/>
  <c r="AU35"/>
  <c r="H35"/>
  <c r="H34"/>
  <c r="H33"/>
  <c r="H32"/>
  <c r="AW31"/>
  <c r="AV31"/>
  <c r="H31"/>
  <c r="H30"/>
  <c r="BA29"/>
  <c r="AU29"/>
  <c r="H29"/>
  <c r="H28"/>
  <c r="H27"/>
  <c r="H26"/>
  <c r="BA23"/>
  <c r="H23"/>
  <c r="H22"/>
  <c r="AP18"/>
  <c r="H17"/>
  <c r="H16"/>
  <c r="H15"/>
  <c r="BA11"/>
  <c r="AU11"/>
  <c r="H11"/>
  <c r="H10"/>
  <c r="BA5"/>
  <c r="AU5"/>
  <c r="AO5"/>
  <c r="H12" l="1"/>
  <c r="D21"/>
  <c r="H21" s="1"/>
  <c r="AY12" s="1"/>
  <c r="H25"/>
  <c r="H36"/>
  <c r="H42"/>
  <c r="H24"/>
  <c r="AY17" s="1"/>
  <c r="H13"/>
  <c r="H43"/>
  <c r="H39"/>
  <c r="AY26"/>
  <c r="AY25"/>
  <c r="AY23"/>
  <c r="AY24"/>
  <c r="AX25"/>
  <c r="AX37"/>
  <c r="AX20"/>
  <c r="AX32"/>
  <c r="AX18"/>
  <c r="AX19"/>
  <c r="AX17"/>
  <c r="AX23"/>
  <c r="AX24"/>
  <c r="AX36"/>
  <c r="AX7"/>
  <c r="AX29"/>
  <c r="AX8"/>
  <c r="AX6"/>
  <c r="AX5"/>
  <c r="AX13"/>
  <c r="AX14"/>
  <c r="AX12"/>
  <c r="AX26"/>
  <c r="AX30"/>
  <c r="AX11"/>
  <c r="AX31"/>
  <c r="AX35"/>
  <c r="AX38"/>
  <c r="AY38" l="1"/>
  <c r="AZ38" s="1"/>
  <c r="AY14"/>
  <c r="AZ14" s="1"/>
  <c r="AY11"/>
  <c r="AZ11" s="1"/>
  <c r="AY19"/>
  <c r="AZ19" s="1"/>
  <c r="AY13"/>
  <c r="AZ13" s="1"/>
  <c r="AY8"/>
  <c r="AZ8" s="1"/>
  <c r="AY18"/>
  <c r="AZ18" s="1"/>
  <c r="AY20"/>
  <c r="AZ20" s="1"/>
  <c r="AY29"/>
  <c r="AZ29" s="1"/>
  <c r="AY7"/>
  <c r="AZ7" s="1"/>
  <c r="AY6"/>
  <c r="AZ6" s="1"/>
  <c r="AY5"/>
  <c r="AZ5" s="1"/>
  <c r="AY36"/>
  <c r="AZ36" s="1"/>
  <c r="AY32"/>
  <c r="AZ32" s="1"/>
  <c r="AY35"/>
  <c r="AZ35" s="1"/>
  <c r="AY37"/>
  <c r="AZ37" s="1"/>
  <c r="AY30"/>
  <c r="AZ30" s="1"/>
  <c r="AY31"/>
  <c r="AZ31" s="1"/>
  <c r="AZ25"/>
  <c r="AZ23"/>
  <c r="AZ26"/>
  <c r="AZ17"/>
  <c r="AZ24"/>
  <c r="AZ12"/>
  <c r="BC35" l="1"/>
  <c r="BB35"/>
  <c r="BD35"/>
  <c r="BD31"/>
  <c r="BC31"/>
  <c r="BB31"/>
  <c r="BB32"/>
  <c r="BD32"/>
  <c r="BC32"/>
  <c r="BC29"/>
  <c r="BB29"/>
  <c r="BD29"/>
  <c r="BD30"/>
  <c r="BC30"/>
  <c r="BB30"/>
  <c r="BD36"/>
  <c r="BC36"/>
  <c r="BB36"/>
  <c r="BB38"/>
  <c r="BD38"/>
  <c r="BC38"/>
  <c r="BB37"/>
  <c r="BD37"/>
  <c r="BC37"/>
  <c r="BD8"/>
  <c r="BC8"/>
  <c r="BB8"/>
  <c r="BC6"/>
  <c r="BB6"/>
  <c r="BD6"/>
  <c r="BB5"/>
  <c r="BD5"/>
  <c r="BC5"/>
  <c r="BD7"/>
  <c r="BC7"/>
  <c r="BB7"/>
  <c r="BC23"/>
  <c r="BB23"/>
  <c r="BD23"/>
  <c r="BD24"/>
  <c r="BC24"/>
  <c r="BB24"/>
  <c r="BD25"/>
  <c r="BC25"/>
  <c r="BB25"/>
  <c r="BB26"/>
  <c r="BD26"/>
  <c r="BC26"/>
  <c r="BD18"/>
  <c r="BC18"/>
  <c r="BB18"/>
  <c r="BD19"/>
  <c r="BC19"/>
  <c r="BB19"/>
  <c r="BB20"/>
  <c r="BD20"/>
  <c r="BC20"/>
  <c r="BC17"/>
  <c r="BB17"/>
  <c r="BD17"/>
  <c r="BC11"/>
  <c r="BB11"/>
  <c r="BD11"/>
  <c r="BD12"/>
  <c r="BC12"/>
  <c r="BB12"/>
  <c r="BB14"/>
  <c r="BD14"/>
  <c r="BC14"/>
  <c r="BD13"/>
  <c r="BC13"/>
  <c r="BB13"/>
  <c r="BE29" l="1"/>
  <c r="BE31"/>
  <c r="BE37"/>
  <c r="BE36"/>
  <c r="BE35"/>
  <c r="BE38"/>
  <c r="BE25"/>
  <c r="BE26"/>
  <c r="BE24"/>
  <c r="BE23"/>
  <c r="BE18"/>
  <c r="BE17"/>
  <c r="BE20"/>
  <c r="BE19"/>
  <c r="BE13"/>
  <c r="BE14"/>
  <c r="BE12"/>
  <c r="BE11"/>
  <c r="BE32"/>
  <c r="BE30"/>
  <c r="BE7"/>
  <c r="BE5"/>
  <c r="BE6"/>
  <c r="BE8"/>
  <c r="K42" l="1"/>
  <c r="N42" s="1"/>
  <c r="K38"/>
  <c r="M38" s="1"/>
  <c r="K36"/>
  <c r="N36" s="1"/>
  <c r="K44"/>
  <c r="O44" s="1"/>
  <c r="K37"/>
  <c r="K41"/>
  <c r="K43"/>
  <c r="K35"/>
  <c r="K30"/>
  <c r="K29"/>
  <c r="K32"/>
  <c r="K31"/>
  <c r="K26"/>
  <c r="K25"/>
  <c r="K24"/>
  <c r="K23"/>
  <c r="K18"/>
  <c r="K17"/>
  <c r="K20"/>
  <c r="K19"/>
  <c r="K14"/>
  <c r="K13"/>
  <c r="K12"/>
  <c r="K11"/>
  <c r="N38" l="1"/>
  <c r="L38"/>
  <c r="Q49"/>
  <c r="M42"/>
  <c r="L44"/>
  <c r="L42"/>
  <c r="O42"/>
  <c r="M36"/>
  <c r="O38"/>
  <c r="O36"/>
  <c r="M44"/>
  <c r="N44"/>
  <c r="L36"/>
  <c r="Q25"/>
  <c r="O37"/>
  <c r="AO10" s="1"/>
  <c r="AR10"/>
  <c r="L37"/>
  <c r="AN10" s="1"/>
  <c r="AM10"/>
  <c r="M37"/>
  <c r="AP10" s="1"/>
  <c r="N37"/>
  <c r="O43"/>
  <c r="AO11" s="1"/>
  <c r="M43"/>
  <c r="AP11" s="1"/>
  <c r="N43"/>
  <c r="L43"/>
  <c r="AN11" s="1"/>
  <c r="AM11"/>
  <c r="AR11"/>
  <c r="M35"/>
  <c r="O35"/>
  <c r="L35"/>
  <c r="Q35"/>
  <c r="N35"/>
  <c r="N41"/>
  <c r="O41"/>
  <c r="L41"/>
  <c r="Q23"/>
  <c r="V22" s="1"/>
  <c r="AA16" s="1"/>
  <c r="M41"/>
  <c r="Q37"/>
  <c r="V34" s="1"/>
  <c r="AA38" s="1"/>
  <c r="O30"/>
  <c r="L30"/>
  <c r="N30"/>
  <c r="M30"/>
  <c r="L31"/>
  <c r="AN9" s="1"/>
  <c r="O31"/>
  <c r="AO9" s="1"/>
  <c r="M31"/>
  <c r="AP9" s="1"/>
  <c r="AR9"/>
  <c r="AM9"/>
  <c r="N31"/>
  <c r="O32"/>
  <c r="L32"/>
  <c r="M32"/>
  <c r="N32"/>
  <c r="M29"/>
  <c r="N29"/>
  <c r="V10"/>
  <c r="AA14" s="1"/>
  <c r="AF26" s="1"/>
  <c r="L29"/>
  <c r="O29"/>
  <c r="O23"/>
  <c r="Q29"/>
  <c r="V32" s="1"/>
  <c r="L23"/>
  <c r="N23"/>
  <c r="M23"/>
  <c r="AR8"/>
  <c r="AM8"/>
  <c r="O25"/>
  <c r="AO8" s="1"/>
  <c r="N25"/>
  <c r="M25"/>
  <c r="AP8" s="1"/>
  <c r="L25"/>
  <c r="AN8" s="1"/>
  <c r="L26"/>
  <c r="N26"/>
  <c r="O26"/>
  <c r="M26"/>
  <c r="O24"/>
  <c r="M24"/>
  <c r="Q7"/>
  <c r="L24"/>
  <c r="N24"/>
  <c r="N19"/>
  <c r="M19"/>
  <c r="AP7" s="1"/>
  <c r="AR7"/>
  <c r="L19"/>
  <c r="AN7" s="1"/>
  <c r="AM7"/>
  <c r="O19"/>
  <c r="AO7" s="1"/>
  <c r="M20"/>
  <c r="L20"/>
  <c r="O20"/>
  <c r="N20"/>
  <c r="N17"/>
  <c r="Q17"/>
  <c r="V20" s="1"/>
  <c r="M17"/>
  <c r="O17"/>
  <c r="L17"/>
  <c r="N18"/>
  <c r="O18"/>
  <c r="L18"/>
  <c r="Q47"/>
  <c r="V46" s="1"/>
  <c r="M18"/>
  <c r="N11"/>
  <c r="M11"/>
  <c r="Q41"/>
  <c r="V44" s="1"/>
  <c r="AA40" s="1"/>
  <c r="AF28" s="1"/>
  <c r="AF47" s="1"/>
  <c r="L11"/>
  <c r="O11"/>
  <c r="N12"/>
  <c r="M12"/>
  <c r="L12"/>
  <c r="Q5"/>
  <c r="V8" s="1"/>
  <c r="O12"/>
  <c r="N13"/>
  <c r="AM6"/>
  <c r="O13"/>
  <c r="AO6" s="1"/>
  <c r="L13"/>
  <c r="AN6" s="1"/>
  <c r="M13"/>
  <c r="AP6" s="1"/>
  <c r="AR6"/>
  <c r="L14"/>
  <c r="N14"/>
  <c r="O14"/>
  <c r="M14"/>
  <c r="AQ10" l="1"/>
  <c r="AQ11"/>
  <c r="AQ9"/>
  <c r="AQ8"/>
  <c r="AQ7"/>
  <c r="AQ6"/>
  <c r="AN21" l="1"/>
  <c r="AN24"/>
  <c r="AN19"/>
  <c r="AN22"/>
  <c r="AN20"/>
  <c r="AN23"/>
  <c r="AQ20" l="1"/>
  <c r="AM20"/>
  <c r="AP20"/>
  <c r="AO20"/>
  <c r="AO22"/>
  <c r="AM22"/>
  <c r="AQ22"/>
  <c r="AP22"/>
  <c r="AP19"/>
  <c r="AM19"/>
  <c r="AO19"/>
  <c r="AQ19"/>
  <c r="AO23"/>
  <c r="AP23"/>
  <c r="AM23"/>
  <c r="AQ23"/>
  <c r="AM24"/>
  <c r="AQ24"/>
  <c r="AO24"/>
  <c r="AP24"/>
  <c r="AO21"/>
  <c r="AP21"/>
  <c r="AQ21"/>
  <c r="AM21"/>
  <c r="BB47" l="1"/>
  <c r="BB50"/>
  <c r="BB49"/>
  <c r="BB46"/>
  <c r="BB48"/>
  <c r="BB51"/>
  <c r="BB53" l="1"/>
  <c r="AV64" s="1"/>
  <c r="AY64" l="1"/>
  <c r="AY65" s="1"/>
  <c r="Q31" s="1"/>
  <c r="AX64"/>
  <c r="AX65" s="1"/>
  <c r="Q19" s="1"/>
  <c r="AW64"/>
  <c r="AW65" s="1"/>
  <c r="Q43" s="1"/>
  <c r="AZ64"/>
  <c r="AZ65" s="1"/>
  <c r="Q13" s="1"/>
</calcChain>
</file>

<file path=xl/sharedStrings.xml><?xml version="1.0" encoding="utf-8"?>
<sst xmlns="http://schemas.openxmlformats.org/spreadsheetml/2006/main" count="327" uniqueCount="132">
  <si>
    <t>Matchs</t>
  </si>
  <si>
    <t>Pays</t>
  </si>
  <si>
    <t>Résultat</t>
  </si>
  <si>
    <t>Points</t>
  </si>
  <si>
    <t>BP</t>
  </si>
  <si>
    <t>BC</t>
  </si>
  <si>
    <t>Total</t>
  </si>
  <si>
    <t>Groupes</t>
  </si>
  <si>
    <t>Vainqueur</t>
  </si>
  <si>
    <t>Résultats des Poules</t>
  </si>
  <si>
    <t>A</t>
  </si>
  <si>
    <t>+/-</t>
  </si>
  <si>
    <t>Points en tout</t>
  </si>
  <si>
    <t>B</t>
  </si>
  <si>
    <t>C</t>
  </si>
  <si>
    <t>D</t>
  </si>
  <si>
    <t>E</t>
  </si>
  <si>
    <t>F</t>
  </si>
  <si>
    <t>Troisièmes des 6 Groupes</t>
  </si>
  <si>
    <t>Équipes</t>
  </si>
  <si>
    <t>Rang</t>
  </si>
  <si>
    <t>Groupe</t>
  </si>
  <si>
    <t>4 Meilleurs Troisièmes Qualifiés</t>
  </si>
  <si>
    <t>Si les 4 meilleurs sont :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</si>
  <si>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</si>
  <si>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</si>
  <si>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</si>
  <si>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</si>
  <si>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</si>
  <si>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</si>
  <si>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</si>
  <si>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</si>
  <si>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</si>
  <si>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</si>
  <si>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BCDF</t>
  </si>
  <si>
    <t>BCDE</t>
  </si>
  <si>
    <t>BCEF</t>
  </si>
  <si>
    <t>BDEF</t>
  </si>
  <si>
    <t>CDEF</t>
  </si>
  <si>
    <t>1A joue contre le 3e du groupe :</t>
  </si>
  <si>
    <t>1B joue contre le 3e du groupe :</t>
  </si>
  <si>
    <t>1C joue contre le 3e du groupe :</t>
  </si>
  <si>
    <t>1D joue contre le 3e du groupe :</t>
  </si>
  <si>
    <t>4 Meilleurs</t>
  </si>
  <si>
    <t>Pos.</t>
  </si>
  <si>
    <t>France</t>
  </si>
  <si>
    <t>Albanie</t>
  </si>
  <si>
    <t>Angleterre</t>
  </si>
  <si>
    <t>P. Galles</t>
  </si>
  <si>
    <t>Allemagne</t>
  </si>
  <si>
    <t>Irlande N.</t>
  </si>
  <si>
    <t>Espagne</t>
  </si>
  <si>
    <t>Turquie</t>
  </si>
  <si>
    <t>Belgique</t>
  </si>
  <si>
    <t>Irlande</t>
  </si>
  <si>
    <t>Portugal</t>
  </si>
  <si>
    <t>Islande</t>
  </si>
  <si>
    <t>Suisse</t>
  </si>
  <si>
    <t>Roumanie</t>
  </si>
  <si>
    <t>Slovaquie</t>
  </si>
  <si>
    <t>Russie</t>
  </si>
  <si>
    <t>Pologne</t>
  </si>
  <si>
    <t>Ukraine</t>
  </si>
  <si>
    <t>Croatie</t>
  </si>
  <si>
    <t>Suède</t>
  </si>
  <si>
    <t>Italie</t>
  </si>
  <si>
    <t>Hongrie</t>
  </si>
  <si>
    <t>Autriche</t>
  </si>
  <si>
    <t>Gr.</t>
  </si>
  <si>
    <r>
      <rPr>
        <b/>
        <sz val="10"/>
        <color rgb="FFFF0000"/>
        <rFont val="Garamond"/>
        <family val="1"/>
      </rPr>
      <t>10-06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</si>
  <si>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</si>
  <si>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</si>
  <si>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</si>
  <si>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</si>
  <si>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13-06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</si>
  <si>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13-06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</si>
  <si>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14-06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</si>
  <si>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15-06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</si>
  <si>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15-06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</si>
  <si>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15-06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</si>
  <si>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16-06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</si>
  <si>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16-06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</si>
  <si>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17-06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</si>
  <si>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17-06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</si>
  <si>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18-06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15h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</si>
  <si>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18-06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</si>
  <si>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19-06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</si>
  <si>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r>
      <rPr>
        <b/>
        <sz val="10"/>
        <color rgb="FFFF0000"/>
        <rFont val="Garamond"/>
        <family val="1"/>
      </rPr>
      <t>20-06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</si>
  <si>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20-06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</si>
  <si>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21-06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</si>
  <si>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</si>
  <si>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21-06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</si>
  <si>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21-06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</si>
  <si>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22-06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18h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</si>
  <si>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22-06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</si>
  <si>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1"/>
        <color rgb="FFFF0000"/>
        <rFont val="Garamond"/>
        <family val="1"/>
      </rPr>
      <t>25-06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15h</t>
    </r>
  </si>
  <si>
    <r>
      <rPr>
        <b/>
        <sz val="11"/>
        <color rgb="FFFF0000"/>
        <rFont val="Garamond"/>
        <family val="1"/>
      </rPr>
      <t>25-06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18h</t>
    </r>
  </si>
  <si>
    <r>
      <rPr>
        <b/>
        <sz val="11"/>
        <color rgb="FFFF0000"/>
        <rFont val="Garamond"/>
        <family val="1"/>
      </rPr>
      <t>25-06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</si>
  <si>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27-06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18h</t>
    </r>
  </si>
  <si>
    <r>
      <rPr>
        <b/>
        <sz val="11"/>
        <color rgb="FFFF0000"/>
        <rFont val="Garamond"/>
        <family val="1"/>
      </rPr>
      <t>27-06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</si>
  <si>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26-06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15h</t>
    </r>
  </si>
  <si>
    <r>
      <rPr>
        <b/>
        <sz val="11"/>
        <color rgb="FFFF0000"/>
        <rFont val="Garamond"/>
        <family val="1"/>
      </rPr>
      <t>26-06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18h</t>
    </r>
  </si>
  <si>
    <r>
      <rPr>
        <b/>
        <sz val="11"/>
        <color rgb="FFFF0000"/>
        <rFont val="Garamond"/>
        <family val="1"/>
      </rPr>
      <t>26-06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</si>
  <si>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30-06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</si>
  <si>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01-07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</si>
  <si>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02-07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</si>
  <si>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03-07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</si>
  <si>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06-07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</si>
  <si>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07-07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</si>
  <si>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1"/>
        <color rgb="FFFF0000"/>
        <rFont val="Garamond"/>
        <family val="1"/>
      </rPr>
      <t>10-07</t>
    </r>
    <r>
      <rPr>
        <b/>
        <sz val="11"/>
        <color theme="1"/>
        <rFont val="Garamond"/>
        <family val="1"/>
      </rPr>
      <t xml:space="preserve"> </t>
    </r>
    <r>
      <rPr>
        <b/>
        <sz val="11"/>
        <color rgb="FF0000FF"/>
        <rFont val="Garamond"/>
        <family val="1"/>
      </rPr>
      <t>21h</t>
    </r>
  </si>
  <si>
    <r>
      <rPr>
        <b/>
        <sz val="10"/>
        <color rgb="FFFF0000"/>
        <rFont val="Garamond"/>
        <family val="1"/>
      </rPr>
      <t>19-06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BeIN</t>
    </r>
  </si>
  <si>
    <r>
      <rPr>
        <b/>
        <sz val="10"/>
        <color rgb="FFFF0000"/>
        <rFont val="Garamond"/>
        <family val="1"/>
      </rPr>
      <t>11-06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</si>
  <si>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r>
      <rPr>
        <b/>
        <sz val="10"/>
        <color rgb="FFFF0000"/>
        <rFont val="Garamond"/>
        <family val="1"/>
      </rPr>
      <t>16-06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</si>
  <si>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t>R. Tchèque</t>
  </si>
  <si>
    <r>
      <rPr>
        <b/>
        <sz val="10"/>
        <color rgb="FFFF0000"/>
        <rFont val="Garamond"/>
        <family val="1"/>
      </rPr>
      <t>17-06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</si>
  <si>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r>
      <rPr>
        <b/>
        <sz val="10"/>
        <color rgb="FFFF0000"/>
        <rFont val="Garamond"/>
        <family val="1"/>
      </rPr>
      <t>12-06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</si>
  <si>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r>
      <rPr>
        <b/>
        <sz val="10"/>
        <color rgb="FFFF0000"/>
        <rFont val="Garamond"/>
        <family val="1"/>
      </rPr>
      <t>22-06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M6</t>
    </r>
  </si>
  <si>
    <r>
      <rPr>
        <b/>
        <sz val="10"/>
        <color rgb="FFFF0000"/>
        <rFont val="Garamond"/>
        <family val="1"/>
      </rPr>
      <t>14-06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</si>
  <si>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r>
      <rPr>
        <b/>
        <sz val="10"/>
        <color rgb="FFFF0000"/>
        <rFont val="Garamond"/>
        <family val="1"/>
      </rPr>
      <t>18-06</t>
    </r>
    <r>
      <rPr>
        <b/>
        <sz val="10"/>
        <color theme="1"/>
        <rFont val="Garamond"/>
        <family val="1"/>
      </rPr>
      <t xml:space="preserve"> </t>
    </r>
    <r>
      <rPr>
        <b/>
        <sz val="10"/>
        <color rgb="FF0000FF"/>
        <rFont val="Garamond"/>
        <family val="1"/>
      </rPr>
      <t>21h</t>
    </r>
    <r>
      <rPr>
        <b/>
        <sz val="10"/>
        <color theme="1"/>
        <rFont val="Garamond"/>
        <family val="1"/>
      </rPr>
      <t xml:space="preserve"> TF1</t>
    </r>
  </si>
  <si>
    <t>VAINQUEUR</t>
  </si>
  <si>
    <t>Date/Heure</t>
  </si>
  <si>
    <t>Max</t>
  </si>
  <si>
    <t>Pr.</t>
  </si>
  <si>
    <t>TàB</t>
  </si>
  <si>
    <r>
      <t xml:space="preserve">⅛ de Finale
</t>
    </r>
    <r>
      <rPr>
        <b/>
        <sz val="12"/>
        <color rgb="FF0000FF"/>
        <rFont val="Garamond"/>
        <family val="1"/>
      </rPr>
      <t>6 TF1 - 2 BeIN</t>
    </r>
  </si>
  <si>
    <r>
      <t xml:space="preserve">¼ de Finale
</t>
    </r>
    <r>
      <rPr>
        <b/>
        <sz val="12"/>
        <color rgb="FF0000FF"/>
        <rFont val="Garamond"/>
        <family val="1"/>
      </rPr>
      <t>3 TF1 - 1 M6</t>
    </r>
  </si>
  <si>
    <r>
      <t xml:space="preserve">½ Finale
</t>
    </r>
    <r>
      <rPr>
        <b/>
        <sz val="12"/>
        <color rgb="FF0000FF"/>
        <rFont val="Garamond"/>
        <family val="1"/>
      </rPr>
      <t>1 TF1 - 1 M6</t>
    </r>
  </si>
  <si>
    <r>
      <t xml:space="preserve">Finale
</t>
    </r>
    <r>
      <rPr>
        <b/>
        <sz val="12"/>
        <color rgb="FF0000FF"/>
        <rFont val="Garamond"/>
        <family val="1"/>
      </rPr>
      <t>M6</t>
    </r>
  </si>
  <si>
    <t>A. Gibot</t>
  </si>
  <si>
    <t/>
  </si>
  <si>
    <t>Mai 2016</t>
  </si>
  <si>
    <r>
      <rPr>
        <b/>
        <u/>
        <sz val="11"/>
        <color theme="1"/>
        <rFont val="Garamond"/>
        <family val="1"/>
      </rPr>
      <t xml:space="preserve">Règles des pronostics EURO 2016
</t>
    </r>
    <r>
      <rPr>
        <b/>
        <sz val="11"/>
        <color theme="1"/>
        <rFont val="Garamond"/>
        <family val="1"/>
      </rPr>
      <t>Phase de poules :</t>
    </r>
    <r>
      <rPr>
        <sz val="11"/>
        <color theme="1"/>
        <rFont val="Garamond"/>
        <family val="1"/>
      </rPr>
      <t xml:space="preserve"> score exact : 3pts, résultat correct : 1pt, résultat faux : 0pt.
</t>
    </r>
    <r>
      <rPr>
        <b/>
        <sz val="11"/>
        <color theme="1"/>
        <rFont val="Garamond"/>
        <family val="1"/>
      </rPr>
      <t>Qualification</t>
    </r>
    <r>
      <rPr>
        <sz val="11"/>
        <color theme="1"/>
        <rFont val="Garamond"/>
        <family val="1"/>
      </rPr>
      <t xml:space="preserve"> : équipe qualifiée et à la bonne place de sa poule : 2pts, équipe qualifiée : 1pt, sinon 0pt.
</t>
    </r>
    <r>
      <rPr>
        <b/>
        <sz val="11"/>
        <color theme="1"/>
        <rFont val="Garamond"/>
        <family val="1"/>
      </rPr>
      <t>Tour principal</t>
    </r>
    <r>
      <rPr>
        <sz val="11"/>
        <color theme="1"/>
        <rFont val="Garamond"/>
        <family val="1"/>
      </rPr>
      <t xml:space="preserve"> : score exact : 5 pts, bon qualifié au bon moment (tps régl., prolong., tab) : 3 pts, bon qualifié 1 pt, sinon 0pt.
</t>
    </r>
    <r>
      <rPr>
        <b/>
        <sz val="11"/>
        <color theme="1"/>
        <rFont val="Garamond"/>
        <family val="1"/>
      </rPr>
      <t>Tour principal</t>
    </r>
    <r>
      <rPr>
        <sz val="11"/>
        <color theme="1"/>
        <rFont val="Garamond"/>
        <family val="1"/>
      </rPr>
      <t xml:space="preserve"> : NB :si l'équipe qualifiée est bonne mais que l'équipe adverse n'est pas la bonne, les points ci-dessus sont divisés par 2.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</si>
</sst>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0"/>
      <color theme="1"/>
      <name val="Garamond"/>
      <family val="1"/>
    </font>
    <font>
      <b/>
      <u/>
      <sz val="11"/>
      <color theme="1"/>
      <name val="Garamond"/>
      <family val="1"/>
    </font>
    <font>
      <b/>
      <sz val="11"/>
      <color theme="0" tint="-0.249977111117893"/>
      <name val="Garamond"/>
      <family val="1"/>
    </font>
    <font>
      <b/>
      <u/>
      <sz val="11"/>
      <color theme="0" tint="-0.249977111117893"/>
      <name val="Garamond"/>
      <family val="1"/>
    </font>
    <font>
      <b/>
      <sz val="11"/>
      <color rgb="FFFF0000"/>
      <name val="Garamond"/>
      <family val="1"/>
    </font>
    <font>
      <b/>
      <sz val="11"/>
      <color rgb="FFFFFF00"/>
      <name val="Garamond"/>
      <family val="1"/>
    </font>
    <font>
      <b/>
      <sz val="7"/>
      <color rgb="FFFFFF00"/>
      <name val="Garamond"/>
      <family val="1"/>
    </font>
    <font>
      <b/>
      <sz val="10"/>
      <color rgb="FFFFFF00"/>
      <name val="Garamond"/>
      <family val="1"/>
    </font>
    <font>
      <b/>
      <sz val="10"/>
      <color rgb="FFFF0000"/>
      <name val="Garamond"/>
      <family val="1"/>
    </font>
    <font>
      <b/>
      <sz val="10"/>
      <color rgb="FF0000FF"/>
      <name val="Garamond"/>
      <family val="1"/>
    </font>
    <font>
      <b/>
      <sz val="11"/>
      <color rgb="FF0000FF"/>
      <name val="Garamond"/>
      <family val="1"/>
    </font>
    <font>
      <b/>
      <sz val="12"/>
      <color rgb="FF0000FF"/>
      <name val="Garamond"/>
      <family val="1"/>
    </font>
    <font>
      <b/>
      <sz val="12"/>
      <color theme="1"/>
      <name val="Garamond"/>
      <family val="1"/>
    </font>
    <font>
      <b/>
      <sz val="18"/>
      <color theme="1"/>
      <name val="Garamond"/>
      <family val="1"/>
    </font>
    <font>
      <sz val="12"/>
      <name val="Garamond"/>
      <family val="1"/>
    </font>
    <font>
      <sz val="11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6">
    <xf numFmtId="0" fontId="0" fillId="0" borderId="0" xfId="0"/>
    <xf numFmtId="0" fontId="2" fillId="3" borderId="4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" xfId="0" quotePrefix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9" xfId="0" quotePrefix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2" fillId="3" borderId="4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quotePrefix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quotePrefix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11" borderId="14" xfId="0" quotePrefix="1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2" xfId="0" quotePrefix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14" xfId="0" quotePrefix="1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2" xfId="0" quotePrefix="1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14" xfId="0" quotePrefix="1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2" xfId="0" quotePrefix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8" borderId="14" xfId="0" quotePrefix="1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2" xfId="0" quotePrefix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7" borderId="14" xfId="0" quotePrefix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2" xfId="0" quotePrefix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0" borderId="43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17" fontId="2" fillId="3" borderId="30" xfId="0" quotePrefix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top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2">
    <dxf>
      <font>
        <color auto="1"/>
      </font>
      <fill>
        <patternFill>
          <bgColor rgb="FFCCFF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CFFFF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0000FF"/>
      <color rgb="FFFFFF99"/>
      <color rgb="FFFF9999"/>
      <color rgb="FFFFCC99"/>
      <color rgb="FFCCFF99"/>
      <color rgb="FFCCFFFF"/>
      <color rgb="FFCCCCFF"/>
      <color rgb="FFCC99FF"/>
      <color rgb="FFBCE292"/>
      <color rgb="FFF3F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30</xdr:row>
      <xdr:rowOff>0</xdr:rowOff>
    </xdr:from>
    <xdr:to>
      <xdr:col>20</xdr:col>
      <xdr:colOff>353786</xdr:colOff>
      <xdr:row>32</xdr:row>
      <xdr:rowOff>0</xdr:rowOff>
    </xdr:to>
    <xdr:cxnSp macro="">
      <xdr:nvCxnSpPr>
        <xdr:cNvPr id="2" name="Connecteur droit 1"/>
        <xdr:cNvCxnSpPr/>
      </xdr:nvCxnSpPr>
      <xdr:spPr>
        <a:xfrm>
          <a:off x="9839325" y="5895975"/>
          <a:ext cx="210911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367393</xdr:colOff>
      <xdr:row>43</xdr:row>
      <xdr:rowOff>190500</xdr:rowOff>
    </xdr:to>
    <xdr:cxnSp macro="">
      <xdr:nvCxnSpPr>
        <xdr:cNvPr id="3" name="Connecteur droit 2"/>
        <xdr:cNvCxnSpPr/>
      </xdr:nvCxnSpPr>
      <xdr:spPr>
        <a:xfrm>
          <a:off x="9839325" y="8296275"/>
          <a:ext cx="205468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46</xdr:row>
      <xdr:rowOff>13608</xdr:rowOff>
    </xdr:from>
    <xdr:to>
      <xdr:col>20</xdr:col>
      <xdr:colOff>367393</xdr:colOff>
      <xdr:row>47</xdr:row>
      <xdr:rowOff>176893</xdr:rowOff>
    </xdr:to>
    <xdr:cxnSp macro="">
      <xdr:nvCxnSpPr>
        <xdr:cNvPr id="4" name="Connecteur droit 3"/>
        <xdr:cNvCxnSpPr/>
      </xdr:nvCxnSpPr>
      <xdr:spPr>
        <a:xfrm flipV="1">
          <a:off x="9839325" y="9157608"/>
          <a:ext cx="205468" cy="3633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15</xdr:row>
      <xdr:rowOff>190500</xdr:rowOff>
    </xdr:from>
    <xdr:to>
      <xdr:col>26</xdr:col>
      <xdr:colOff>0</xdr:colOff>
      <xdr:row>20</xdr:row>
      <xdr:rowOff>193887</xdr:rowOff>
    </xdr:to>
    <xdr:cxnSp macro="">
      <xdr:nvCxnSpPr>
        <xdr:cNvPr id="5" name="Connecteur droit 4"/>
        <xdr:cNvCxnSpPr/>
      </xdr:nvCxnSpPr>
      <xdr:spPr>
        <a:xfrm flipV="1">
          <a:off x="11144250" y="3086100"/>
          <a:ext cx="209550" cy="1003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149679</xdr:rowOff>
    </xdr:from>
    <xdr:to>
      <xdr:col>31</xdr:col>
      <xdr:colOff>0</xdr:colOff>
      <xdr:row>38</xdr:row>
      <xdr:rowOff>171643</xdr:rowOff>
    </xdr:to>
    <xdr:cxnSp macro="">
      <xdr:nvCxnSpPr>
        <xdr:cNvPr id="6" name="Connecteur droit 5"/>
        <xdr:cNvCxnSpPr/>
      </xdr:nvCxnSpPr>
      <xdr:spPr>
        <a:xfrm flipV="1">
          <a:off x="12449175" y="5445579"/>
          <a:ext cx="209550" cy="22222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</xdr:colOff>
      <xdr:row>9</xdr:row>
      <xdr:rowOff>1</xdr:rowOff>
    </xdr:from>
    <xdr:to>
      <xdr:col>26</xdr:col>
      <xdr:colOff>0</xdr:colOff>
      <xdr:row>14</xdr:row>
      <xdr:rowOff>68035</xdr:rowOff>
    </xdr:to>
    <xdr:cxnSp macro="">
      <xdr:nvCxnSpPr>
        <xdr:cNvPr id="7" name="Connecteur droit 6"/>
        <xdr:cNvCxnSpPr/>
      </xdr:nvCxnSpPr>
      <xdr:spPr>
        <a:xfrm flipH="1" flipV="1">
          <a:off x="11144252" y="1695451"/>
          <a:ext cx="209548" cy="10681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15</xdr:row>
      <xdr:rowOff>0</xdr:rowOff>
    </xdr:from>
    <xdr:to>
      <xdr:col>31</xdr:col>
      <xdr:colOff>0</xdr:colOff>
      <xdr:row>26</xdr:row>
      <xdr:rowOff>54429</xdr:rowOff>
    </xdr:to>
    <xdr:cxnSp macro="">
      <xdr:nvCxnSpPr>
        <xdr:cNvPr id="8" name="Connecteur droit 7"/>
        <xdr:cNvCxnSpPr/>
      </xdr:nvCxnSpPr>
      <xdr:spPr>
        <a:xfrm flipH="1" flipV="1">
          <a:off x="12449176" y="2895600"/>
          <a:ext cx="209549" cy="2254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353786</xdr:colOff>
      <xdr:row>20</xdr:row>
      <xdr:rowOff>1</xdr:rowOff>
    </xdr:to>
    <xdr:cxnSp macro="">
      <xdr:nvCxnSpPr>
        <xdr:cNvPr id="9" name="Connecteur droit 8"/>
        <xdr:cNvCxnSpPr/>
      </xdr:nvCxnSpPr>
      <xdr:spPr>
        <a:xfrm>
          <a:off x="9839325" y="3495675"/>
          <a:ext cx="210911" cy="40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353786</xdr:colOff>
      <xdr:row>8</xdr:row>
      <xdr:rowOff>1</xdr:rowOff>
    </xdr:to>
    <xdr:cxnSp macro="">
      <xdr:nvCxnSpPr>
        <xdr:cNvPr id="10" name="Connecteur droit 9"/>
        <xdr:cNvCxnSpPr/>
      </xdr:nvCxnSpPr>
      <xdr:spPr>
        <a:xfrm>
          <a:off x="9839325" y="895350"/>
          <a:ext cx="210911" cy="600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367393</xdr:colOff>
      <xdr:row>35</xdr:row>
      <xdr:rowOff>163286</xdr:rowOff>
    </xdr:to>
    <xdr:cxnSp macro="">
      <xdr:nvCxnSpPr>
        <xdr:cNvPr id="11" name="Connecteur droit 10"/>
        <xdr:cNvCxnSpPr/>
      </xdr:nvCxnSpPr>
      <xdr:spPr>
        <a:xfrm flipV="1">
          <a:off x="9839325" y="6696075"/>
          <a:ext cx="205468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367393</xdr:colOff>
      <xdr:row>23</xdr:row>
      <xdr:rowOff>163286</xdr:rowOff>
    </xdr:to>
    <xdr:cxnSp macro="">
      <xdr:nvCxnSpPr>
        <xdr:cNvPr id="12" name="Connecteur droit 11"/>
        <xdr:cNvCxnSpPr/>
      </xdr:nvCxnSpPr>
      <xdr:spPr>
        <a:xfrm flipV="1">
          <a:off x="9839325" y="4295775"/>
          <a:ext cx="205468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367393</xdr:colOff>
      <xdr:row>11</xdr:row>
      <xdr:rowOff>163286</xdr:rowOff>
    </xdr:to>
    <xdr:cxnSp macro="">
      <xdr:nvCxnSpPr>
        <xdr:cNvPr id="13" name="Connecteur droit 12"/>
        <xdr:cNvCxnSpPr/>
      </xdr:nvCxnSpPr>
      <xdr:spPr>
        <a:xfrm flipV="1">
          <a:off x="9839325" y="1895475"/>
          <a:ext cx="205468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335881</xdr:colOff>
      <xdr:row>40</xdr:row>
      <xdr:rowOff>27214</xdr:rowOff>
    </xdr:from>
    <xdr:to>
      <xdr:col>25</xdr:col>
      <xdr:colOff>205468</xdr:colOff>
      <xdr:row>45</xdr:row>
      <xdr:rowOff>5014</xdr:rowOff>
    </xdr:to>
    <xdr:cxnSp macro="">
      <xdr:nvCxnSpPr>
        <xdr:cNvPr id="14" name="Connecteur droit 13"/>
        <xdr:cNvCxnSpPr/>
      </xdr:nvCxnSpPr>
      <xdr:spPr>
        <a:xfrm flipV="1">
          <a:off x="12492789" y="8138503"/>
          <a:ext cx="205468" cy="9904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33</xdr:row>
      <xdr:rowOff>2</xdr:rowOff>
    </xdr:from>
    <xdr:to>
      <xdr:col>26</xdr:col>
      <xdr:colOff>0</xdr:colOff>
      <xdr:row>38</xdr:row>
      <xdr:rowOff>81642</xdr:rowOff>
    </xdr:to>
    <xdr:cxnSp macro="">
      <xdr:nvCxnSpPr>
        <xdr:cNvPr id="15" name="Connecteur droit 14"/>
        <xdr:cNvCxnSpPr/>
      </xdr:nvCxnSpPr>
      <xdr:spPr>
        <a:xfrm flipH="1" flipV="1">
          <a:off x="11144251" y="6496052"/>
          <a:ext cx="209549" cy="10817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tabSelected="1" zoomScale="85" zoomScaleNormal="85" workbookViewId="0">
      <selection activeCell="X26" sqref="X26"/>
    </sheetView>
  </sheetViews>
  <sheetFormatPr baseColWidth="10" defaultColWidth="11.42578125" defaultRowHeight="15"/>
  <cols>
    <col min="1" max="2" width="3.140625" style="79" customWidth="1"/>
    <col min="3" max="3" width="13.140625" style="79" customWidth="1"/>
    <col min="4" max="4" width="11.42578125" style="79"/>
    <col min="5" max="6" width="5.5703125" style="79" customWidth="1"/>
    <col min="7" max="7" width="11.42578125" style="79"/>
    <col min="8" max="8" width="0" style="79" hidden="1" customWidth="1"/>
    <col min="9" max="9" width="3.140625" style="79" customWidth="1"/>
    <col min="10" max="10" width="5.42578125" style="79" customWidth="1"/>
    <col min="11" max="11" width="11" style="79" customWidth="1"/>
    <col min="12" max="14" width="11.42578125" style="79"/>
    <col min="15" max="15" width="11.7109375" style="79" customWidth="1"/>
    <col min="16" max="16" width="3.140625" style="79" customWidth="1"/>
    <col min="17" max="17" width="11.42578125" style="79"/>
    <col min="18" max="20" width="5" style="79" customWidth="1"/>
    <col min="21" max="21" width="3.140625" style="79" customWidth="1"/>
    <col min="22" max="22" width="11.42578125" style="79"/>
    <col min="23" max="25" width="5" style="79" customWidth="1"/>
    <col min="26" max="26" width="3.140625" style="79" customWidth="1"/>
    <col min="27" max="27" width="11.42578125" style="79"/>
    <col min="28" max="30" width="5" style="79" customWidth="1"/>
    <col min="31" max="31" width="3.140625" style="79" customWidth="1"/>
    <col min="32" max="32" width="11.42578125" style="79"/>
    <col min="33" max="35" width="5" style="79" customWidth="1"/>
    <col min="36" max="36" width="3.5703125" style="79" customWidth="1"/>
    <col min="37" max="37" width="5.7109375" style="79" customWidth="1"/>
    <col min="38" max="44" width="11.42578125" style="79" hidden="1" customWidth="1"/>
    <col min="45" max="46" width="11.85546875" style="79" hidden="1" customWidth="1"/>
    <col min="47" max="54" width="11.85546875" style="2" hidden="1" customWidth="1"/>
    <col min="55" max="55" width="11.42578125" style="2" hidden="1" customWidth="1"/>
    <col min="56" max="57" width="11.42578125" style="79" hidden="1" customWidth="1"/>
    <col min="58" max="58" width="11.42578125" style="150" hidden="1" customWidth="1"/>
    <col min="59" max="125" width="11.42578125" style="79" customWidth="1"/>
    <col min="126" max="16384" width="11.42578125" style="79"/>
  </cols>
  <sheetData>
    <row r="1" spans="2:58" ht="15.75" thickBot="1">
      <c r="BB1" s="79"/>
      <c r="BC1" s="79"/>
    </row>
    <row r="2" spans="2:58" ht="15.75" thickBo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88" t="s">
        <v>124</v>
      </c>
      <c r="R2" s="189"/>
      <c r="S2" s="189"/>
      <c r="T2" s="190"/>
      <c r="U2" s="35"/>
      <c r="V2" s="188" t="s">
        <v>125</v>
      </c>
      <c r="W2" s="189"/>
      <c r="X2" s="189"/>
      <c r="Y2" s="190"/>
      <c r="Z2" s="35"/>
      <c r="AA2" s="188" t="s">
        <v>126</v>
      </c>
      <c r="AB2" s="189"/>
      <c r="AC2" s="189"/>
      <c r="AD2" s="190"/>
      <c r="AE2" s="35"/>
      <c r="AF2" s="188" t="s">
        <v>127</v>
      </c>
      <c r="AG2" s="189"/>
      <c r="AH2" s="189"/>
      <c r="AI2" s="190"/>
      <c r="AJ2" s="36"/>
      <c r="BB2" s="79"/>
      <c r="BC2" s="79"/>
    </row>
    <row r="3" spans="2:58" ht="15.75" thickBot="1">
      <c r="B3" s="37"/>
      <c r="C3" s="175" t="s">
        <v>131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2"/>
      <c r="Q3" s="191"/>
      <c r="R3" s="192"/>
      <c r="S3" s="192"/>
      <c r="T3" s="193"/>
      <c r="U3" s="2"/>
      <c r="V3" s="191"/>
      <c r="W3" s="192"/>
      <c r="X3" s="192"/>
      <c r="Y3" s="193"/>
      <c r="Z3" s="2"/>
      <c r="AA3" s="191"/>
      <c r="AB3" s="192"/>
      <c r="AC3" s="192"/>
      <c r="AD3" s="193"/>
      <c r="AE3" s="2"/>
      <c r="AF3" s="191"/>
      <c r="AG3" s="192"/>
      <c r="AH3" s="192"/>
      <c r="AI3" s="193"/>
      <c r="AJ3" s="1"/>
      <c r="AT3" s="2"/>
      <c r="AU3" s="80"/>
      <c r="AV3" s="80"/>
      <c r="AW3" s="80"/>
      <c r="AX3" s="80"/>
      <c r="AY3" s="80"/>
      <c r="AZ3" s="80"/>
      <c r="BA3" s="80"/>
      <c r="BB3" s="79"/>
      <c r="BC3" s="79"/>
    </row>
    <row r="4" spans="2:58" ht="16.5" thickBot="1">
      <c r="B4" s="37"/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2"/>
      <c r="Q4" s="205"/>
      <c r="R4" s="205"/>
      <c r="S4" s="151" t="s">
        <v>122</v>
      </c>
      <c r="T4" s="152" t="s">
        <v>123</v>
      </c>
      <c r="U4" s="2"/>
      <c r="V4" s="205"/>
      <c r="W4" s="205"/>
      <c r="X4" s="153"/>
      <c r="Y4" s="153"/>
      <c r="Z4" s="2"/>
      <c r="AA4" s="205"/>
      <c r="AB4" s="205"/>
      <c r="AC4" s="153"/>
      <c r="AD4" s="153"/>
      <c r="AE4" s="2"/>
      <c r="AF4" s="212"/>
      <c r="AG4" s="212"/>
      <c r="AH4" s="154"/>
      <c r="AI4" s="154"/>
      <c r="AJ4" s="1"/>
      <c r="AL4" s="200" t="s">
        <v>18</v>
      </c>
      <c r="AM4" s="206"/>
      <c r="AN4" s="206"/>
      <c r="AO4" s="206"/>
      <c r="AP4" s="206"/>
      <c r="AQ4" s="207"/>
      <c r="AR4" s="2"/>
      <c r="AT4" s="2"/>
      <c r="AU4" s="80" t="s">
        <v>1</v>
      </c>
      <c r="AV4" s="80" t="s">
        <v>4</v>
      </c>
      <c r="AW4" s="80" t="s">
        <v>5</v>
      </c>
      <c r="AX4" s="81" t="s">
        <v>11</v>
      </c>
      <c r="AY4" s="80" t="s">
        <v>3</v>
      </c>
      <c r="AZ4" s="80" t="s">
        <v>12</v>
      </c>
      <c r="BA4" s="80" t="s">
        <v>1</v>
      </c>
      <c r="BB4" s="79"/>
      <c r="BC4" s="79"/>
      <c r="BE4" s="150" t="s">
        <v>121</v>
      </c>
      <c r="BF4" s="80" t="s">
        <v>1</v>
      </c>
    </row>
    <row r="5" spans="2:58" ht="15.75" thickBot="1">
      <c r="B5" s="37"/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2"/>
      <c r="Q5" s="208" t="str">
        <f>K12</f>
        <v>France</v>
      </c>
      <c r="R5" s="198"/>
      <c r="S5" s="203"/>
      <c r="T5" s="18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L5" s="3" t="s">
        <v>7</v>
      </c>
      <c r="AM5" s="4" t="s">
        <v>19</v>
      </c>
      <c r="AN5" s="5" t="s">
        <v>3</v>
      </c>
      <c r="AO5" s="6" t="str">
        <f>"+/-"</f>
        <v>+/-</v>
      </c>
      <c r="AP5" s="5" t="s">
        <v>4</v>
      </c>
      <c r="AQ5" s="7" t="s">
        <v>6</v>
      </c>
      <c r="AR5" s="2"/>
      <c r="AT5" s="2"/>
      <c r="AU5" s="80" t="str">
        <f>D10</f>
        <v>France</v>
      </c>
      <c r="AV5" s="80">
        <f>SUM(E10,E13,E14)</f>
        <v>0</v>
      </c>
      <c r="AW5" s="80">
        <f>SUM(F10,F13,F14)</f>
        <v>0</v>
      </c>
      <c r="AX5" s="80">
        <f>SUM(AV5,-AW5)</f>
        <v>0</v>
      </c>
      <c r="AY5" s="80">
        <f>COUNTIF(H10:H15,D10)*3+COUNTIF(H10,"Égalité")+COUNTIF(H13:H14,"Égalité")</f>
        <v>0</v>
      </c>
      <c r="AZ5" s="80">
        <f>SUM(AY5,AX5/100,AV5/10000)</f>
        <v>0</v>
      </c>
      <c r="BA5" s="80" t="str">
        <f>D10</f>
        <v>France</v>
      </c>
      <c r="BB5" s="150">
        <f>IF(AZ5=AZ6,AZ5+$E$13/10000,AZ5)</f>
        <v>0</v>
      </c>
      <c r="BC5" s="150">
        <f>IF(AZ5=AZ7,AZ5+$E$10/10000,AZ5)</f>
        <v>0</v>
      </c>
      <c r="BD5" s="150">
        <f>IF(AZ5=AZ8,AZ5+$E$14/10000,AZ5)</f>
        <v>0</v>
      </c>
      <c r="BE5" s="150">
        <f>MAX(BB5:BD5)</f>
        <v>0</v>
      </c>
      <c r="BF5" s="80" t="str">
        <f>D10</f>
        <v>France</v>
      </c>
    </row>
    <row r="6" spans="2:58" ht="15.75" thickBot="1">
      <c r="B6" s="3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2"/>
      <c r="Q6" s="209"/>
      <c r="R6" s="199"/>
      <c r="S6" s="213"/>
      <c r="T6" s="19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L6" s="89" t="s">
        <v>10</v>
      </c>
      <c r="AM6" s="77" t="str">
        <f>K13</f>
        <v>France</v>
      </c>
      <c r="AN6" s="50">
        <f>L13</f>
        <v>0</v>
      </c>
      <c r="AO6" s="50">
        <f>O13</f>
        <v>0</v>
      </c>
      <c r="AP6" s="50">
        <f>M13</f>
        <v>0</v>
      </c>
      <c r="AQ6" s="51">
        <f>AN6+0.01*AO6+0.0001*AP6</f>
        <v>0</v>
      </c>
      <c r="AR6" s="77" t="str">
        <f>K13</f>
        <v>France</v>
      </c>
      <c r="AS6" s="51" t="s">
        <v>10</v>
      </c>
      <c r="AT6" s="2"/>
      <c r="AU6" s="80" t="str">
        <f>D11</f>
        <v>Albanie</v>
      </c>
      <c r="AV6" s="80">
        <f>SUM(E11,F13,F15)</f>
        <v>0</v>
      </c>
      <c r="AW6" s="80">
        <f>SUM(F11,E13,E15)</f>
        <v>0</v>
      </c>
      <c r="AX6" s="80">
        <f>SUM(AV6,-AW6)</f>
        <v>0</v>
      </c>
      <c r="AY6" s="80">
        <f>COUNTIF(H10:H15,D11)*3+COUNTIF(H11,"Égalité")+COUNTIF(H13,"Égalité")+COUNTIF(H15,"Égalité")</f>
        <v>0</v>
      </c>
      <c r="AZ6" s="80">
        <f>SUM(AY6,AX6/100,AV6/10000)</f>
        <v>0</v>
      </c>
      <c r="BA6" s="80" t="str">
        <f>D11</f>
        <v>Albanie</v>
      </c>
      <c r="BB6" s="150">
        <f>IF(AZ6=AZ5,AZ6+$F$13/10000,AZ6)</f>
        <v>0</v>
      </c>
      <c r="BC6" s="150">
        <f>IF(AZ6=AZ7,AZ6+$F$15/10000,AZ6)</f>
        <v>0</v>
      </c>
      <c r="BD6" s="150">
        <f>IF(AZ6=AZ8,AZ6+$E$11/10000,AZ6)</f>
        <v>0</v>
      </c>
      <c r="BE6" s="150">
        <f>MAX(BB6:BD6)</f>
        <v>0</v>
      </c>
      <c r="BF6" s="80" t="str">
        <f>D11</f>
        <v>Albanie</v>
      </c>
    </row>
    <row r="7" spans="2:58" ht="16.5" thickBot="1">
      <c r="B7" s="37"/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  <c r="P7" s="2"/>
      <c r="Q7" s="197" t="str">
        <f>K24</f>
        <v>Pologne</v>
      </c>
      <c r="R7" s="199"/>
      <c r="S7" s="203"/>
      <c r="T7" s="186"/>
      <c r="U7" s="2"/>
      <c r="V7" s="2"/>
      <c r="W7" s="2"/>
      <c r="X7" s="151" t="s">
        <v>122</v>
      </c>
      <c r="Y7" s="152" t="s">
        <v>123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L7" s="90" t="s">
        <v>13</v>
      </c>
      <c r="AM7" s="59" t="str">
        <f>K19</f>
        <v>P. Galles</v>
      </c>
      <c r="AN7" s="53">
        <f>L19</f>
        <v>0</v>
      </c>
      <c r="AO7" s="53">
        <f>O19</f>
        <v>0</v>
      </c>
      <c r="AP7" s="53">
        <f>M19</f>
        <v>0</v>
      </c>
      <c r="AQ7" s="57">
        <f t="shared" ref="AQ7" si="0">AN7+0.01*AO7+0.0001*AP7</f>
        <v>0</v>
      </c>
      <c r="AR7" s="59" t="str">
        <f>K19</f>
        <v>P. Galles</v>
      </c>
      <c r="AS7" s="58" t="s">
        <v>13</v>
      </c>
      <c r="AT7" s="2"/>
      <c r="AU7" s="80" t="str">
        <f>G10</f>
        <v>Roumanie</v>
      </c>
      <c r="AV7" s="80">
        <f>SUM(F10,E12,E15)</f>
        <v>0</v>
      </c>
      <c r="AW7" s="80">
        <f>SUM(E10,F12,F15)</f>
        <v>0</v>
      </c>
      <c r="AX7" s="80">
        <f>SUM(AV7,-AW7)</f>
        <v>0</v>
      </c>
      <c r="AY7" s="80">
        <f>COUNTIF(H10:H15,G10)*3+COUNTIF(H10,"Égalité")+COUNTIF(H12,"Égalité")+COUNTIF(H15,"Égalité")</f>
        <v>0</v>
      </c>
      <c r="AZ7" s="80">
        <f>SUM(AY7,AX7/100,AV7/10000)</f>
        <v>0</v>
      </c>
      <c r="BA7" s="80" t="str">
        <f>G10</f>
        <v>Roumanie</v>
      </c>
      <c r="BB7" s="150">
        <f>IF(AZ7=AZ5,AZ7+$F$10/10000,AZ7)</f>
        <v>0</v>
      </c>
      <c r="BC7" s="150">
        <f>IF(AZ7=AZ6,AZ7+$E$15/10000,AZ7)</f>
        <v>0</v>
      </c>
      <c r="BD7" s="150">
        <f>IF(AZ7=AZ8,AZ7+$E$12/10000,AZ7)</f>
        <v>0</v>
      </c>
      <c r="BE7" s="150">
        <f>MAX(BB7:BD7)</f>
        <v>0</v>
      </c>
      <c r="BF7" s="80" t="str">
        <f>G10</f>
        <v>Roumanie</v>
      </c>
    </row>
    <row r="8" spans="2:58" ht="15.75" thickBot="1">
      <c r="B8" s="37"/>
      <c r="C8" s="2"/>
      <c r="D8" s="2"/>
      <c r="E8" s="2"/>
      <c r="F8" s="2"/>
      <c r="G8" s="2"/>
      <c r="H8" s="2"/>
      <c r="I8" s="48"/>
      <c r="J8" s="46"/>
      <c r="K8" s="46"/>
      <c r="L8" s="47"/>
      <c r="M8" s="2"/>
      <c r="N8" s="2"/>
      <c r="O8" s="2"/>
      <c r="P8" s="2"/>
      <c r="Q8" s="210"/>
      <c r="R8" s="211"/>
      <c r="S8" s="204"/>
      <c r="T8" s="187"/>
      <c r="U8" s="2"/>
      <c r="V8" s="196" t="str">
        <f>IF(R5&lt;&gt;R7,IF(R5&gt;R7,Q5,Q7),IF(S5&lt;&gt;S7,IF(S5&gt;S7,Q5,Q7),IF(T5&lt;&gt;T7,IF(T5&gt;T7,Q5,Q7),"")))</f>
        <v/>
      </c>
      <c r="W8" s="198"/>
      <c r="X8" s="184"/>
      <c r="Y8" s="186"/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L8" s="90" t="s">
        <v>14</v>
      </c>
      <c r="AM8" s="59" t="str">
        <f>K25</f>
        <v>Pologne</v>
      </c>
      <c r="AN8" s="53">
        <f>L25</f>
        <v>0</v>
      </c>
      <c r="AO8" s="53">
        <f>O25</f>
        <v>0</v>
      </c>
      <c r="AP8" s="53">
        <f>M25</f>
        <v>0</v>
      </c>
      <c r="AQ8" s="57">
        <f>AN8+0.01*AO8+0.0001*AP8</f>
        <v>0</v>
      </c>
      <c r="AR8" s="59" t="str">
        <f>K25</f>
        <v>Pologne</v>
      </c>
      <c r="AS8" s="58" t="s">
        <v>14</v>
      </c>
      <c r="AT8" s="2"/>
      <c r="AU8" s="80" t="str">
        <f>G11</f>
        <v>Suisse</v>
      </c>
      <c r="AV8" s="80">
        <f>SUM(F11,F12,F14)</f>
        <v>0</v>
      </c>
      <c r="AW8" s="80">
        <f>SUM(E11,E12,E14)</f>
        <v>0</v>
      </c>
      <c r="AX8" s="80">
        <f>SUM(AV8,-AW8)</f>
        <v>0</v>
      </c>
      <c r="AY8" s="81">
        <f>COUNTIF(H10:H15,G11)*3+COUNTIF(H11:H12,"Égalité")+COUNTIF(H14,"Égalité")</f>
        <v>0</v>
      </c>
      <c r="AZ8" s="80">
        <f>SUM(AY8,AX8/100,AV8/10000)</f>
        <v>0</v>
      </c>
      <c r="BA8" s="80" t="str">
        <f>G11</f>
        <v>Suisse</v>
      </c>
      <c r="BB8" s="150">
        <f>IF(AZ8=AZ5,AZ8+$F$14/10000,AZ8)</f>
        <v>0</v>
      </c>
      <c r="BC8" s="150">
        <f>IF(AZ8=AZ6,AZ8+$F$11/10000,AZ8)</f>
        <v>0</v>
      </c>
      <c r="BD8" s="150">
        <f>IF(AZ8=AZ7,AZ8+$F$12/10000,AZ8)</f>
        <v>0</v>
      </c>
      <c r="BE8" s="150">
        <f>MAX(BB8:BD8)</f>
        <v>0</v>
      </c>
      <c r="BF8" s="80" t="str">
        <f>G11</f>
        <v>Suisse</v>
      </c>
    </row>
    <row r="9" spans="2:58" ht="15.75" thickBot="1">
      <c r="B9" s="72" t="s">
        <v>68</v>
      </c>
      <c r="C9" s="72" t="s">
        <v>120</v>
      </c>
      <c r="D9" s="214" t="s">
        <v>0</v>
      </c>
      <c r="E9" s="214"/>
      <c r="F9" s="214"/>
      <c r="G9" s="215"/>
      <c r="H9" s="72" t="s">
        <v>8</v>
      </c>
      <c r="I9" s="2"/>
      <c r="J9" s="216" t="s">
        <v>9</v>
      </c>
      <c r="K9" s="217"/>
      <c r="L9" s="217"/>
      <c r="M9" s="217"/>
      <c r="N9" s="217"/>
      <c r="O9" s="218"/>
      <c r="P9" s="2"/>
      <c r="Q9" s="95" t="s">
        <v>95</v>
      </c>
      <c r="R9" s="2"/>
      <c r="S9" s="2"/>
      <c r="T9" s="2"/>
      <c r="U9" s="2"/>
      <c r="V9" s="197"/>
      <c r="W9" s="199"/>
      <c r="X9" s="194"/>
      <c r="Y9" s="195"/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L9" s="90" t="s">
        <v>15</v>
      </c>
      <c r="AM9" s="59" t="str">
        <f>K31</f>
        <v>Turquie</v>
      </c>
      <c r="AN9" s="53">
        <f>L31</f>
        <v>0</v>
      </c>
      <c r="AO9" s="53">
        <f>O31</f>
        <v>0</v>
      </c>
      <c r="AP9" s="53">
        <f>M31</f>
        <v>0</v>
      </c>
      <c r="AQ9" s="57">
        <f>AN9+0.01*AO9+0.0001*AP9</f>
        <v>0</v>
      </c>
      <c r="AR9" s="59" t="str">
        <f>K31</f>
        <v>Turquie</v>
      </c>
      <c r="AS9" s="58" t="s">
        <v>15</v>
      </c>
      <c r="AT9" s="2"/>
      <c r="AU9" s="80"/>
      <c r="AV9" s="80"/>
      <c r="AW9" s="80"/>
      <c r="AX9" s="80"/>
      <c r="AY9" s="80"/>
      <c r="AZ9" s="80"/>
      <c r="BA9" s="80"/>
      <c r="BB9" s="79"/>
      <c r="BC9" s="79"/>
      <c r="BE9" s="150"/>
    </row>
    <row r="10" spans="2:58" ht="16.5" thickBot="1">
      <c r="B10" s="219" t="s">
        <v>10</v>
      </c>
      <c r="C10" s="157" t="s">
        <v>69</v>
      </c>
      <c r="D10" s="69" t="s">
        <v>45</v>
      </c>
      <c r="E10" s="50"/>
      <c r="F10" s="50"/>
      <c r="G10" s="51" t="s">
        <v>58</v>
      </c>
      <c r="H10" s="52" t="str">
        <f t="shared" ref="H10:H45" si="1">IF(E10&gt;F10,D10,IF(E10&lt;F10,G10,IF(E10="","Non joué",IF(E10=F10,"Égalité"))))</f>
        <v>Non joué</v>
      </c>
      <c r="I10" s="8"/>
      <c r="J10" s="73" t="s">
        <v>44</v>
      </c>
      <c r="K10" s="74" t="s">
        <v>1</v>
      </c>
      <c r="L10" s="74" t="s">
        <v>3</v>
      </c>
      <c r="M10" s="75" t="s">
        <v>4</v>
      </c>
      <c r="N10" s="75" t="s">
        <v>5</v>
      </c>
      <c r="O10" s="76" t="s">
        <v>11</v>
      </c>
      <c r="P10" s="2"/>
      <c r="Q10" s="2"/>
      <c r="R10" s="2"/>
      <c r="S10" s="151" t="s">
        <v>122</v>
      </c>
      <c r="T10" s="152" t="s">
        <v>123</v>
      </c>
      <c r="U10" s="2"/>
      <c r="V10" s="197" t="str">
        <f>IF(R11&lt;&gt;R13,IF(R11&gt;R13,Q11,Q13),IF(S11&lt;&gt;S13,IF(S11&gt;S13,Q11,Q13),IF(T11&lt;&gt;T13,IF(T11&gt;T13,Q11,Q13),"")))</f>
        <v/>
      </c>
      <c r="W10" s="199"/>
      <c r="X10" s="184"/>
      <c r="Y10" s="18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L10" s="90" t="s">
        <v>16</v>
      </c>
      <c r="AM10" s="59" t="str">
        <f>K37</f>
        <v>Belgique</v>
      </c>
      <c r="AN10" s="53">
        <f>L37</f>
        <v>0</v>
      </c>
      <c r="AO10" s="53">
        <f>O37</f>
        <v>0</v>
      </c>
      <c r="AP10" s="53">
        <f>M37</f>
        <v>0</v>
      </c>
      <c r="AQ10" s="57">
        <f>AN10+0.01*AO10+0.0001*AP10</f>
        <v>0</v>
      </c>
      <c r="AR10" s="59" t="str">
        <f>K37</f>
        <v>Belgique</v>
      </c>
      <c r="AS10" s="58" t="s">
        <v>16</v>
      </c>
      <c r="AT10" s="2"/>
      <c r="AU10" s="80" t="s">
        <v>1</v>
      </c>
      <c r="AV10" s="80" t="s">
        <v>4</v>
      </c>
      <c r="AW10" s="80" t="s">
        <v>5</v>
      </c>
      <c r="AX10" s="81" t="s">
        <v>11</v>
      </c>
      <c r="AY10" s="80" t="s">
        <v>3</v>
      </c>
      <c r="AZ10" s="80" t="s">
        <v>12</v>
      </c>
      <c r="BA10" s="80" t="s">
        <v>1</v>
      </c>
      <c r="BB10" s="79"/>
      <c r="BC10" s="79"/>
      <c r="BE10" s="150" t="s">
        <v>121</v>
      </c>
      <c r="BF10" s="80" t="s">
        <v>1</v>
      </c>
    </row>
    <row r="11" spans="2:58" ht="15.75" thickBot="1">
      <c r="B11" s="220"/>
      <c r="C11" s="158" t="s">
        <v>70</v>
      </c>
      <c r="D11" s="67" t="s">
        <v>46</v>
      </c>
      <c r="E11" s="53"/>
      <c r="F11" s="53"/>
      <c r="G11" s="58" t="s">
        <v>57</v>
      </c>
      <c r="H11" s="54" t="str">
        <f>IF(E11&gt;F11,D11,IF(E11&lt;F11,G11,IF(E11="","Non joué",IF(E11=F11,"Égalité"))))</f>
        <v>Non joué</v>
      </c>
      <c r="I11" s="8"/>
      <c r="J11" s="98">
        <v>1</v>
      </c>
      <c r="K11" s="99" t="str">
        <f>VLOOKUP(MAX(BE5:BE8),BE5:BF8,2,FALSE)</f>
        <v>France</v>
      </c>
      <c r="L11" s="100">
        <f>VLOOKUP(K11,AU5:AY8,5,FALSE)</f>
        <v>0</v>
      </c>
      <c r="M11" s="100">
        <f>VLOOKUP(K11,AU5:AV8,2,FALSE)</f>
        <v>0</v>
      </c>
      <c r="N11" s="100">
        <f>VLOOKUP(K11,AU5:AW8,3,FALSE)</f>
        <v>0</v>
      </c>
      <c r="O11" s="101">
        <f>VLOOKUP(K11,AU5:AX8,4,FALSE)</f>
        <v>0</v>
      </c>
      <c r="P11" s="2"/>
      <c r="Q11" s="196" t="str">
        <f>K29</f>
        <v>Turquie</v>
      </c>
      <c r="R11" s="198"/>
      <c r="S11" s="203"/>
      <c r="T11" s="186"/>
      <c r="U11" s="2"/>
      <c r="V11" s="222"/>
      <c r="W11" s="211"/>
      <c r="X11" s="185"/>
      <c r="Y11" s="18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L11" s="91" t="s">
        <v>17</v>
      </c>
      <c r="AM11" s="61" t="str">
        <f>K43</f>
        <v>Autriche</v>
      </c>
      <c r="AN11" s="63">
        <f>L43</f>
        <v>0</v>
      </c>
      <c r="AO11" s="63">
        <f>O43</f>
        <v>0</v>
      </c>
      <c r="AP11" s="63">
        <f>M43</f>
        <v>0</v>
      </c>
      <c r="AQ11" s="92">
        <f>AN11+0.01*AO11+0.0001*AP11</f>
        <v>0</v>
      </c>
      <c r="AR11" s="61" t="str">
        <f>K43</f>
        <v>Autriche</v>
      </c>
      <c r="AS11" s="64" t="s">
        <v>17</v>
      </c>
      <c r="AT11" s="2"/>
      <c r="AU11" s="80" t="str">
        <f>D16</f>
        <v>P. Galles</v>
      </c>
      <c r="AV11" s="80">
        <f>SUM(E16,F19,F21)</f>
        <v>0</v>
      </c>
      <c r="AW11" s="80">
        <f>SUM(F16,E19,E21)</f>
        <v>0</v>
      </c>
      <c r="AX11" s="80">
        <f>SUM(AV11,-AW11)</f>
        <v>0</v>
      </c>
      <c r="AY11" s="80">
        <f>COUNTIF(H16:H21,D16)*3+COUNTIF(H16,"Égalité")+COUNTIF(H19,"Égalité")+COUNTIF(H21,"Égalité")</f>
        <v>0</v>
      </c>
      <c r="AZ11" s="80">
        <f>SUM(AY11,AX11/100,AV11/10000)</f>
        <v>0</v>
      </c>
      <c r="BA11" s="80" t="str">
        <f>D16</f>
        <v>P. Galles</v>
      </c>
      <c r="BB11" s="150">
        <f>IF(AZ11=AZ12,AZ11+$F$19/10000,AZ11)</f>
        <v>0</v>
      </c>
      <c r="BC11" s="150">
        <f>IF(AZ11=AZ13,AZ11+$E$16/10000,AZ11)</f>
        <v>0</v>
      </c>
      <c r="BD11" s="150">
        <f>IF(AZ11=AZ14,AZ11+$F$21/10000,AZ11)</f>
        <v>0</v>
      </c>
      <c r="BE11" s="150">
        <f t="shared" ref="BE11:BE38" si="2">MAX(BB11:BD11)</f>
        <v>0</v>
      </c>
      <c r="BF11" s="150" t="str">
        <f>D16</f>
        <v>P. Galles</v>
      </c>
    </row>
    <row r="12" spans="2:58" ht="15.75" thickBot="1">
      <c r="B12" s="220"/>
      <c r="C12" s="158" t="s">
        <v>78</v>
      </c>
      <c r="D12" s="67" t="str">
        <f>G10</f>
        <v>Roumanie</v>
      </c>
      <c r="E12" s="53"/>
      <c r="F12" s="53"/>
      <c r="G12" s="58" t="str">
        <f>G11</f>
        <v>Suisse</v>
      </c>
      <c r="H12" s="54" t="str">
        <f>IF(E12&gt;F12,D12,IF(E12&lt;F12,G12,IF(E12="","Non joué",IF(E12=F12,"Égalité"))))</f>
        <v>Non joué</v>
      </c>
      <c r="I12" s="8"/>
      <c r="J12" s="102">
        <v>2</v>
      </c>
      <c r="K12" s="103" t="str">
        <f>VLOOKUP(LARGE(BE5:BE8,2),BE5:BF8,2,FALSE)</f>
        <v>France</v>
      </c>
      <c r="L12" s="104">
        <f>VLOOKUP(K12,AU5:AY8,5,FALSE)</f>
        <v>0</v>
      </c>
      <c r="M12" s="104">
        <f>VLOOKUP(K12,AU5:AV8,2,FALSE)</f>
        <v>0</v>
      </c>
      <c r="N12" s="104">
        <f>VLOOKUP(K12,AU5:AW8,3,FALSE)</f>
        <v>0</v>
      </c>
      <c r="O12" s="105">
        <f>VLOOKUP(K12,AU5:AX8,4,FALSE)</f>
        <v>0</v>
      </c>
      <c r="P12" s="2"/>
      <c r="Q12" s="197"/>
      <c r="R12" s="199"/>
      <c r="S12" s="213"/>
      <c r="T12" s="195"/>
      <c r="U12" s="2"/>
      <c r="V12" s="49" t="s">
        <v>103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"/>
      <c r="AT12" s="2"/>
      <c r="AU12" s="80" t="str">
        <f>D17</f>
        <v>Angleterre</v>
      </c>
      <c r="AV12" s="80">
        <f>SUM(E17,E19:E20)</f>
        <v>0</v>
      </c>
      <c r="AW12" s="80">
        <f>SUM(F17,F19:F20)</f>
        <v>0</v>
      </c>
      <c r="AX12" s="80">
        <f t="shared" ref="AX12:AX14" si="3">SUM(AV12,-AW12)</f>
        <v>0</v>
      </c>
      <c r="AY12" s="80">
        <f>COUNTIF(H16:H21,D17)*3+COUNTIF(H17,"Égalité")+COUNTIF(H19:H20,"Égalité")</f>
        <v>0</v>
      </c>
      <c r="AZ12" s="80">
        <f t="shared" ref="AZ12:AZ14" si="4">SUM(AY12,AX12/100,AV12/10000)</f>
        <v>0</v>
      </c>
      <c r="BA12" s="80" t="str">
        <f>D17</f>
        <v>Angleterre</v>
      </c>
      <c r="BB12" s="150">
        <f>IF(AZ12=AZ11,AZ12+$E$19/10000,AZ12)</f>
        <v>0</v>
      </c>
      <c r="BC12" s="150">
        <f>IF(AZ12=AZ13,AZ12+$E$20/10000,AZ12)</f>
        <v>0</v>
      </c>
      <c r="BD12" s="150">
        <f>IF(AZ12=AZ14,AZ12+$E$17/10000,AZ12)</f>
        <v>0</v>
      </c>
      <c r="BE12" s="150">
        <f t="shared" si="2"/>
        <v>0</v>
      </c>
      <c r="BF12" s="150" t="str">
        <f>D17</f>
        <v>Angleterre</v>
      </c>
    </row>
    <row r="13" spans="2:58" ht="16.5" thickBot="1">
      <c r="B13" s="220"/>
      <c r="C13" s="158" t="s">
        <v>79</v>
      </c>
      <c r="D13" s="67" t="str">
        <f>D10</f>
        <v>France</v>
      </c>
      <c r="E13" s="53"/>
      <c r="F13" s="53"/>
      <c r="G13" s="58" t="str">
        <f>D11</f>
        <v>Albanie</v>
      </c>
      <c r="H13" s="54" t="str">
        <f>IF(E13&gt;F13,D13,IF(E13&lt;F13,G13,IF(E13="","Non joué",IF(E13=F13,"Égalité"))))</f>
        <v>Non joué</v>
      </c>
      <c r="I13" s="8"/>
      <c r="J13" s="54">
        <v>3</v>
      </c>
      <c r="K13" s="59" t="str">
        <f>VLOOKUP(LARGE(BE5:BE8,3),BE5:BF8,2,FALSE)</f>
        <v>France</v>
      </c>
      <c r="L13" s="53">
        <f>VLOOKUP(K13,AU5:AY8,5,FALSE)</f>
        <v>0</v>
      </c>
      <c r="M13" s="53">
        <f>VLOOKUP(K13,AU5:AV8,2,FALSE)</f>
        <v>0</v>
      </c>
      <c r="N13" s="53">
        <f>VLOOKUP(K13,AU5:AW8,3,FALSE)</f>
        <v>0</v>
      </c>
      <c r="O13" s="58">
        <f>VLOOKUP(K13,AU5:AX8,4,FALSE)</f>
        <v>0</v>
      </c>
      <c r="P13" s="2"/>
      <c r="Q13" s="197" t="e">
        <f>AZ65</f>
        <v>#N/A</v>
      </c>
      <c r="R13" s="199"/>
      <c r="S13" s="203"/>
      <c r="T13" s="186"/>
      <c r="U13" s="2"/>
      <c r="V13" s="2"/>
      <c r="W13" s="2"/>
      <c r="X13" s="2"/>
      <c r="Y13" s="2"/>
      <c r="Z13" s="2"/>
      <c r="AA13" s="2"/>
      <c r="AB13" s="2"/>
      <c r="AC13" s="151" t="s">
        <v>122</v>
      </c>
      <c r="AD13" s="152" t="s">
        <v>123</v>
      </c>
      <c r="AE13" s="2"/>
      <c r="AF13" s="2"/>
      <c r="AG13" s="2"/>
      <c r="AH13" s="2"/>
      <c r="AI13" s="2"/>
      <c r="AJ13" s="1"/>
      <c r="AT13" s="2"/>
      <c r="AU13" s="80" t="str">
        <f>G16</f>
        <v>Slovaquie</v>
      </c>
      <c r="AV13" s="80">
        <f>SUM(F16,F18,F20)</f>
        <v>0</v>
      </c>
      <c r="AW13" s="80">
        <f>SUM(E16,E18,E20)</f>
        <v>0</v>
      </c>
      <c r="AX13" s="80">
        <f t="shared" si="3"/>
        <v>0</v>
      </c>
      <c r="AY13" s="80">
        <f>COUNTIF(H16:H21,G16)*3+COUNTIF(H16,"Égalité")+COUNTIF(H18,"Égalité")+COUNTIF(H20,"Égalité")</f>
        <v>0</v>
      </c>
      <c r="AZ13" s="80">
        <f t="shared" si="4"/>
        <v>0</v>
      </c>
      <c r="BA13" s="80" t="str">
        <f>G16</f>
        <v>Slovaquie</v>
      </c>
      <c r="BB13" s="150">
        <f>IF(AZ13=AZ11,AZ13+$F$16/10000,AZ13)</f>
        <v>0</v>
      </c>
      <c r="BC13" s="150">
        <f>IF(AZ13=AZ12,AZ13+$F$20/10000,AZ13)</f>
        <v>0</v>
      </c>
      <c r="BD13" s="150">
        <f>IF(AZ13=AZ14,AZ13+$F$18/10000,AZ13)</f>
        <v>0</v>
      </c>
      <c r="BE13" s="150">
        <f t="shared" si="2"/>
        <v>0</v>
      </c>
      <c r="BF13" s="150" t="str">
        <f>G16</f>
        <v>Slovaquie</v>
      </c>
    </row>
    <row r="14" spans="2:58" ht="15.75" thickBot="1">
      <c r="B14" s="220"/>
      <c r="C14" s="158" t="s">
        <v>86</v>
      </c>
      <c r="D14" s="67" t="str">
        <f>D10</f>
        <v>France</v>
      </c>
      <c r="E14" s="53"/>
      <c r="F14" s="53"/>
      <c r="G14" s="58" t="str">
        <f>G11</f>
        <v>Suisse</v>
      </c>
      <c r="H14" s="54" t="str">
        <f>IF(E14&gt;F14,D14,IF(E14&lt;F14,G14,IF(E14="","Non joué",IF(E14=F14,"Égalité"))))</f>
        <v>Non joué</v>
      </c>
      <c r="I14" s="8"/>
      <c r="J14" s="60">
        <v>4</v>
      </c>
      <c r="K14" s="65" t="str">
        <f>VLOOKUP(LARGE(BE5:BE8,4),BE5:BF8,2,FALSE)</f>
        <v>France</v>
      </c>
      <c r="L14" s="62">
        <f>VLOOKUP(K14,AU5:AY8,5,FALSE)</f>
        <v>0</v>
      </c>
      <c r="M14" s="63">
        <f>VLOOKUP(K14,AU5:AV8,2,FALSE)</f>
        <v>0</v>
      </c>
      <c r="N14" s="63">
        <f>VLOOKUP(K14,AU5:AW8,3,FALSE)</f>
        <v>0</v>
      </c>
      <c r="O14" s="64">
        <f>VLOOKUP(K14,AU5:AX8,4,FALSE)</f>
        <v>0</v>
      </c>
      <c r="P14" s="2"/>
      <c r="Q14" s="210"/>
      <c r="R14" s="211"/>
      <c r="S14" s="204"/>
      <c r="T14" s="187"/>
      <c r="U14" s="2"/>
      <c r="V14" s="2"/>
      <c r="W14" s="2"/>
      <c r="X14" s="2"/>
      <c r="Y14" s="2"/>
      <c r="Z14" s="2"/>
      <c r="AA14" s="196" t="str">
        <f>IF(W8&lt;&gt;W10,IF(W8&gt;W10,V8,V10),IF(X8&lt;&gt;X10,IF(X8&gt;X10,V8,V10),IF(Y8&lt;&gt;Y10,IF(Y8&gt;Y10,V8,V10),"")))</f>
        <v/>
      </c>
      <c r="AB14" s="198"/>
      <c r="AC14" s="184"/>
      <c r="AD14" s="186"/>
      <c r="AE14" s="2"/>
      <c r="AF14" s="2"/>
      <c r="AG14" s="2"/>
      <c r="AH14" s="2"/>
      <c r="AI14" s="2"/>
      <c r="AJ14" s="1"/>
      <c r="AT14" s="2"/>
      <c r="AU14" s="80" t="str">
        <f>G17</f>
        <v>Russie</v>
      </c>
      <c r="AV14" s="80">
        <f>SUM(F17,E18,E21)</f>
        <v>0</v>
      </c>
      <c r="AW14" s="80">
        <f>SUM(E17,F18,F21)</f>
        <v>0</v>
      </c>
      <c r="AX14" s="80">
        <f t="shared" si="3"/>
        <v>0</v>
      </c>
      <c r="AY14" s="81">
        <f>COUNTIF(H16:H21,G17)*3+COUNTIF(H17:H18,"Égalité")+COUNTIF(H21,"Égalité")</f>
        <v>0</v>
      </c>
      <c r="AZ14" s="80">
        <f t="shared" si="4"/>
        <v>0</v>
      </c>
      <c r="BA14" s="80" t="str">
        <f>G17</f>
        <v>Russie</v>
      </c>
      <c r="BB14" s="150">
        <f>IF(AZ14=AZ11,AZ14+$E$21/10000,AZ14)</f>
        <v>0</v>
      </c>
      <c r="BC14" s="150">
        <f>IF(AZ14=AZ12,AZ14+$F$17/10000,AZ14)</f>
        <v>0</v>
      </c>
      <c r="BD14" s="150">
        <f>IF(AZ14=AZ13,AZ14+$E$18/10000,AZ14)</f>
        <v>0</v>
      </c>
      <c r="BE14" s="150">
        <f t="shared" si="2"/>
        <v>0</v>
      </c>
      <c r="BF14" s="150" t="str">
        <f>G17</f>
        <v>Russie</v>
      </c>
    </row>
    <row r="15" spans="2:58" ht="15.75" thickBot="1">
      <c r="B15" s="221"/>
      <c r="C15" s="159" t="s">
        <v>110</v>
      </c>
      <c r="D15" s="68" t="str">
        <f>G10</f>
        <v>Roumanie</v>
      </c>
      <c r="E15" s="63"/>
      <c r="F15" s="63"/>
      <c r="G15" s="64" t="str">
        <f>D11</f>
        <v>Albanie</v>
      </c>
      <c r="H15" s="60" t="str">
        <f>IF(E15&gt;F15,D15,IF(E15&lt;F15,G15,IF(E15="","Non joué",IF(E15=F15,"Égalité"))))</f>
        <v>Non joué</v>
      </c>
      <c r="I15" s="8"/>
      <c r="J15" s="2"/>
      <c r="K15" s="2"/>
      <c r="L15" s="2"/>
      <c r="M15" s="2"/>
      <c r="N15" s="2"/>
      <c r="O15" s="2"/>
      <c r="P15" s="2"/>
      <c r="Q15" s="49" t="s">
        <v>97</v>
      </c>
      <c r="R15" s="2"/>
      <c r="S15" s="2"/>
      <c r="T15" s="2"/>
      <c r="U15" s="2"/>
      <c r="V15" s="2"/>
      <c r="W15" s="2"/>
      <c r="X15" s="2"/>
      <c r="Y15" s="2"/>
      <c r="Z15" s="2"/>
      <c r="AA15" s="197"/>
      <c r="AB15" s="199"/>
      <c r="AC15" s="194"/>
      <c r="AD15" s="195"/>
      <c r="AE15" s="2"/>
      <c r="AF15" s="2"/>
      <c r="AG15" s="2"/>
      <c r="AH15" s="2"/>
      <c r="AI15" s="2"/>
      <c r="AJ15" s="1"/>
      <c r="AT15" s="2"/>
      <c r="AU15" s="80"/>
      <c r="AV15" s="80"/>
      <c r="AW15" s="80"/>
      <c r="AX15" s="80"/>
      <c r="AY15" s="80"/>
      <c r="AZ15" s="80"/>
      <c r="BA15" s="80"/>
      <c r="BB15" s="79"/>
      <c r="BC15" s="79"/>
      <c r="BE15" s="150"/>
    </row>
    <row r="16" spans="2:58" ht="16.5" thickBot="1">
      <c r="B16" s="223" t="s">
        <v>13</v>
      </c>
      <c r="C16" s="157" t="s">
        <v>71</v>
      </c>
      <c r="D16" s="69" t="s">
        <v>48</v>
      </c>
      <c r="E16" s="50"/>
      <c r="F16" s="50"/>
      <c r="G16" s="51" t="s">
        <v>59</v>
      </c>
      <c r="H16" s="52" t="str">
        <f t="shared" si="1"/>
        <v>Non joué</v>
      </c>
      <c r="I16" s="8"/>
      <c r="J16" s="73" t="s">
        <v>44</v>
      </c>
      <c r="K16" s="74" t="s">
        <v>1</v>
      </c>
      <c r="L16" s="74" t="s">
        <v>3</v>
      </c>
      <c r="M16" s="75" t="s">
        <v>4</v>
      </c>
      <c r="N16" s="75" t="s">
        <v>5</v>
      </c>
      <c r="O16" s="76" t="s">
        <v>11</v>
      </c>
      <c r="P16" s="2"/>
      <c r="Q16" s="2"/>
      <c r="R16" s="2"/>
      <c r="S16" s="151" t="s">
        <v>122</v>
      </c>
      <c r="T16" s="152" t="s">
        <v>123</v>
      </c>
      <c r="U16" s="2"/>
      <c r="V16" s="2"/>
      <c r="W16" s="2"/>
      <c r="X16" s="2"/>
      <c r="Y16" s="2"/>
      <c r="Z16" s="2"/>
      <c r="AA16" s="197" t="str">
        <f>IF(W20&lt;&gt;W22,IF(W20&gt;W22,V20,V22),IF(X20&lt;&gt;X22,IF(X20&gt;X22,V20,V22),IF(Y20&lt;&gt;Y22,IF(Y20&gt;Y22,V20,V22),"")))</f>
        <v/>
      </c>
      <c r="AB16" s="199"/>
      <c r="AC16" s="184"/>
      <c r="AD16" s="186"/>
      <c r="AE16" s="2"/>
      <c r="AF16" s="2"/>
      <c r="AG16" s="2"/>
      <c r="AH16" s="2"/>
      <c r="AI16" s="2"/>
      <c r="AJ16" s="1"/>
      <c r="AT16" s="2"/>
      <c r="AU16" s="80" t="s">
        <v>1</v>
      </c>
      <c r="AV16" s="80" t="s">
        <v>4</v>
      </c>
      <c r="AW16" s="80" t="s">
        <v>5</v>
      </c>
      <c r="AX16" s="81" t="s">
        <v>11</v>
      </c>
      <c r="AY16" s="80" t="s">
        <v>3</v>
      </c>
      <c r="AZ16" s="80" t="s">
        <v>12</v>
      </c>
      <c r="BA16" s="80" t="s">
        <v>1</v>
      </c>
      <c r="BB16" s="79"/>
      <c r="BC16" s="79"/>
      <c r="BE16" s="150" t="s">
        <v>121</v>
      </c>
      <c r="BF16" s="80" t="s">
        <v>1</v>
      </c>
    </row>
    <row r="17" spans="2:58" ht="15.75" thickBot="1">
      <c r="B17" s="224"/>
      <c r="C17" s="160" t="s">
        <v>111</v>
      </c>
      <c r="D17" s="67" t="s">
        <v>47</v>
      </c>
      <c r="E17" s="53"/>
      <c r="F17" s="53"/>
      <c r="G17" s="58" t="s">
        <v>60</v>
      </c>
      <c r="H17" s="54" t="str">
        <f t="shared" si="1"/>
        <v>Non joué</v>
      </c>
      <c r="I17" s="8"/>
      <c r="J17" s="114">
        <v>1</v>
      </c>
      <c r="K17" s="115" t="str">
        <f>VLOOKUP(MAX(BE11:BE14),BE11:BF14,2,FALSE)</f>
        <v>P. Galles</v>
      </c>
      <c r="L17" s="116">
        <f>VLOOKUP(K17,AU11:AY14,5,FALSE)</f>
        <v>0</v>
      </c>
      <c r="M17" s="116">
        <f>VLOOKUP(K17,AU11:AV14,2,FALSE)</f>
        <v>0</v>
      </c>
      <c r="N17" s="116">
        <f>VLOOKUP(K17,AU11:AW14,3,FALSE)</f>
        <v>0</v>
      </c>
      <c r="O17" s="117">
        <f>VLOOKUP(K17,AU11:AX14,4,FALSE)</f>
        <v>0</v>
      </c>
      <c r="P17" s="2"/>
      <c r="Q17" s="196" t="str">
        <f>K17</f>
        <v>P. Galles</v>
      </c>
      <c r="R17" s="198"/>
      <c r="S17" s="226"/>
      <c r="T17" s="227"/>
      <c r="U17" s="2"/>
      <c r="V17" s="2"/>
      <c r="W17" s="2"/>
      <c r="X17" s="2"/>
      <c r="Y17" s="2"/>
      <c r="Z17" s="2"/>
      <c r="AA17" s="222"/>
      <c r="AB17" s="211"/>
      <c r="AC17" s="185"/>
      <c r="AD17" s="187"/>
      <c r="AE17" s="2"/>
      <c r="AF17" s="2"/>
      <c r="AG17" s="2"/>
      <c r="AH17" s="2"/>
      <c r="AI17" s="2"/>
      <c r="AJ17" s="1"/>
      <c r="AL17" s="200" t="s">
        <v>22</v>
      </c>
      <c r="AM17" s="201"/>
      <c r="AN17" s="201"/>
      <c r="AO17" s="201"/>
      <c r="AP17" s="201"/>
      <c r="AQ17" s="202"/>
      <c r="AR17" s="2"/>
      <c r="AT17" s="2"/>
      <c r="AU17" s="80" t="str">
        <f>D22</f>
        <v>Pologne</v>
      </c>
      <c r="AV17" s="80">
        <f>SUM(E22,F25,F27)</f>
        <v>0</v>
      </c>
      <c r="AW17" s="80">
        <f>SUM(F22,E25,E27)</f>
        <v>0</v>
      </c>
      <c r="AX17" s="80">
        <f>SUM(AV17,-AW17)</f>
        <v>0</v>
      </c>
      <c r="AY17" s="80">
        <f>COUNTIF(H22:H27,D22)*3+COUNTIF(H22,"Égalité")+COUNTIF(H25,"Égalité")+COUNTIF(H27,"Égalité")</f>
        <v>0</v>
      </c>
      <c r="AZ17" s="80">
        <f>SUM(AY17,AX17/100,AV17/10000)</f>
        <v>0</v>
      </c>
      <c r="BA17" s="80" t="str">
        <f>D22</f>
        <v>Pologne</v>
      </c>
      <c r="BB17" s="150">
        <f>IF(AZ17=AZ18,AZ17+$F$25/10000,AZ17)</f>
        <v>0</v>
      </c>
      <c r="BC17" s="150">
        <f>IF(AZ17=AZ19,AZ17+$E$22/10000,AZ17)</f>
        <v>0</v>
      </c>
      <c r="BD17" s="150">
        <f>IF(AZ17=AZ20,AZ17+$F$27/10000,AZ17)</f>
        <v>0</v>
      </c>
      <c r="BE17" s="150">
        <f t="shared" si="2"/>
        <v>0</v>
      </c>
      <c r="BF17" s="150" t="str">
        <f>D22</f>
        <v>Pologne</v>
      </c>
    </row>
    <row r="18" spans="2:58" ht="15.75" thickBot="1">
      <c r="B18" s="224"/>
      <c r="C18" s="158" t="s">
        <v>77</v>
      </c>
      <c r="D18" s="67" t="str">
        <f>G17</f>
        <v>Russie</v>
      </c>
      <c r="E18" s="53"/>
      <c r="F18" s="53"/>
      <c r="G18" s="58" t="str">
        <f>G16</f>
        <v>Slovaquie</v>
      </c>
      <c r="H18" s="54" t="str">
        <f t="shared" si="1"/>
        <v>Non joué</v>
      </c>
      <c r="I18" s="8"/>
      <c r="J18" s="118">
        <v>2</v>
      </c>
      <c r="K18" s="119" t="str">
        <f>VLOOKUP(LARGE(BE11:BE14,2),BE11:BF14,2,FALSE)</f>
        <v>P. Galles</v>
      </c>
      <c r="L18" s="120">
        <f>VLOOKUP(K18,AU11:AY14,5,FALSE)</f>
        <v>0</v>
      </c>
      <c r="M18" s="120">
        <f>VLOOKUP(K18,AU11:AV14,2,FALSE)</f>
        <v>0</v>
      </c>
      <c r="N18" s="120">
        <f>VLOOKUP(K18,AU11:AW14,3,FALSE)</f>
        <v>0</v>
      </c>
      <c r="O18" s="121">
        <f>VLOOKUP(K18,AU11:AX14,4,FALSE)</f>
        <v>0</v>
      </c>
      <c r="P18" s="2"/>
      <c r="Q18" s="197"/>
      <c r="R18" s="199"/>
      <c r="S18" s="213"/>
      <c r="T18" s="195"/>
      <c r="U18" s="2"/>
      <c r="V18" s="2"/>
      <c r="W18" s="2"/>
      <c r="X18" s="2"/>
      <c r="Y18" s="2"/>
      <c r="Z18" s="2"/>
      <c r="AA18" s="49" t="s">
        <v>107</v>
      </c>
      <c r="AB18" s="2"/>
      <c r="AC18" s="2"/>
      <c r="AD18" s="2"/>
      <c r="AE18" s="2"/>
      <c r="AF18" s="2"/>
      <c r="AG18" s="2"/>
      <c r="AH18" s="2"/>
      <c r="AI18" s="2"/>
      <c r="AJ18" s="1"/>
      <c r="AL18" s="9" t="s">
        <v>20</v>
      </c>
      <c r="AM18" s="4" t="s">
        <v>21</v>
      </c>
      <c r="AN18" s="5" t="s">
        <v>19</v>
      </c>
      <c r="AO18" s="5" t="s">
        <v>3</v>
      </c>
      <c r="AP18" s="5" t="str">
        <f>"+/-"</f>
        <v>+/-</v>
      </c>
      <c r="AQ18" s="7" t="s">
        <v>4</v>
      </c>
      <c r="AR18" s="2"/>
      <c r="AT18" s="2"/>
      <c r="AU18" s="80" t="str">
        <f>D23</f>
        <v>Allemagne</v>
      </c>
      <c r="AV18" s="80">
        <f>SUM(E23,E25:E26)</f>
        <v>0</v>
      </c>
      <c r="AW18" s="80">
        <f>SUM(F23,F25:F26)</f>
        <v>0</v>
      </c>
      <c r="AX18" s="80">
        <f t="shared" ref="AX18:AX20" si="5">SUM(AV18,-AW18)</f>
        <v>0</v>
      </c>
      <c r="AY18" s="80">
        <f>COUNTIF(H22:H27,D23)*3+COUNTIF(H23,"Égalité")+COUNTIF(H25:H26,"Égalité")</f>
        <v>0</v>
      </c>
      <c r="AZ18" s="80">
        <f t="shared" ref="AZ18:AZ20" si="6">SUM(AY18,AX18/100,AV18/10000)</f>
        <v>0</v>
      </c>
      <c r="BA18" s="80" t="str">
        <f>D23</f>
        <v>Allemagne</v>
      </c>
      <c r="BB18" s="150">
        <f>IF(AZ18=AZ17,AZ18+$E$25/10000,AZ18)</f>
        <v>0</v>
      </c>
      <c r="BC18" s="150">
        <f>IF(AZ18=AZ19,AZ18+$E$26/10000,AZ18)</f>
        <v>0</v>
      </c>
      <c r="BD18" s="150">
        <f>IF(AZ18=AZ20,AZ18+$E$23/10000,AZ18)</f>
        <v>0</v>
      </c>
      <c r="BE18" s="150">
        <f t="shared" si="2"/>
        <v>0</v>
      </c>
      <c r="BF18" s="150" t="str">
        <f>D23</f>
        <v>Allemagne</v>
      </c>
    </row>
    <row r="19" spans="2:58" ht="16.5" thickBot="1">
      <c r="B19" s="224"/>
      <c r="C19" s="158" t="s">
        <v>80</v>
      </c>
      <c r="D19" s="67" t="str">
        <f>D17</f>
        <v>Angleterre</v>
      </c>
      <c r="E19" s="53"/>
      <c r="F19" s="53"/>
      <c r="G19" s="58" t="str">
        <f>D16</f>
        <v>P. Galles</v>
      </c>
      <c r="H19" s="54" t="str">
        <f t="shared" si="1"/>
        <v>Non joué</v>
      </c>
      <c r="I19" s="8"/>
      <c r="J19" s="54">
        <v>3</v>
      </c>
      <c r="K19" s="59" t="str">
        <f>VLOOKUP(LARGE(BE11:BE14,3),BE11:BF14,2,FALSE)</f>
        <v>P. Galles</v>
      </c>
      <c r="L19" s="53">
        <f>VLOOKUP(K19,AU11:AY14,5,FALSE)</f>
        <v>0</v>
      </c>
      <c r="M19" s="53">
        <f>VLOOKUP(K19,AU11:AV14,2,FALSE)</f>
        <v>0</v>
      </c>
      <c r="N19" s="53">
        <f>VLOOKUP(K19,AU11:AW14,3,FALSE)</f>
        <v>0</v>
      </c>
      <c r="O19" s="58">
        <f>VLOOKUP(K19,AU11:AX14,4,FALSE)</f>
        <v>0</v>
      </c>
      <c r="P19" s="2"/>
      <c r="Q19" s="197" t="e">
        <f>AX65</f>
        <v>#N/A</v>
      </c>
      <c r="R19" s="199"/>
      <c r="S19" s="203"/>
      <c r="T19" s="186"/>
      <c r="U19" s="2"/>
      <c r="V19" s="2"/>
      <c r="W19" s="2"/>
      <c r="X19" s="151" t="s">
        <v>122</v>
      </c>
      <c r="Y19" s="152" t="s">
        <v>123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"/>
      <c r="AL19" s="10">
        <v>1</v>
      </c>
      <c r="AM19" s="11" t="str">
        <f t="shared" ref="AM19:AM24" si="7">VLOOKUP(AN19,$AR$6:$BA$11,2,FALSE)</f>
        <v>A</v>
      </c>
      <c r="AN19" s="12" t="str">
        <f>VLOOKUP(MAX(AQ6:AQ11),AQ6:AR11,2,FALSE)</f>
        <v>France</v>
      </c>
      <c r="AO19" s="13">
        <f t="shared" ref="AO19:AO24" si="8">VLOOKUP(AN19,$AM$6:$AP$11,2,FALSE)</f>
        <v>0</v>
      </c>
      <c r="AP19" s="13">
        <f t="shared" ref="AP19:AP24" si="9">VLOOKUP($AN19,$AM$6:$AP$11,3,FALSE)</f>
        <v>0</v>
      </c>
      <c r="AQ19" s="14">
        <f t="shared" ref="AQ19:AQ24" si="10">VLOOKUP($AN19,$AM$6:$AP$11,4,FALSE)</f>
        <v>0</v>
      </c>
      <c r="AR19" s="2"/>
      <c r="AT19" s="2"/>
      <c r="AU19" s="80" t="str">
        <f>G22</f>
        <v>Irlande N.</v>
      </c>
      <c r="AV19" s="80">
        <f>SUM(F22,F24,F26)</f>
        <v>0</v>
      </c>
      <c r="AW19" s="80">
        <f>SUM(E22,E24,E26)</f>
        <v>0</v>
      </c>
      <c r="AX19" s="80">
        <f t="shared" si="5"/>
        <v>0</v>
      </c>
      <c r="AY19" s="80">
        <f>COUNTIF(H22:H27,G22)*3+COUNTIF(H22,"Égalité")+COUNTIF(H24,"Égalité")+COUNTIF(H26,"Égalité")</f>
        <v>0</v>
      </c>
      <c r="AZ19" s="80">
        <f t="shared" si="6"/>
        <v>0</v>
      </c>
      <c r="BA19" s="80" t="str">
        <f>G22</f>
        <v>Irlande N.</v>
      </c>
      <c r="BB19" s="150">
        <f>IF(AZ19=AZ17,AZ19+$F$22/10000,AZ19)</f>
        <v>0</v>
      </c>
      <c r="BC19" s="150">
        <f>IF(AZ19=AZ18,AZ19+$F$26/10000,AZ19)</f>
        <v>0</v>
      </c>
      <c r="BD19" s="150">
        <f>IF(AZ19=AZ20,AZ19+$F$24/10000,AZ19)</f>
        <v>0</v>
      </c>
      <c r="BE19" s="150">
        <f t="shared" si="2"/>
        <v>0</v>
      </c>
      <c r="BF19" s="150" t="str">
        <f>G22</f>
        <v>Irlande N.</v>
      </c>
    </row>
    <row r="20" spans="2:58" ht="15.75" thickBot="1">
      <c r="B20" s="224"/>
      <c r="C20" s="158" t="s">
        <v>87</v>
      </c>
      <c r="D20" s="67" t="str">
        <f>D17</f>
        <v>Angleterre</v>
      </c>
      <c r="E20" s="53"/>
      <c r="F20" s="53"/>
      <c r="G20" s="58" t="str">
        <f>G16</f>
        <v>Slovaquie</v>
      </c>
      <c r="H20" s="54" t="str">
        <f t="shared" si="1"/>
        <v>Non joué</v>
      </c>
      <c r="I20" s="8"/>
      <c r="J20" s="60">
        <v>4</v>
      </c>
      <c r="K20" s="65" t="str">
        <f>VLOOKUP(LARGE(BE11:BE14,4),BE11:BF14,2,FALSE)</f>
        <v>P. Galles</v>
      </c>
      <c r="L20" s="62">
        <f>VLOOKUP(K20,AU11:AY14,5,FALSE)</f>
        <v>0</v>
      </c>
      <c r="M20" s="63">
        <f>VLOOKUP(K20,AU11:AV14,2,FALSE)</f>
        <v>0</v>
      </c>
      <c r="N20" s="63">
        <f>VLOOKUP(K20,AU11:AW14,3,FALSE)</f>
        <v>0</v>
      </c>
      <c r="O20" s="64">
        <f>VLOOKUP(K20,AU11:AX14,4,FALSE)</f>
        <v>0</v>
      </c>
      <c r="P20" s="2"/>
      <c r="Q20" s="210"/>
      <c r="R20" s="211"/>
      <c r="S20" s="204"/>
      <c r="T20" s="187"/>
      <c r="U20" s="2"/>
      <c r="V20" s="196" t="str">
        <f>IF(R17&lt;&gt;R19,IF(R17&gt;R19,Q17,Q19),IF(S17&lt;&gt;S19,IF(S17&gt;S19,Q17,Q19),IF(T17&lt;&gt;T19,IF(T17&gt;T19,Q17,Q19),"")))</f>
        <v/>
      </c>
      <c r="W20" s="198"/>
      <c r="X20" s="184"/>
      <c r="Y20" s="18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"/>
      <c r="AL20" s="15">
        <v>2</v>
      </c>
      <c r="AM20" s="16" t="str">
        <f t="shared" si="7"/>
        <v>A</v>
      </c>
      <c r="AN20" s="17" t="str">
        <f>VLOOKUP(LARGE(AQ6:AQ11,2),AQ6:AR11,2,FALSE)</f>
        <v>France</v>
      </c>
      <c r="AO20" s="18">
        <f t="shared" si="8"/>
        <v>0</v>
      </c>
      <c r="AP20" s="18">
        <f t="shared" si="9"/>
        <v>0</v>
      </c>
      <c r="AQ20" s="19">
        <f t="shared" si="10"/>
        <v>0</v>
      </c>
      <c r="AR20" s="2"/>
      <c r="AT20" s="2"/>
      <c r="AU20" s="80" t="str">
        <f>G23</f>
        <v>Ukraine</v>
      </c>
      <c r="AV20" s="80">
        <f>SUM(F23,E24,E27)</f>
        <v>0</v>
      </c>
      <c r="AW20" s="80">
        <f>SUM(E23,F24,F27)</f>
        <v>0</v>
      </c>
      <c r="AX20" s="80">
        <f t="shared" si="5"/>
        <v>0</v>
      </c>
      <c r="AY20" s="81">
        <f>COUNTIF(H22:H27,G23)*3+COUNTIF(H23:H24,"Égalité")+COUNTIF(H27,"Égalité")</f>
        <v>0</v>
      </c>
      <c r="AZ20" s="80">
        <f t="shared" si="6"/>
        <v>0</v>
      </c>
      <c r="BA20" s="80" t="str">
        <f>G23</f>
        <v>Ukraine</v>
      </c>
      <c r="BB20" s="150">
        <f>IF(AZ20=AZ17,AZ20+$E$27/10000,AZ20)</f>
        <v>0</v>
      </c>
      <c r="BC20" s="150">
        <f>IF(AZ20=AZ18,AZ20+$F$23/10000,AZ20)</f>
        <v>0</v>
      </c>
      <c r="BD20" s="150">
        <f>IF(AZ20=AZ19,AZ20+$E$24/10000,AZ20)</f>
        <v>0</v>
      </c>
      <c r="BE20" s="150">
        <f t="shared" si="2"/>
        <v>0</v>
      </c>
      <c r="BF20" s="150" t="str">
        <f>G23</f>
        <v>Ukraine</v>
      </c>
    </row>
    <row r="21" spans="2:58" ht="15.75" thickBot="1">
      <c r="B21" s="225"/>
      <c r="C21" s="159" t="s">
        <v>88</v>
      </c>
      <c r="D21" s="68" t="str">
        <f>D18</f>
        <v>Russie</v>
      </c>
      <c r="E21" s="63"/>
      <c r="F21" s="63"/>
      <c r="G21" s="64" t="str">
        <f>G19</f>
        <v>P. Galles</v>
      </c>
      <c r="H21" s="60" t="str">
        <f t="shared" si="1"/>
        <v>Non joué</v>
      </c>
      <c r="I21" s="8"/>
      <c r="J21" s="2"/>
      <c r="K21" s="2"/>
      <c r="L21" s="2"/>
      <c r="M21" s="2"/>
      <c r="N21" s="2"/>
      <c r="O21" s="2"/>
      <c r="P21" s="2"/>
      <c r="Q21" s="49" t="s">
        <v>96</v>
      </c>
      <c r="R21" s="2"/>
      <c r="S21" s="2"/>
      <c r="T21" s="2"/>
      <c r="U21" s="2"/>
      <c r="V21" s="197"/>
      <c r="W21" s="199"/>
      <c r="X21" s="194"/>
      <c r="Y21" s="19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"/>
      <c r="AL21" s="15">
        <v>3</v>
      </c>
      <c r="AM21" s="16" t="str">
        <f t="shared" si="7"/>
        <v>A</v>
      </c>
      <c r="AN21" s="17" t="str">
        <f>VLOOKUP(LARGE(AQ6:AQ11,3),AQ6:AR11,2,FALSE)</f>
        <v>France</v>
      </c>
      <c r="AO21" s="18">
        <f t="shared" si="8"/>
        <v>0</v>
      </c>
      <c r="AP21" s="18">
        <f t="shared" si="9"/>
        <v>0</v>
      </c>
      <c r="AQ21" s="19">
        <f t="shared" si="10"/>
        <v>0</v>
      </c>
      <c r="AR21" s="2"/>
      <c r="AT21" s="2"/>
      <c r="AU21" s="80"/>
      <c r="AV21" s="80"/>
      <c r="AW21" s="80"/>
      <c r="AX21" s="80"/>
      <c r="AY21" s="80"/>
      <c r="AZ21" s="80"/>
      <c r="BA21" s="80"/>
      <c r="BB21" s="79"/>
      <c r="BC21" s="79"/>
      <c r="BE21" s="150"/>
    </row>
    <row r="22" spans="2:58" ht="16.5" thickBot="1">
      <c r="B22" s="231" t="s">
        <v>14</v>
      </c>
      <c r="C22" s="157" t="s">
        <v>73</v>
      </c>
      <c r="D22" s="69" t="s">
        <v>61</v>
      </c>
      <c r="E22" s="50"/>
      <c r="F22" s="50"/>
      <c r="G22" s="51" t="s">
        <v>50</v>
      </c>
      <c r="H22" s="52" t="str">
        <f t="shared" si="1"/>
        <v>Non joué</v>
      </c>
      <c r="I22" s="8"/>
      <c r="J22" s="73" t="s">
        <v>44</v>
      </c>
      <c r="K22" s="74" t="s">
        <v>1</v>
      </c>
      <c r="L22" s="74" t="s">
        <v>3</v>
      </c>
      <c r="M22" s="75" t="s">
        <v>4</v>
      </c>
      <c r="N22" s="75" t="s">
        <v>5</v>
      </c>
      <c r="O22" s="76" t="s">
        <v>11</v>
      </c>
      <c r="P22" s="2"/>
      <c r="Q22" s="2"/>
      <c r="R22" s="2"/>
      <c r="S22" s="151" t="s">
        <v>122</v>
      </c>
      <c r="T22" s="152" t="s">
        <v>123</v>
      </c>
      <c r="U22" s="2"/>
      <c r="V22" s="197" t="str">
        <f>IF(R23&lt;&gt;R25,IF(R23&gt;R25,Q23,Q25),IF(S23&lt;&gt;S25,IF(S23&gt;S25,Q23,Q25),IF(T23&lt;&gt;T25,IF(T23&gt;T25,Q23,Q25),"")))</f>
        <v/>
      </c>
      <c r="W22" s="199"/>
      <c r="X22" s="184"/>
      <c r="Y22" s="18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"/>
      <c r="AL22" s="15">
        <v>4</v>
      </c>
      <c r="AM22" s="16" t="str">
        <f t="shared" si="7"/>
        <v>A</v>
      </c>
      <c r="AN22" s="17" t="str">
        <f>VLOOKUP(LARGE(AQ6:AQ11,4),AQ6:AR11,2,FALSE)</f>
        <v>France</v>
      </c>
      <c r="AO22" s="18">
        <f t="shared" si="8"/>
        <v>0</v>
      </c>
      <c r="AP22" s="18">
        <f t="shared" si="9"/>
        <v>0</v>
      </c>
      <c r="AQ22" s="19">
        <f t="shared" si="10"/>
        <v>0</v>
      </c>
      <c r="AR22" s="2"/>
      <c r="AT22" s="2"/>
      <c r="AU22" s="80" t="s">
        <v>1</v>
      </c>
      <c r="AV22" s="80" t="s">
        <v>4</v>
      </c>
      <c r="AW22" s="80" t="s">
        <v>5</v>
      </c>
      <c r="AX22" s="81" t="s">
        <v>11</v>
      </c>
      <c r="AY22" s="80" t="s">
        <v>3</v>
      </c>
      <c r="AZ22" s="80" t="s">
        <v>12</v>
      </c>
      <c r="BA22" s="80" t="s">
        <v>1</v>
      </c>
      <c r="BB22" s="79"/>
      <c r="BC22" s="79"/>
      <c r="BE22" s="150" t="s">
        <v>121</v>
      </c>
      <c r="BF22" s="80" t="s">
        <v>1</v>
      </c>
    </row>
    <row r="23" spans="2:58" ht="15.75" thickBot="1">
      <c r="B23" s="232"/>
      <c r="C23" s="160" t="s">
        <v>90</v>
      </c>
      <c r="D23" s="66" t="s">
        <v>49</v>
      </c>
      <c r="E23" s="53"/>
      <c r="F23" s="53"/>
      <c r="G23" s="78" t="s">
        <v>62</v>
      </c>
      <c r="H23" s="54" t="str">
        <f t="shared" si="1"/>
        <v>Non joué</v>
      </c>
      <c r="I23" s="8"/>
      <c r="J23" s="122">
        <v>1</v>
      </c>
      <c r="K23" s="123" t="str">
        <f>VLOOKUP(MAX(BE17:BE20),BE17:BF20,2,FALSE)</f>
        <v>Pologne</v>
      </c>
      <c r="L23" s="124">
        <f>VLOOKUP(K23,AU17:AY20,5,FALSE)</f>
        <v>0</v>
      </c>
      <c r="M23" s="124">
        <f>VLOOKUP(K23,AU17:AV20,2,FALSE)</f>
        <v>0</v>
      </c>
      <c r="N23" s="124">
        <f>VLOOKUP(K23,AU17:AW20,3,FALSE)</f>
        <v>0</v>
      </c>
      <c r="O23" s="125">
        <f>VLOOKUP(K23,AU17:AX20,4,FALSE)</f>
        <v>0</v>
      </c>
      <c r="P23" s="2"/>
      <c r="Q23" s="196" t="str">
        <f>K41</f>
        <v>Autriche</v>
      </c>
      <c r="R23" s="198"/>
      <c r="S23" s="226"/>
      <c r="T23" s="227"/>
      <c r="U23" s="2"/>
      <c r="V23" s="222"/>
      <c r="W23" s="211"/>
      <c r="X23" s="185"/>
      <c r="Y23" s="18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"/>
      <c r="AL23" s="90">
        <v>5</v>
      </c>
      <c r="AM23" s="56" t="str">
        <f t="shared" si="7"/>
        <v>A</v>
      </c>
      <c r="AN23" s="93" t="str">
        <f>VLOOKUP(LARGE(AQ6:AQ11,5),AQ6:AR11,2,FALSE)</f>
        <v>France</v>
      </c>
      <c r="AO23" s="53">
        <f t="shared" si="8"/>
        <v>0</v>
      </c>
      <c r="AP23" s="53">
        <f t="shared" si="9"/>
        <v>0</v>
      </c>
      <c r="AQ23" s="58">
        <f t="shared" si="10"/>
        <v>0</v>
      </c>
      <c r="AR23" s="2"/>
      <c r="AU23" s="80" t="str">
        <f>D28</f>
        <v>Turquie</v>
      </c>
      <c r="AV23" s="80">
        <f>SUM(E28,F31,F33)</f>
        <v>0</v>
      </c>
      <c r="AW23" s="80">
        <f>SUM(F28,E31,E33)</f>
        <v>0</v>
      </c>
      <c r="AX23" s="80">
        <f>SUM(AV23,-AW23)</f>
        <v>0</v>
      </c>
      <c r="AY23" s="80">
        <f>COUNTIF(H28:H33,D28)*3+COUNTIF(H28,"Égalité")+COUNTIF(H31,"Égalité")+COUNTIF(H33,"Égalité")</f>
        <v>0</v>
      </c>
      <c r="AZ23" s="80">
        <f>SUM(AY23,AX23/100,AV23/10000)</f>
        <v>0</v>
      </c>
      <c r="BA23" s="80" t="str">
        <f>D28</f>
        <v>Turquie</v>
      </c>
      <c r="BB23" s="150">
        <f>IF(AZ23=AZ24,AZ23+$F$31/10000,AZ23)</f>
        <v>0</v>
      </c>
      <c r="BC23" s="150">
        <f>IF(AZ23=AZ25,AZ23+$E$28/10000,AZ23)</f>
        <v>0</v>
      </c>
      <c r="BD23" s="150">
        <f>IF(AZ23=AZ26,AZ23+$F$33/10000,AZ23)</f>
        <v>0</v>
      </c>
      <c r="BE23" s="150">
        <f t="shared" si="2"/>
        <v>0</v>
      </c>
      <c r="BF23" s="150" t="str">
        <f>D28</f>
        <v>Turquie</v>
      </c>
    </row>
    <row r="24" spans="2:58" ht="15.75" thickBot="1">
      <c r="B24" s="232"/>
      <c r="C24" s="158" t="s">
        <v>81</v>
      </c>
      <c r="D24" s="67" t="str">
        <f>G23</f>
        <v>Ukraine</v>
      </c>
      <c r="E24" s="53"/>
      <c r="F24" s="53"/>
      <c r="G24" s="58" t="str">
        <f>G22</f>
        <v>Irlande N.</v>
      </c>
      <c r="H24" s="54" t="str">
        <f t="shared" si="1"/>
        <v>Non joué</v>
      </c>
      <c r="I24" s="8"/>
      <c r="J24" s="126">
        <v>2</v>
      </c>
      <c r="K24" s="127" t="str">
        <f>VLOOKUP(LARGE(BE17:BE20,2),BE17:BF20,2,FALSE)</f>
        <v>Pologne</v>
      </c>
      <c r="L24" s="128">
        <f>VLOOKUP(K24,AU17:AY20,5,FALSE)</f>
        <v>0</v>
      </c>
      <c r="M24" s="128">
        <f>VLOOKUP(K24,AU17:AV20,2,FALSE)</f>
        <v>0</v>
      </c>
      <c r="N24" s="128">
        <f>VLOOKUP(K24,AU17:AW20,3,FALSE)</f>
        <v>0</v>
      </c>
      <c r="O24" s="129">
        <f>VLOOKUP(K24,AU17:AX20,4,FALSE)</f>
        <v>0</v>
      </c>
      <c r="P24" s="2"/>
      <c r="Q24" s="197"/>
      <c r="R24" s="199"/>
      <c r="S24" s="213"/>
      <c r="T24" s="195"/>
      <c r="U24" s="2"/>
      <c r="V24" s="49" t="s">
        <v>104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"/>
      <c r="AL24" s="91">
        <v>6</v>
      </c>
      <c r="AM24" s="94" t="str">
        <f t="shared" si="7"/>
        <v>A</v>
      </c>
      <c r="AN24" s="62" t="str">
        <f>VLOOKUP(MIN(AQ6:AQ11),AQ6:AR11,2,FALSE)</f>
        <v>France</v>
      </c>
      <c r="AO24" s="63">
        <f t="shared" si="8"/>
        <v>0</v>
      </c>
      <c r="AP24" s="63">
        <f t="shared" si="9"/>
        <v>0</v>
      </c>
      <c r="AQ24" s="64">
        <f t="shared" si="10"/>
        <v>0</v>
      </c>
      <c r="AR24" s="2"/>
      <c r="AU24" s="80" t="str">
        <f>D29</f>
        <v>Espagne</v>
      </c>
      <c r="AV24" s="80">
        <f>SUM(E29,E31:E32)</f>
        <v>0</v>
      </c>
      <c r="AW24" s="80">
        <f>SUM(F29,F31:F32)</f>
        <v>0</v>
      </c>
      <c r="AX24" s="80">
        <f t="shared" ref="AX24:AX26" si="11">SUM(AV24,-AW24)</f>
        <v>0</v>
      </c>
      <c r="AY24" s="80">
        <f>COUNTIF(H28:H33,D29)*3+COUNTIF(H29,"Égalité")+COUNTIF(H31:H32,"Égalité")</f>
        <v>0</v>
      </c>
      <c r="AZ24" s="80">
        <f t="shared" ref="AZ24:AZ26" si="12">SUM(AY24,AX24/100,AV24/10000)</f>
        <v>0</v>
      </c>
      <c r="BA24" s="80" t="str">
        <f>D29</f>
        <v>Espagne</v>
      </c>
      <c r="BB24" s="150">
        <f>IF(AZ24=AZ23,AZ24+$E$31/10000,AZ24)</f>
        <v>0</v>
      </c>
      <c r="BC24" s="150">
        <f>IF(AZ24=AZ25,AZ24+$E$32/10000,AZ24)</f>
        <v>0</v>
      </c>
      <c r="BD24" s="150">
        <f>IF(AZ24=AZ26,AZ24+$E$29/10000,AZ24)</f>
        <v>0</v>
      </c>
      <c r="BE24" s="150">
        <f t="shared" si="2"/>
        <v>0</v>
      </c>
      <c r="BF24" s="150" t="str">
        <f>D29</f>
        <v>Espagne</v>
      </c>
    </row>
    <row r="25" spans="2:58" ht="16.5" thickBot="1">
      <c r="B25" s="232"/>
      <c r="C25" s="158" t="s">
        <v>112</v>
      </c>
      <c r="D25" s="67" t="str">
        <f>D23</f>
        <v>Allemagne</v>
      </c>
      <c r="E25" s="53"/>
      <c r="F25" s="53"/>
      <c r="G25" s="58" t="str">
        <f>D22</f>
        <v>Pologne</v>
      </c>
      <c r="H25" s="54" t="str">
        <f t="shared" si="1"/>
        <v>Non joué</v>
      </c>
      <c r="I25" s="8"/>
      <c r="J25" s="54">
        <v>3</v>
      </c>
      <c r="K25" s="59" t="str">
        <f>VLOOKUP(LARGE(BE17:BE20,3),BE17:BF20,2,FALSE)</f>
        <v>Pologne</v>
      </c>
      <c r="L25" s="53">
        <f>VLOOKUP(K25,AU17:AY20,5,FALSE)</f>
        <v>0</v>
      </c>
      <c r="M25" s="53">
        <f>VLOOKUP(K25,AU17:AV20,2,FALSE)</f>
        <v>0</v>
      </c>
      <c r="N25" s="53">
        <f>VLOOKUP(K25,AU17:AW20,3,FALSE)</f>
        <v>0</v>
      </c>
      <c r="O25" s="58">
        <f>VLOOKUP(K25,AU17:AX20,4,FALSE)</f>
        <v>0</v>
      </c>
      <c r="P25" s="2"/>
      <c r="Q25" s="197" t="str">
        <f>K36</f>
        <v>Belgique</v>
      </c>
      <c r="R25" s="199"/>
      <c r="S25" s="203"/>
      <c r="T25" s="18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51" t="s">
        <v>122</v>
      </c>
      <c r="AI25" s="152" t="s">
        <v>123</v>
      </c>
      <c r="AJ25" s="1"/>
      <c r="AU25" s="80" t="str">
        <f>G28</f>
        <v>Croatie</v>
      </c>
      <c r="AV25" s="80">
        <f>SUM(F28,F30,F32)</f>
        <v>0</v>
      </c>
      <c r="AW25" s="80">
        <f>SUM(E28,E30,E32)</f>
        <v>0</v>
      </c>
      <c r="AX25" s="80">
        <f t="shared" si="11"/>
        <v>0</v>
      </c>
      <c r="AY25" s="80">
        <f>COUNTIF(H28:H33,G28)*3+COUNTIF(H28,"Égalité")+COUNTIF(H30,"Égalité")+COUNTIF(H32,"Égalité")</f>
        <v>0</v>
      </c>
      <c r="AZ25" s="80">
        <f t="shared" si="12"/>
        <v>0</v>
      </c>
      <c r="BA25" s="80" t="str">
        <f>G28</f>
        <v>Croatie</v>
      </c>
      <c r="BB25" s="150">
        <f>IF(AZ25=AZ23,AZ25+$F$28/10000,AZ25)</f>
        <v>0</v>
      </c>
      <c r="BC25" s="150">
        <f>IF(AZ25=AZ24,AZ25+$F$32/10000,AZ25)</f>
        <v>0</v>
      </c>
      <c r="BD25" s="150">
        <f>IF(AZ25=AZ26,AZ25+$F$30/10000,AZ25)</f>
        <v>0</v>
      </c>
      <c r="BE25" s="150">
        <f t="shared" si="2"/>
        <v>0</v>
      </c>
      <c r="BF25" s="150" t="str">
        <f>G28</f>
        <v>Croatie</v>
      </c>
    </row>
    <row r="26" spans="2:58" ht="15.75" thickBot="1">
      <c r="B26" s="232"/>
      <c r="C26" s="158" t="s">
        <v>89</v>
      </c>
      <c r="D26" s="67" t="str">
        <f>D23</f>
        <v>Allemagne</v>
      </c>
      <c r="E26" s="53"/>
      <c r="F26" s="53"/>
      <c r="G26" s="58" t="str">
        <f>G22</f>
        <v>Irlande N.</v>
      </c>
      <c r="H26" s="54" t="str">
        <f t="shared" si="1"/>
        <v>Non joué</v>
      </c>
      <c r="I26" s="8"/>
      <c r="J26" s="60">
        <v>4</v>
      </c>
      <c r="K26" s="65" t="str">
        <f>VLOOKUP(LARGE(BE17:BE20,4),BE17:BF20,2,FALSE)</f>
        <v>Pologne</v>
      </c>
      <c r="L26" s="62">
        <f>VLOOKUP(K26,AU17:AY20,5,FALSE)</f>
        <v>0</v>
      </c>
      <c r="M26" s="63">
        <f>VLOOKUP(K26,AU17:AV20,2,FALSE)</f>
        <v>0</v>
      </c>
      <c r="N26" s="63">
        <f>VLOOKUP(K26,AU17:AW20,3,FALSE)</f>
        <v>0</v>
      </c>
      <c r="O26" s="64">
        <f>VLOOKUP(K26,AU17:AX20,4,FALSE)</f>
        <v>0</v>
      </c>
      <c r="P26" s="2"/>
      <c r="Q26" s="210"/>
      <c r="R26" s="211"/>
      <c r="S26" s="204"/>
      <c r="T26" s="18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96" t="str">
        <f>IF(AB14&lt;&gt;AB16,IF(AB14&gt;AB16,AA14,AA16),IF(AC14&lt;&gt;AC16,IF(AC14&gt;AC16,AA14,AA16),IF(AD14&lt;&gt;AD16,IF(AD14&gt;AD16,AA14,AA16),"")))</f>
        <v/>
      </c>
      <c r="AG26" s="198"/>
      <c r="AH26" s="184"/>
      <c r="AI26" s="186"/>
      <c r="AJ26" s="1"/>
      <c r="AK26" s="2"/>
      <c r="AU26" s="80" t="str">
        <f>G29</f>
        <v>R. Tchèque</v>
      </c>
      <c r="AV26" s="80">
        <f>SUM(F29,E30,E33)</f>
        <v>0</v>
      </c>
      <c r="AW26" s="80">
        <f>SUM(E29,F30,F33)</f>
        <v>0</v>
      </c>
      <c r="AX26" s="80">
        <f t="shared" si="11"/>
        <v>0</v>
      </c>
      <c r="AY26" s="81">
        <f>COUNTIF(H28:H33,G29)*3+COUNTIF(H29:H30,"Égalité")+COUNTIF(H33,"Égalité")</f>
        <v>0</v>
      </c>
      <c r="AZ26" s="80">
        <f t="shared" si="12"/>
        <v>0</v>
      </c>
      <c r="BA26" s="80" t="str">
        <f>G29</f>
        <v>R. Tchèque</v>
      </c>
      <c r="BB26" s="150">
        <f>IF(AZ26=AZ23,AZ26+$E$33/10000,AZ26)</f>
        <v>0</v>
      </c>
      <c r="BC26" s="150">
        <f>IF(AZ26=AZ24,AZ26+$F$29/10000,AZ26)</f>
        <v>0</v>
      </c>
      <c r="BD26" s="150">
        <f>IF(AZ26=AZ25,AZ26+$E$30/10000,AZ26)</f>
        <v>0</v>
      </c>
      <c r="BE26" s="150">
        <f t="shared" si="2"/>
        <v>0</v>
      </c>
      <c r="BF26" s="150" t="str">
        <f>G29</f>
        <v>R. Tchèque</v>
      </c>
    </row>
    <row r="27" spans="2:58" ht="15.75" thickBot="1">
      <c r="B27" s="233"/>
      <c r="C27" s="159" t="s">
        <v>89</v>
      </c>
      <c r="D27" s="68" t="str">
        <f>G23</f>
        <v>Ukraine</v>
      </c>
      <c r="E27" s="63"/>
      <c r="F27" s="63"/>
      <c r="G27" s="64" t="str">
        <f>D22</f>
        <v>Pologne</v>
      </c>
      <c r="H27" s="60" t="str">
        <f t="shared" si="1"/>
        <v>Non joué</v>
      </c>
      <c r="I27" s="8"/>
      <c r="J27" s="2"/>
      <c r="K27" s="2"/>
      <c r="L27" s="2"/>
      <c r="M27" s="2"/>
      <c r="N27" s="2"/>
      <c r="O27" s="2"/>
      <c r="P27" s="2"/>
      <c r="Q27" s="49" t="s">
        <v>102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97"/>
      <c r="AG27" s="199"/>
      <c r="AH27" s="194"/>
      <c r="AI27" s="195"/>
      <c r="AJ27" s="1"/>
      <c r="AK27" s="2"/>
      <c r="AU27" s="80"/>
      <c r="AV27" s="80"/>
      <c r="AW27" s="80"/>
      <c r="AX27" s="80"/>
      <c r="AY27" s="80"/>
      <c r="AZ27" s="80"/>
      <c r="BA27" s="80"/>
      <c r="BB27" s="79"/>
      <c r="BC27" s="79"/>
      <c r="BE27" s="150"/>
    </row>
    <row r="28" spans="2:58" ht="16.5" thickBot="1">
      <c r="B28" s="228" t="s">
        <v>15</v>
      </c>
      <c r="C28" s="157" t="s">
        <v>72</v>
      </c>
      <c r="D28" s="69" t="s">
        <v>52</v>
      </c>
      <c r="E28" s="50"/>
      <c r="F28" s="50"/>
      <c r="G28" s="51" t="s">
        <v>63</v>
      </c>
      <c r="H28" s="55" t="str">
        <f t="shared" si="1"/>
        <v>Non joué</v>
      </c>
      <c r="I28" s="8"/>
      <c r="J28" s="73" t="s">
        <v>44</v>
      </c>
      <c r="K28" s="74" t="s">
        <v>1</v>
      </c>
      <c r="L28" s="74" t="s">
        <v>3</v>
      </c>
      <c r="M28" s="75" t="s">
        <v>4</v>
      </c>
      <c r="N28" s="75" t="s">
        <v>5</v>
      </c>
      <c r="O28" s="76" t="s">
        <v>11</v>
      </c>
      <c r="P28" s="2"/>
      <c r="Q28" s="2"/>
      <c r="R28" s="2"/>
      <c r="S28" s="151" t="s">
        <v>122</v>
      </c>
      <c r="T28" s="152" t="s">
        <v>123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97" t="str">
        <f>IF(AB38&lt;&gt;AB40,IF(AB38&gt;AB40,AA38,AA40),IF(AC38&lt;&gt;AC40,IF(AC38&gt;AC40,AA38,AA40),IF(AD38&lt;&gt;AD40,IF(AD38&gt;AD40,AA38,AA40),"")))</f>
        <v/>
      </c>
      <c r="AG28" s="199"/>
      <c r="AH28" s="184"/>
      <c r="AI28" s="186"/>
      <c r="AJ28" s="1"/>
      <c r="AK28" s="2"/>
      <c r="AU28" s="80" t="s">
        <v>1</v>
      </c>
      <c r="AV28" s="80" t="s">
        <v>4</v>
      </c>
      <c r="AW28" s="80" t="s">
        <v>5</v>
      </c>
      <c r="AX28" s="81" t="s">
        <v>11</v>
      </c>
      <c r="AY28" s="80" t="s">
        <v>3</v>
      </c>
      <c r="AZ28" s="80" t="s">
        <v>12</v>
      </c>
      <c r="BA28" s="80" t="s">
        <v>1</v>
      </c>
      <c r="BB28" s="79"/>
      <c r="BC28" s="79"/>
      <c r="BE28" s="150" t="s">
        <v>121</v>
      </c>
      <c r="BF28" s="80" t="s">
        <v>1</v>
      </c>
    </row>
    <row r="29" spans="2:58" ht="15.75" thickBot="1">
      <c r="B29" s="229"/>
      <c r="C29" s="160" t="s">
        <v>74</v>
      </c>
      <c r="D29" s="67" t="s">
        <v>51</v>
      </c>
      <c r="E29" s="53"/>
      <c r="F29" s="53"/>
      <c r="G29" s="58" t="s">
        <v>113</v>
      </c>
      <c r="H29" s="54" t="str">
        <f t="shared" si="1"/>
        <v>Non joué</v>
      </c>
      <c r="I29" s="8"/>
      <c r="J29" s="136">
        <v>1</v>
      </c>
      <c r="K29" s="137" t="str">
        <f>VLOOKUP(MAX(BE23:BE26),BE23:BF26,2,FALSE)</f>
        <v>Turquie</v>
      </c>
      <c r="L29" s="138">
        <f>VLOOKUP(K29,AU23:AY26,5,FALSE)</f>
        <v>0</v>
      </c>
      <c r="M29" s="138">
        <f>VLOOKUP(K29,AU23:AV26,2,FALSE)</f>
        <v>0</v>
      </c>
      <c r="N29" s="138">
        <f>VLOOKUP(K29,AU23:AW26,3,FALSE)</f>
        <v>0</v>
      </c>
      <c r="O29" s="139">
        <f>VLOOKUP(K29,AU23:AX26,4,FALSE)</f>
        <v>0</v>
      </c>
      <c r="P29" s="2"/>
      <c r="Q29" s="196" t="str">
        <f>K23</f>
        <v>Pologne</v>
      </c>
      <c r="R29" s="198"/>
      <c r="S29" s="226"/>
      <c r="T29" s="2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10"/>
      <c r="AG29" s="211"/>
      <c r="AH29" s="185"/>
      <c r="AI29" s="187"/>
      <c r="AJ29" s="1"/>
      <c r="AK29" s="2"/>
      <c r="AU29" s="80" t="str">
        <f>D34</f>
        <v>Belgique</v>
      </c>
      <c r="AV29" s="80">
        <f>SUM(E34,E37:E38)</f>
        <v>0</v>
      </c>
      <c r="AW29" s="80">
        <f>SUM(F34,F37:F38)</f>
        <v>0</v>
      </c>
      <c r="AX29" s="80">
        <f>SUM(AV29,-AW29)</f>
        <v>0</v>
      </c>
      <c r="AY29" s="80">
        <f>COUNTIF(H34:H39,D34)*3+COUNTIF(H34,"Égalité")+COUNTIF(H37:H38,"Égalité")</f>
        <v>0</v>
      </c>
      <c r="AZ29" s="80">
        <f>SUM(AY29,AX29/100,AV29/10000)</f>
        <v>0</v>
      </c>
      <c r="BA29" s="80" t="str">
        <f>D34</f>
        <v>Belgique</v>
      </c>
      <c r="BB29" s="150">
        <f>IF(AZ29=AZ30,AZ29+$E$37/10000,AZ29)</f>
        <v>0</v>
      </c>
      <c r="BC29" s="150">
        <f>IF(AZ29=AZ31,AZ29+$E$34/10000,AZ29)</f>
        <v>0</v>
      </c>
      <c r="BD29" s="150">
        <f>IF(AZ29=AZ32,AZ29+$E$38/10000,AZ29)</f>
        <v>0</v>
      </c>
      <c r="BE29" s="150">
        <f t="shared" si="2"/>
        <v>0</v>
      </c>
      <c r="BF29" s="150" t="str">
        <f>D34</f>
        <v>Belgique</v>
      </c>
    </row>
    <row r="30" spans="2:58" ht="15.75" thickBot="1">
      <c r="B30" s="229"/>
      <c r="C30" s="158" t="s">
        <v>83</v>
      </c>
      <c r="D30" s="67" t="str">
        <f>G29</f>
        <v>R. Tchèque</v>
      </c>
      <c r="E30" s="53"/>
      <c r="F30" s="53"/>
      <c r="G30" s="58" t="str">
        <f>G28</f>
        <v>Croatie</v>
      </c>
      <c r="H30" s="54" t="str">
        <f t="shared" si="1"/>
        <v>Non joué</v>
      </c>
      <c r="I30" s="8"/>
      <c r="J30" s="140">
        <v>2</v>
      </c>
      <c r="K30" s="141" t="str">
        <f>VLOOKUP(LARGE(BE23:BE26,2),BE23:BF26,2,FALSE)</f>
        <v>Turquie</v>
      </c>
      <c r="L30" s="142">
        <f>VLOOKUP(K30,AU23:AY26,5,FALSE)</f>
        <v>0</v>
      </c>
      <c r="M30" s="142">
        <f>VLOOKUP(K30,AU23:AV26,2,FALSE)</f>
        <v>0</v>
      </c>
      <c r="N30" s="142">
        <f>VLOOKUP(K30,AU23:AW26,3,FALSE)</f>
        <v>0</v>
      </c>
      <c r="O30" s="143">
        <f>VLOOKUP(K30,AU23:AX26,4,FALSE)</f>
        <v>0</v>
      </c>
      <c r="P30" s="2"/>
      <c r="Q30" s="197"/>
      <c r="R30" s="199"/>
      <c r="S30" s="213"/>
      <c r="T30" s="19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88" t="s">
        <v>109</v>
      </c>
      <c r="AG30" s="44"/>
      <c r="AH30" s="44"/>
      <c r="AI30" s="44"/>
      <c r="AJ30" s="1"/>
      <c r="AU30" s="80" t="str">
        <f>D35</f>
        <v>Irlande</v>
      </c>
      <c r="AV30" s="80">
        <f>SUM(E35,F37,F39)</f>
        <v>0</v>
      </c>
      <c r="AW30" s="80">
        <f>SUM(F35,E37,E39)</f>
        <v>0</v>
      </c>
      <c r="AX30" s="80">
        <f t="shared" ref="AX30:AX32" si="13">SUM(AV30,-AW30)</f>
        <v>0</v>
      </c>
      <c r="AY30" s="80">
        <f>COUNTIF(H34:H39,D35)*3+COUNTIF(H35,"Égalité")+COUNTIF(H37,"Égalité")+COUNTIF(H39,"Égalité")</f>
        <v>0</v>
      </c>
      <c r="AZ30" s="80">
        <f t="shared" ref="AZ30:AZ32" si="14">SUM(AY30,AX30/100,AV30/10000)</f>
        <v>0</v>
      </c>
      <c r="BA30" s="80" t="str">
        <f>D35</f>
        <v>Irlande</v>
      </c>
      <c r="BB30" s="150">
        <f>IF(AZ30=AZ29,AZ30+$F$37/10000,AZ30)</f>
        <v>0</v>
      </c>
      <c r="BC30" s="150">
        <f>IF(AZ30=AZ31,AZ30+$F$39/10000,AZ30)</f>
        <v>0</v>
      </c>
      <c r="BD30" s="150">
        <f>IF(AZ30=AZ32,AZ30+$E$35/10000,AZ30)</f>
        <v>0</v>
      </c>
      <c r="BE30" s="150">
        <f t="shared" si="2"/>
        <v>0</v>
      </c>
      <c r="BF30" s="150" t="str">
        <f>D35</f>
        <v>Irlande</v>
      </c>
    </row>
    <row r="31" spans="2:58" ht="16.5" thickBot="1">
      <c r="B31" s="229"/>
      <c r="C31" s="158" t="s">
        <v>114</v>
      </c>
      <c r="D31" s="67" t="str">
        <f>D29</f>
        <v>Espagne</v>
      </c>
      <c r="E31" s="53"/>
      <c r="F31" s="53"/>
      <c r="G31" s="58" t="str">
        <f>D28</f>
        <v>Turquie</v>
      </c>
      <c r="H31" s="54" t="str">
        <f t="shared" si="1"/>
        <v>Non joué</v>
      </c>
      <c r="I31" s="8"/>
      <c r="J31" s="54">
        <v>3</v>
      </c>
      <c r="K31" s="59" t="str">
        <f>VLOOKUP(LARGE(BE23:BE26,3),BE23:BF26,2,FALSE)</f>
        <v>Turquie</v>
      </c>
      <c r="L31" s="53">
        <f>VLOOKUP(K31,AU23:AY26,5,FALSE)</f>
        <v>0</v>
      </c>
      <c r="M31" s="53">
        <f>VLOOKUP(K31,AU23:AV26,2,FALSE)</f>
        <v>0</v>
      </c>
      <c r="N31" s="53">
        <f>VLOOKUP(K31,AU23:AW26,3,FALSE)</f>
        <v>0</v>
      </c>
      <c r="O31" s="58">
        <f>VLOOKUP(K31,AU23:AX26,4,FALSE)</f>
        <v>0</v>
      </c>
      <c r="P31" s="2"/>
      <c r="Q31" s="197" t="e">
        <f>AY65</f>
        <v>#N/A</v>
      </c>
      <c r="R31" s="199"/>
      <c r="S31" s="203"/>
      <c r="T31" s="186"/>
      <c r="U31" s="2"/>
      <c r="V31" s="2"/>
      <c r="W31" s="2"/>
      <c r="X31" s="151" t="s">
        <v>122</v>
      </c>
      <c r="Y31" s="152" t="s">
        <v>123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"/>
      <c r="AU31" s="80" t="str">
        <f>G34</f>
        <v>Italie</v>
      </c>
      <c r="AV31" s="80">
        <f>SUM(E39,F35,F37)</f>
        <v>0</v>
      </c>
      <c r="AW31" s="80">
        <f>SUM(E35,E37,F39)</f>
        <v>0</v>
      </c>
      <c r="AX31" s="80">
        <f t="shared" si="13"/>
        <v>0</v>
      </c>
      <c r="AY31" s="80">
        <f>COUNTIF(H34:H39,G34)*3+COUNTIF(H34,"Égalité")+COUNTIF(H36,"Égalité")+COUNTIF(H39,"Égalité")</f>
        <v>0</v>
      </c>
      <c r="AZ31" s="80">
        <f t="shared" si="14"/>
        <v>0</v>
      </c>
      <c r="BA31" s="80" t="str">
        <f>G34</f>
        <v>Italie</v>
      </c>
      <c r="BB31" s="150">
        <f>IF(AZ31=AZ29,AZ31+$F$34/10000,AZ31)</f>
        <v>0</v>
      </c>
      <c r="BC31" s="150">
        <f>IF(AZ31=AZ30,AZ31+$E$39/10000,AZ31)</f>
        <v>0</v>
      </c>
      <c r="BD31" s="150">
        <f>IF(AZ31=AZ32,AZ31+$E$36/10000,AZ31)</f>
        <v>0</v>
      </c>
      <c r="BE31" s="150">
        <f t="shared" si="2"/>
        <v>0</v>
      </c>
      <c r="BF31" s="150" t="str">
        <f>G34</f>
        <v>Italie</v>
      </c>
    </row>
    <row r="32" spans="2:58" ht="15.75" thickBot="1">
      <c r="B32" s="229"/>
      <c r="C32" s="158" t="s">
        <v>91</v>
      </c>
      <c r="D32" s="67" t="str">
        <f>D29</f>
        <v>Espagne</v>
      </c>
      <c r="E32" s="53"/>
      <c r="F32" s="53"/>
      <c r="G32" s="58" t="str">
        <f>G28</f>
        <v>Croatie</v>
      </c>
      <c r="H32" s="54" t="str">
        <f t="shared" si="1"/>
        <v>Non joué</v>
      </c>
      <c r="I32" s="8"/>
      <c r="J32" s="60">
        <v>4</v>
      </c>
      <c r="K32" s="65" t="str">
        <f>VLOOKUP(LARGE(BE23:BE26,4),BE23:BF26,2,FALSE)</f>
        <v>Turquie</v>
      </c>
      <c r="L32" s="62">
        <f>VLOOKUP(K32,AU23:AY26,5,FALSE)</f>
        <v>0</v>
      </c>
      <c r="M32" s="63">
        <f>VLOOKUP(K32,AU23:AV26,2,FALSE)</f>
        <v>0</v>
      </c>
      <c r="N32" s="63">
        <f>VLOOKUP(K32,AU23:AW26,3,FALSE)</f>
        <v>0</v>
      </c>
      <c r="O32" s="64">
        <f>VLOOKUP(K32,AU23:AX26,4,FALSE)</f>
        <v>0</v>
      </c>
      <c r="P32" s="2"/>
      <c r="Q32" s="210"/>
      <c r="R32" s="211"/>
      <c r="S32" s="204"/>
      <c r="T32" s="187"/>
      <c r="U32" s="2"/>
      <c r="V32" s="196" t="str">
        <f>IF(R29&lt;&gt;R31,IF(R29&gt;R31,Q29,Q31),IF(S29&lt;&gt;S31,IF(S29&gt;S31,Q29,Q31),IF(T29&lt;&gt;T31,IF(T29&gt;T31,Q29,Q31),"")))</f>
        <v/>
      </c>
      <c r="W32" s="198"/>
      <c r="X32" s="184"/>
      <c r="Y32" s="186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"/>
      <c r="AU32" s="80" t="str">
        <f>G35</f>
        <v>Suède</v>
      </c>
      <c r="AV32" s="80">
        <f>SUM(F35:F36,F38)</f>
        <v>0</v>
      </c>
      <c r="AW32" s="80">
        <f>SUM(E35:E36,E38)</f>
        <v>0</v>
      </c>
      <c r="AX32" s="80">
        <f t="shared" si="13"/>
        <v>0</v>
      </c>
      <c r="AY32" s="81">
        <f>COUNTIF(H34:H39,G35)*3+COUNTIF(H35:H36,"Égalité")+COUNTIF(H38,"Égalité")</f>
        <v>0</v>
      </c>
      <c r="AZ32" s="80">
        <f t="shared" si="14"/>
        <v>0</v>
      </c>
      <c r="BA32" s="80" t="str">
        <f>G35</f>
        <v>Suède</v>
      </c>
      <c r="BB32" s="150">
        <f>IF(AZ32=AZ29,AZ32+$F$36/10000,AZ32)</f>
        <v>0</v>
      </c>
      <c r="BC32" s="150">
        <f>IF(AZ32=AZ30,AZ32+$F$35/10000,AZ32)</f>
        <v>0</v>
      </c>
      <c r="BD32" s="150">
        <f>IF(AZ32=AZ31,AZ32+$F$36/10000,AZ32)</f>
        <v>0</v>
      </c>
      <c r="BE32" s="150">
        <f t="shared" si="2"/>
        <v>0</v>
      </c>
      <c r="BF32" s="150" t="str">
        <f>G35</f>
        <v>Suède</v>
      </c>
    </row>
    <row r="33" spans="2:58" ht="15.75" thickBot="1">
      <c r="B33" s="230"/>
      <c r="C33" s="159" t="s">
        <v>92</v>
      </c>
      <c r="D33" s="68" t="str">
        <f>G29</f>
        <v>R. Tchèque</v>
      </c>
      <c r="E33" s="63"/>
      <c r="F33" s="63"/>
      <c r="G33" s="64" t="str">
        <f>D28</f>
        <v>Turquie</v>
      </c>
      <c r="H33" s="70" t="str">
        <f t="shared" si="1"/>
        <v>Non joué</v>
      </c>
      <c r="I33" s="8"/>
      <c r="J33" s="2"/>
      <c r="K33" s="2"/>
      <c r="L33" s="2"/>
      <c r="M33" s="2"/>
      <c r="N33" s="2"/>
      <c r="O33" s="2"/>
      <c r="P33" s="2"/>
      <c r="Q33" s="49" t="s">
        <v>101</v>
      </c>
      <c r="R33" s="2"/>
      <c r="S33" s="2"/>
      <c r="T33" s="2"/>
      <c r="U33" s="2"/>
      <c r="V33" s="197"/>
      <c r="W33" s="199"/>
      <c r="X33" s="194"/>
      <c r="Y33" s="19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"/>
      <c r="AU33" s="80"/>
      <c r="AV33" s="80"/>
      <c r="AW33" s="80"/>
      <c r="AX33" s="80"/>
      <c r="AY33" s="80"/>
      <c r="AZ33" s="80"/>
      <c r="BA33" s="80"/>
      <c r="BC33" s="79"/>
      <c r="BE33" s="150"/>
    </row>
    <row r="34" spans="2:58" ht="16.5" thickBot="1">
      <c r="B34" s="234" t="s">
        <v>16</v>
      </c>
      <c r="C34" s="157" t="s">
        <v>115</v>
      </c>
      <c r="D34" s="69" t="s">
        <v>53</v>
      </c>
      <c r="E34" s="50"/>
      <c r="F34" s="50"/>
      <c r="G34" s="51" t="s">
        <v>65</v>
      </c>
      <c r="H34" s="52" t="str">
        <f t="shared" si="1"/>
        <v>Non joué</v>
      </c>
      <c r="I34" s="8"/>
      <c r="J34" s="73" t="s">
        <v>44</v>
      </c>
      <c r="K34" s="74" t="s">
        <v>1</v>
      </c>
      <c r="L34" s="74" t="s">
        <v>3</v>
      </c>
      <c r="M34" s="75" t="s">
        <v>4</v>
      </c>
      <c r="N34" s="75" t="s">
        <v>5</v>
      </c>
      <c r="O34" s="76" t="s">
        <v>11</v>
      </c>
      <c r="P34" s="2"/>
      <c r="Q34" s="2"/>
      <c r="R34" s="2"/>
      <c r="S34" s="151" t="s">
        <v>122</v>
      </c>
      <c r="T34" s="152" t="s">
        <v>123</v>
      </c>
      <c r="U34" s="2"/>
      <c r="V34" s="197" t="str">
        <f>IF(R35&lt;&gt;R37,IF(R35&gt;R37,Q35,Q37),IF(S35&lt;&gt;S37,IF(S35&gt;S37,Q35,Q37),IF(T35&lt;&gt;T37,IF(T35&gt;T37,Q35,Q37),"")))</f>
        <v/>
      </c>
      <c r="W34" s="199"/>
      <c r="X34" s="184"/>
      <c r="Y34" s="18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"/>
      <c r="AU34" s="80" t="s">
        <v>1</v>
      </c>
      <c r="AV34" s="80" t="s">
        <v>4</v>
      </c>
      <c r="AW34" s="80" t="s">
        <v>5</v>
      </c>
      <c r="AX34" s="81" t="s">
        <v>11</v>
      </c>
      <c r="AY34" s="80" t="s">
        <v>3</v>
      </c>
      <c r="AZ34" s="80" t="s">
        <v>12</v>
      </c>
      <c r="BA34" s="80" t="s">
        <v>1</v>
      </c>
      <c r="BC34" s="79"/>
      <c r="BE34" s="150" t="s">
        <v>121</v>
      </c>
      <c r="BF34" s="80" t="s">
        <v>1</v>
      </c>
    </row>
    <row r="35" spans="2:58" ht="15.75" thickBot="1">
      <c r="B35" s="235"/>
      <c r="C35" s="158" t="s">
        <v>75</v>
      </c>
      <c r="D35" s="67" t="s">
        <v>54</v>
      </c>
      <c r="E35" s="53"/>
      <c r="F35" s="53"/>
      <c r="G35" s="58" t="s">
        <v>64</v>
      </c>
      <c r="H35" s="54" t="str">
        <f t="shared" si="1"/>
        <v>Non joué</v>
      </c>
      <c r="I35" s="8"/>
      <c r="J35" s="144">
        <v>1</v>
      </c>
      <c r="K35" s="130" t="str">
        <f>VLOOKUP(MAX(BE29:BE32),BE29:BF32,2,FALSE)</f>
        <v>Belgique</v>
      </c>
      <c r="L35" s="131">
        <f>VLOOKUP(K35,AU29:AY32,5,FALSE)</f>
        <v>0</v>
      </c>
      <c r="M35" s="131">
        <f>VLOOKUP(K35,AU29:AV32,2,FALSE)</f>
        <v>0</v>
      </c>
      <c r="N35" s="131">
        <f>VLOOKUP(K35,AU29:AW32,3,FALSE)</f>
        <v>0</v>
      </c>
      <c r="O35" s="132">
        <f>VLOOKUP(K35,AU29:AX32,4,FALSE)</f>
        <v>0</v>
      </c>
      <c r="P35" s="2"/>
      <c r="Q35" s="196" t="str">
        <f>K35</f>
        <v>Belgique</v>
      </c>
      <c r="R35" s="198"/>
      <c r="S35" s="226"/>
      <c r="T35" s="227"/>
      <c r="U35" s="2"/>
      <c r="V35" s="222"/>
      <c r="W35" s="211"/>
      <c r="X35" s="185"/>
      <c r="Y35" s="18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"/>
      <c r="AU35" s="80" t="str">
        <f>D40</f>
        <v>Autriche</v>
      </c>
      <c r="AV35" s="80">
        <f>SUM(E40,F43,F45)</f>
        <v>0</v>
      </c>
      <c r="AW35" s="80">
        <f>SUM(F40,E43,E45)</f>
        <v>0</v>
      </c>
      <c r="AX35" s="80">
        <f>SUM(AV35,-AW35)</f>
        <v>0</v>
      </c>
      <c r="AY35" s="80">
        <f>COUNTIF(H40:H45,D40)*3+COUNTIF(H40,"Égalité")+COUNTIF(H43,"Égalité")+COUNTIF(H45,"Égalité")</f>
        <v>0</v>
      </c>
      <c r="AZ35" s="80">
        <f>SUM(AY35,AX35/100,AV35/10000)</f>
        <v>0</v>
      </c>
      <c r="BA35" s="80" t="str">
        <f>D40</f>
        <v>Autriche</v>
      </c>
      <c r="BB35" s="150">
        <f>IF(AZ35=AZ36,AZ35+$F$43/10000,AZ35)</f>
        <v>0</v>
      </c>
      <c r="BC35" s="150">
        <f>IF(AZ35=AZ37,AZ35+$E$40/10000,AZ35)</f>
        <v>0</v>
      </c>
      <c r="BD35" s="150">
        <f>IF(AZ35=AZ38,AZ35+$F$45/10000,AZ35)</f>
        <v>0</v>
      </c>
      <c r="BE35" s="150">
        <f t="shared" si="2"/>
        <v>0</v>
      </c>
      <c r="BF35" s="150" t="str">
        <f>D40</f>
        <v>Autriche</v>
      </c>
    </row>
    <row r="36" spans="2:58" ht="15.75" thickBot="1">
      <c r="B36" s="235"/>
      <c r="C36" s="160" t="s">
        <v>82</v>
      </c>
      <c r="D36" s="67" t="str">
        <f>G34</f>
        <v>Italie</v>
      </c>
      <c r="E36" s="53"/>
      <c r="F36" s="53"/>
      <c r="G36" s="58" t="str">
        <f>G35</f>
        <v>Suède</v>
      </c>
      <c r="H36" s="54" t="str">
        <f t="shared" si="1"/>
        <v>Non joué</v>
      </c>
      <c r="I36" s="8"/>
      <c r="J36" s="145">
        <v>2</v>
      </c>
      <c r="K36" s="133" t="str">
        <f>VLOOKUP(LARGE(BE29:BE32,2),BE29:BF32,2,FALSE)</f>
        <v>Belgique</v>
      </c>
      <c r="L36" s="134">
        <f>VLOOKUP(K36,AU29:AY32,5,FALSE)</f>
        <v>0</v>
      </c>
      <c r="M36" s="134">
        <f>VLOOKUP(K36,AU29:AV32,2,FALSE)</f>
        <v>0</v>
      </c>
      <c r="N36" s="134">
        <f>VLOOKUP(K36,AU29:AW32,3,FALSE)</f>
        <v>0</v>
      </c>
      <c r="O36" s="135">
        <f>VLOOKUP(K36,AU29:AX32,4,FALSE)</f>
        <v>0</v>
      </c>
      <c r="P36" s="2"/>
      <c r="Q36" s="197"/>
      <c r="R36" s="199"/>
      <c r="S36" s="213"/>
      <c r="T36" s="195"/>
      <c r="U36" s="2"/>
      <c r="V36" s="49" t="s">
        <v>105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"/>
      <c r="AU36" s="80" t="str">
        <f>D41</f>
        <v>Portugal</v>
      </c>
      <c r="AV36" s="80">
        <f>SUM(E41,E43:E44)</f>
        <v>0</v>
      </c>
      <c r="AW36" s="80">
        <f>SUM(F41,F43:F44)</f>
        <v>0</v>
      </c>
      <c r="AX36" s="80">
        <f t="shared" ref="AX36:AX38" si="15">SUM(AV36,-AW36)</f>
        <v>0</v>
      </c>
      <c r="AY36" s="80">
        <f>COUNTIF(H40:H45,D41)*3+COUNTIF(H41,"Égalité")+COUNTIF(H43:H44,"Égalité")</f>
        <v>0</v>
      </c>
      <c r="AZ36" s="80">
        <f t="shared" ref="AZ36:AZ38" si="16">SUM(AY36,AX36/100,AV36/10000)</f>
        <v>0</v>
      </c>
      <c r="BA36" s="80" t="str">
        <f>D41</f>
        <v>Portugal</v>
      </c>
      <c r="BB36" s="150">
        <f>IF(AZ36=AZ35,AZ36+$E$43/10000,AZ36)</f>
        <v>0</v>
      </c>
      <c r="BC36" s="150">
        <f>IF(AZ36=AZ37,AZ36+$E$44/10000,AZ36)</f>
        <v>0</v>
      </c>
      <c r="BD36" s="150">
        <f>IF(AZ36=AZ38,AZ36+$E$41/10000,AZ36)</f>
        <v>0</v>
      </c>
      <c r="BE36" s="150">
        <f t="shared" si="2"/>
        <v>0</v>
      </c>
      <c r="BF36" s="150" t="str">
        <f>D41</f>
        <v>Portugal</v>
      </c>
    </row>
    <row r="37" spans="2:58" ht="16.5" thickBot="1">
      <c r="B37" s="235"/>
      <c r="C37" s="158" t="s">
        <v>84</v>
      </c>
      <c r="D37" s="67" t="str">
        <f>D34</f>
        <v>Belgique</v>
      </c>
      <c r="E37" s="53"/>
      <c r="F37" s="53"/>
      <c r="G37" s="58" t="str">
        <f>D35</f>
        <v>Irlande</v>
      </c>
      <c r="H37" s="54" t="str">
        <f t="shared" si="1"/>
        <v>Non joué</v>
      </c>
      <c r="I37" s="8"/>
      <c r="J37" s="71">
        <v>3</v>
      </c>
      <c r="K37" s="59" t="str">
        <f>VLOOKUP(LARGE(BE29:BE32,3),BE29:BF32,2,FALSE)</f>
        <v>Belgique</v>
      </c>
      <c r="L37" s="53">
        <f>VLOOKUP(K37,AU29:AY32,5,FALSE)</f>
        <v>0</v>
      </c>
      <c r="M37" s="53">
        <f>VLOOKUP(K37,AU29:AV32,2,FALSE)</f>
        <v>0</v>
      </c>
      <c r="N37" s="53">
        <f>VLOOKUP(K37,AU29:AW32,3,FALSE)</f>
        <v>0</v>
      </c>
      <c r="O37" s="58">
        <f>VLOOKUP(K37,AU29:AX32,4,FALSE)</f>
        <v>0</v>
      </c>
      <c r="P37" s="2"/>
      <c r="Q37" s="197" t="str">
        <f>K30</f>
        <v>Turquie</v>
      </c>
      <c r="R37" s="199"/>
      <c r="S37" s="203"/>
      <c r="T37" s="186"/>
      <c r="U37" s="2"/>
      <c r="V37" s="2"/>
      <c r="W37" s="2"/>
      <c r="X37" s="2"/>
      <c r="Y37" s="2"/>
      <c r="Z37" s="2"/>
      <c r="AA37" s="2"/>
      <c r="AB37" s="2"/>
      <c r="AC37" s="151" t="s">
        <v>122</v>
      </c>
      <c r="AD37" s="152" t="s">
        <v>123</v>
      </c>
      <c r="AE37" s="2"/>
      <c r="AF37" s="2"/>
      <c r="AG37" s="2"/>
      <c r="AH37" s="2"/>
      <c r="AI37" s="2"/>
      <c r="AJ37" s="1"/>
      <c r="AU37" s="80" t="str">
        <f>G40</f>
        <v>Hongrie</v>
      </c>
      <c r="AV37" s="80">
        <f>SUM(F40,F42,F44)</f>
        <v>0</v>
      </c>
      <c r="AW37" s="80">
        <f>SUM(E40,E42,E44)</f>
        <v>0</v>
      </c>
      <c r="AX37" s="80">
        <f t="shared" si="15"/>
        <v>0</v>
      </c>
      <c r="AY37" s="80">
        <f>COUNTIF(H40:H45,G40)*3+COUNTIF(H40,"Égalité")+COUNTIF(H42,"Égalité")+COUNTIF(H44,"Égalité")</f>
        <v>0</v>
      </c>
      <c r="AZ37" s="80">
        <f t="shared" si="16"/>
        <v>0</v>
      </c>
      <c r="BA37" s="80" t="str">
        <f>G40</f>
        <v>Hongrie</v>
      </c>
      <c r="BB37" s="150">
        <f>IF(AZ37=AZ35,AZ37+$F$40/10000,AZ37)</f>
        <v>0</v>
      </c>
      <c r="BC37" s="150">
        <f>IF(AZ37=AZ36,AZ37+$F$44/10000,AZ37)</f>
        <v>0</v>
      </c>
      <c r="BD37" s="150">
        <f>IF(AZ37=AZ38,AZ37+$F$42/10000,AZ37)</f>
        <v>0</v>
      </c>
      <c r="BE37" s="150">
        <f t="shared" si="2"/>
        <v>0</v>
      </c>
      <c r="BF37" s="150" t="str">
        <f>G40</f>
        <v>Hongrie</v>
      </c>
    </row>
    <row r="38" spans="2:58" ht="15.75" thickBot="1">
      <c r="B38" s="235"/>
      <c r="C38" s="158" t="s">
        <v>116</v>
      </c>
      <c r="D38" s="67" t="str">
        <f>D34</f>
        <v>Belgique</v>
      </c>
      <c r="E38" s="53"/>
      <c r="F38" s="53"/>
      <c r="G38" s="58" t="str">
        <f>G35</f>
        <v>Suède</v>
      </c>
      <c r="H38" s="54" t="str">
        <f t="shared" si="1"/>
        <v>Non joué</v>
      </c>
      <c r="I38" s="8"/>
      <c r="J38" s="49">
        <v>4</v>
      </c>
      <c r="K38" s="65" t="str">
        <f>VLOOKUP(LARGE(BE29:BE32,4),BE29:BF32,2,FALSE)</f>
        <v>Belgique</v>
      </c>
      <c r="L38" s="62">
        <f>VLOOKUP(K38,AU29:AY32,5,FALSE)</f>
        <v>0</v>
      </c>
      <c r="M38" s="63">
        <f>VLOOKUP(K38,AU29:AV32,2,FALSE)</f>
        <v>0</v>
      </c>
      <c r="N38" s="63">
        <f>VLOOKUP(K38,AU29:AW32,3,FALSE)</f>
        <v>0</v>
      </c>
      <c r="O38" s="64">
        <f>VLOOKUP(K38,AU29:AX32,4,FALSE)</f>
        <v>0</v>
      </c>
      <c r="P38" s="2"/>
      <c r="Q38" s="210"/>
      <c r="R38" s="211"/>
      <c r="S38" s="204"/>
      <c r="T38" s="187"/>
      <c r="U38" s="2"/>
      <c r="V38" s="2"/>
      <c r="W38" s="2"/>
      <c r="X38" s="2"/>
      <c r="Y38" s="2"/>
      <c r="Z38" s="2"/>
      <c r="AA38" s="196" t="str">
        <f>IF(W32&lt;&gt;W34,IF(W32&gt;W34,V32,V34),IF(X32&lt;&gt;X34,IF(X32&gt;X34,V32,V34),IF(Y32&lt;&gt;Y34,IF(Y32&gt;Y34,V32,V34),"")))</f>
        <v/>
      </c>
      <c r="AB38" s="198"/>
      <c r="AC38" s="184"/>
      <c r="AD38" s="186"/>
      <c r="AE38" s="2"/>
      <c r="AF38" s="2"/>
      <c r="AG38" s="2"/>
      <c r="AH38" s="2"/>
      <c r="AI38" s="2"/>
      <c r="AJ38" s="1"/>
      <c r="AU38" s="80" t="str">
        <f>G41</f>
        <v>Islande</v>
      </c>
      <c r="AV38" s="80">
        <f>SUM(F41,E42,E45)</f>
        <v>0</v>
      </c>
      <c r="AW38" s="80">
        <f>SUM(E41,F42,F45)</f>
        <v>0</v>
      </c>
      <c r="AX38" s="80">
        <f t="shared" si="15"/>
        <v>0</v>
      </c>
      <c r="AY38" s="81">
        <f>COUNTIF(H40:H45,G41)*3+COUNTIF(H41:H42,"Égalité")+COUNTIF(H45,"Égalité")</f>
        <v>0</v>
      </c>
      <c r="AZ38" s="80">
        <f t="shared" si="16"/>
        <v>0</v>
      </c>
      <c r="BA38" s="80" t="str">
        <f>G41</f>
        <v>Islande</v>
      </c>
      <c r="BB38" s="150">
        <f>IF(AZ38=AZ35,AZ38+$E$45/10000,AZ38)</f>
        <v>0</v>
      </c>
      <c r="BC38" s="150">
        <f>IF(AZ38=AZ36,AZ38+$F$41/10000,AZ38)</f>
        <v>0</v>
      </c>
      <c r="BD38" s="150">
        <f>IF(AZ38=AZ37,AZ38+$E$42/10000,AZ38)</f>
        <v>0</v>
      </c>
      <c r="BE38" s="150">
        <f t="shared" si="2"/>
        <v>0</v>
      </c>
      <c r="BF38" s="150" t="str">
        <f>G41</f>
        <v>Islande</v>
      </c>
    </row>
    <row r="39" spans="2:58" ht="15.75" thickBot="1">
      <c r="B39" s="236"/>
      <c r="C39" s="159" t="s">
        <v>94</v>
      </c>
      <c r="D39" s="68" t="str">
        <f>G34</f>
        <v>Italie</v>
      </c>
      <c r="E39" s="63"/>
      <c r="F39" s="63"/>
      <c r="G39" s="64" t="str">
        <f>D35</f>
        <v>Irlande</v>
      </c>
      <c r="H39" s="60" t="str">
        <f t="shared" si="1"/>
        <v>Non joué</v>
      </c>
      <c r="I39" s="8"/>
      <c r="J39" s="2"/>
      <c r="K39" s="2"/>
      <c r="L39" s="2"/>
      <c r="M39" s="2"/>
      <c r="N39" s="2"/>
      <c r="O39" s="2"/>
      <c r="P39" s="2"/>
      <c r="Q39" s="49" t="s">
        <v>98</v>
      </c>
      <c r="R39" s="2"/>
      <c r="S39" s="2"/>
      <c r="T39" s="2"/>
      <c r="U39" s="2"/>
      <c r="V39" s="2"/>
      <c r="W39" s="2"/>
      <c r="X39" s="2"/>
      <c r="Y39" s="2"/>
      <c r="Z39" s="2"/>
      <c r="AA39" s="197"/>
      <c r="AB39" s="199"/>
      <c r="AC39" s="194"/>
      <c r="AD39" s="195"/>
      <c r="AE39" s="2"/>
      <c r="AF39" s="2"/>
      <c r="AG39" s="2"/>
      <c r="AH39" s="2"/>
      <c r="AI39" s="2"/>
      <c r="AJ39" s="1"/>
      <c r="AU39" s="80"/>
      <c r="AV39" s="80"/>
      <c r="AW39" s="80"/>
      <c r="AX39" s="80"/>
      <c r="AY39" s="80"/>
      <c r="AZ39" s="80"/>
      <c r="BA39" s="80"/>
      <c r="BC39" s="79"/>
    </row>
    <row r="40" spans="2:58" ht="16.5" thickBot="1">
      <c r="B40" s="237" t="s">
        <v>17</v>
      </c>
      <c r="C40" s="157" t="s">
        <v>76</v>
      </c>
      <c r="D40" s="69" t="s">
        <v>67</v>
      </c>
      <c r="E40" s="50"/>
      <c r="F40" s="50"/>
      <c r="G40" s="51" t="s">
        <v>66</v>
      </c>
      <c r="H40" s="55" t="str">
        <f t="shared" si="1"/>
        <v>Non joué</v>
      </c>
      <c r="I40" s="8"/>
      <c r="J40" s="73" t="s">
        <v>44</v>
      </c>
      <c r="K40" s="74" t="s">
        <v>1</v>
      </c>
      <c r="L40" s="74" t="s">
        <v>3</v>
      </c>
      <c r="M40" s="75" t="s">
        <v>4</v>
      </c>
      <c r="N40" s="75" t="s">
        <v>5</v>
      </c>
      <c r="O40" s="76" t="s">
        <v>11</v>
      </c>
      <c r="P40" s="2"/>
      <c r="Q40" s="2"/>
      <c r="R40" s="2"/>
      <c r="S40" s="151" t="s">
        <v>122</v>
      </c>
      <c r="T40" s="152" t="s">
        <v>123</v>
      </c>
      <c r="U40" s="2"/>
      <c r="V40" s="2"/>
      <c r="W40" s="2"/>
      <c r="X40" s="2"/>
      <c r="Y40" s="2"/>
      <c r="Z40" s="2"/>
      <c r="AA40" s="197" t="str">
        <f>IF(W44&lt;&gt;W46,IF(W44&gt;W46,V44,V46),IF(X44&lt;&gt;X46,IF(X44&gt;X46,V44,V46),IF(Y44&lt;&gt;Y46,IF(Y44&gt;Y46,V44,V46),"")))</f>
        <v/>
      </c>
      <c r="AB40" s="199"/>
      <c r="AC40" s="184"/>
      <c r="AD40" s="186"/>
      <c r="AE40" s="2"/>
      <c r="AF40" s="2"/>
      <c r="AG40" s="2"/>
      <c r="AH40" s="2"/>
      <c r="AI40" s="2"/>
      <c r="AJ40" s="1"/>
      <c r="BA40" s="80"/>
      <c r="BC40" s="79"/>
    </row>
    <row r="41" spans="2:58" ht="15.75" thickBot="1">
      <c r="B41" s="237"/>
      <c r="C41" s="160" t="s">
        <v>117</v>
      </c>
      <c r="D41" s="67" t="s">
        <v>55</v>
      </c>
      <c r="E41" s="53"/>
      <c r="F41" s="53"/>
      <c r="G41" s="58" t="s">
        <v>56</v>
      </c>
      <c r="H41" s="54" t="str">
        <f t="shared" si="1"/>
        <v>Non joué</v>
      </c>
      <c r="I41" s="8"/>
      <c r="J41" s="106">
        <v>1</v>
      </c>
      <c r="K41" s="107" t="str">
        <f>VLOOKUP(MAX(BE35:BE38),BE35:BF38,2,FALSE)</f>
        <v>Autriche</v>
      </c>
      <c r="L41" s="108">
        <f>VLOOKUP(K41,AU35:AY38,5,FALSE)</f>
        <v>0</v>
      </c>
      <c r="M41" s="108">
        <f>VLOOKUP(K41,AU35:AV38,2,FALSE)</f>
        <v>0</v>
      </c>
      <c r="N41" s="108">
        <f>VLOOKUP(K41,AU35:AW38,3,FALSE)</f>
        <v>0</v>
      </c>
      <c r="O41" s="109">
        <f>VLOOKUP(K41,AU35:AX38,4,FALSE)</f>
        <v>0</v>
      </c>
      <c r="P41" s="2"/>
      <c r="Q41" s="196" t="str">
        <f>K11</f>
        <v>France</v>
      </c>
      <c r="R41" s="198"/>
      <c r="S41" s="226"/>
      <c r="T41" s="227"/>
      <c r="U41" s="2"/>
      <c r="V41" s="2"/>
      <c r="W41" s="2"/>
      <c r="X41" s="2"/>
      <c r="Y41" s="2"/>
      <c r="Z41" s="2"/>
      <c r="AA41" s="222"/>
      <c r="AB41" s="211"/>
      <c r="AC41" s="185"/>
      <c r="AD41" s="187"/>
      <c r="AE41" s="2"/>
      <c r="AF41" s="2"/>
      <c r="AG41" s="2"/>
      <c r="AH41" s="2"/>
      <c r="AI41" s="2"/>
      <c r="AJ41" s="1"/>
      <c r="BA41" s="80"/>
      <c r="BB41" s="82"/>
      <c r="BC41" s="79"/>
    </row>
    <row r="42" spans="2:58" ht="15.75" thickBot="1">
      <c r="B42" s="237"/>
      <c r="C42" s="158" t="s">
        <v>85</v>
      </c>
      <c r="D42" s="67" t="str">
        <f>G41</f>
        <v>Islande</v>
      </c>
      <c r="E42" s="53"/>
      <c r="F42" s="53"/>
      <c r="G42" s="58" t="str">
        <f>G40</f>
        <v>Hongrie</v>
      </c>
      <c r="H42" s="54" t="str">
        <f t="shared" si="1"/>
        <v>Non joué</v>
      </c>
      <c r="I42" s="8"/>
      <c r="J42" s="110">
        <v>2</v>
      </c>
      <c r="K42" s="111" t="str">
        <f>VLOOKUP(LARGE(BE35:BE38,2),BE35:BF38,2,FALSE)</f>
        <v>Autriche</v>
      </c>
      <c r="L42" s="112">
        <f>VLOOKUP(K42,AU35:AY38,5,FALSE)</f>
        <v>0</v>
      </c>
      <c r="M42" s="112">
        <f>VLOOKUP(K42,AU35:AV38,2,FALSE)</f>
        <v>0</v>
      </c>
      <c r="N42" s="112">
        <f>VLOOKUP(K42,AU35:AW38,3,FALSE)</f>
        <v>0</v>
      </c>
      <c r="O42" s="113">
        <f>VLOOKUP(K42,AU35:AX38,4,FALSE)</f>
        <v>0</v>
      </c>
      <c r="P42" s="2"/>
      <c r="Q42" s="197"/>
      <c r="R42" s="199"/>
      <c r="S42" s="213"/>
      <c r="T42" s="195"/>
      <c r="U42" s="2"/>
      <c r="V42" s="2"/>
      <c r="W42" s="2"/>
      <c r="X42" s="2"/>
      <c r="Y42" s="2"/>
      <c r="Z42" s="2"/>
      <c r="AA42" s="49" t="s">
        <v>108</v>
      </c>
      <c r="AB42" s="2"/>
      <c r="AC42" s="2"/>
      <c r="AD42" s="2"/>
      <c r="AE42" s="2"/>
      <c r="AF42" s="2"/>
      <c r="AG42" s="2"/>
      <c r="AH42" s="2"/>
      <c r="AI42" s="2"/>
      <c r="AJ42" s="1"/>
      <c r="BA42" s="80"/>
      <c r="BB42" s="82"/>
      <c r="BC42" s="79"/>
    </row>
    <row r="43" spans="2:58" ht="16.5" thickBot="1">
      <c r="B43" s="237"/>
      <c r="C43" s="158" t="s">
        <v>118</v>
      </c>
      <c r="D43" s="67" t="str">
        <f>D41</f>
        <v>Portugal</v>
      </c>
      <c r="E43" s="53"/>
      <c r="F43" s="53"/>
      <c r="G43" s="58" t="str">
        <f>D40</f>
        <v>Autriche</v>
      </c>
      <c r="H43" s="54" t="str">
        <f t="shared" si="1"/>
        <v>Non joué</v>
      </c>
      <c r="I43" s="8"/>
      <c r="J43" s="54">
        <v>3</v>
      </c>
      <c r="K43" s="59" t="str">
        <f>VLOOKUP(LARGE(BE35:BE38,3),BE35:BF38,2,FALSE)</f>
        <v>Autriche</v>
      </c>
      <c r="L43" s="53">
        <f>VLOOKUP(K43,AU35:AY38,5,FALSE)</f>
        <v>0</v>
      </c>
      <c r="M43" s="53">
        <f>VLOOKUP(K43,AU35:AV38,2,FALSE)</f>
        <v>0</v>
      </c>
      <c r="N43" s="53">
        <f>VLOOKUP(K43,AU35:AW38,3,FALSE)</f>
        <v>0</v>
      </c>
      <c r="O43" s="58">
        <f>VLOOKUP(K43,AU35:AX38,4,FALSE)</f>
        <v>0</v>
      </c>
      <c r="P43" s="2"/>
      <c r="Q43" s="197" t="e">
        <f>AW65</f>
        <v>#N/A</v>
      </c>
      <c r="R43" s="199"/>
      <c r="S43" s="203"/>
      <c r="T43" s="186"/>
      <c r="U43" s="2"/>
      <c r="V43" s="2"/>
      <c r="W43" s="2"/>
      <c r="X43" s="151" t="s">
        <v>122</v>
      </c>
      <c r="Y43" s="152" t="s">
        <v>123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/>
      <c r="AV43" s="239" t="s">
        <v>23</v>
      </c>
      <c r="AW43" s="242" t="s">
        <v>39</v>
      </c>
      <c r="AX43" s="245" t="s">
        <v>40</v>
      </c>
      <c r="AY43" s="245" t="s">
        <v>41</v>
      </c>
      <c r="AZ43" s="248" t="s">
        <v>42</v>
      </c>
      <c r="BA43" s="80"/>
      <c r="BB43" s="82"/>
      <c r="BC43" s="79"/>
    </row>
    <row r="44" spans="2:58" ht="15.75" thickBot="1">
      <c r="B44" s="237"/>
      <c r="C44" s="158" t="s">
        <v>93</v>
      </c>
      <c r="D44" s="67" t="str">
        <f>D41</f>
        <v>Portugal</v>
      </c>
      <c r="E44" s="53"/>
      <c r="F44" s="53"/>
      <c r="G44" s="58" t="str">
        <f>G40</f>
        <v>Hongrie</v>
      </c>
      <c r="H44" s="54" t="str">
        <f t="shared" si="1"/>
        <v>Non joué</v>
      </c>
      <c r="I44" s="8"/>
      <c r="J44" s="60">
        <v>4</v>
      </c>
      <c r="K44" s="65" t="str">
        <f>VLOOKUP(LARGE(BE35:BE38,4),BE35:BF38,2,FALSE)</f>
        <v>Autriche</v>
      </c>
      <c r="L44" s="62">
        <f>VLOOKUP(K44,AU35:AY38,5,FALSE)</f>
        <v>0</v>
      </c>
      <c r="M44" s="63">
        <f>VLOOKUP(K44,AU35:AV38,2,FALSE)</f>
        <v>0</v>
      </c>
      <c r="N44" s="63">
        <f>VLOOKUP(K44,AU35:AW38,3,FALSE)</f>
        <v>0</v>
      </c>
      <c r="O44" s="64">
        <f>VLOOKUP(K44,AU35:AX38,4,FALSE)</f>
        <v>0</v>
      </c>
      <c r="P44" s="2"/>
      <c r="Q44" s="210"/>
      <c r="R44" s="211"/>
      <c r="S44" s="204"/>
      <c r="T44" s="187"/>
      <c r="U44" s="2"/>
      <c r="V44" s="196" t="str">
        <f>IF(R41&lt;&gt;R43,IF(R41&gt;R43,Q41,Q43),IF(S41&lt;&gt;S43,IF(S41&gt;S43,Q41,Q43),IF(T41&lt;&gt;T43,IF(T41&gt;T43,Q41,Q43),"")))</f>
        <v/>
      </c>
      <c r="W44" s="198"/>
      <c r="X44" s="184"/>
      <c r="Y44" s="186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  <c r="AV44" s="240"/>
      <c r="AW44" s="243"/>
      <c r="AX44" s="246"/>
      <c r="AY44" s="246"/>
      <c r="AZ44" s="249"/>
      <c r="BA44" s="80"/>
      <c r="BB44" s="82" t="s">
        <v>43</v>
      </c>
      <c r="BC44" s="79"/>
    </row>
    <row r="45" spans="2:58" ht="15.75" thickBot="1">
      <c r="B45" s="238"/>
      <c r="C45" s="159" t="s">
        <v>93</v>
      </c>
      <c r="D45" s="68" t="str">
        <f>G41</f>
        <v>Islande</v>
      </c>
      <c r="E45" s="63"/>
      <c r="F45" s="63"/>
      <c r="G45" s="64" t="str">
        <f>D40</f>
        <v>Autriche</v>
      </c>
      <c r="H45" s="60" t="str">
        <f t="shared" si="1"/>
        <v>Non joué</v>
      </c>
      <c r="I45" s="41"/>
      <c r="J45" s="38"/>
      <c r="K45" s="2"/>
      <c r="L45" s="2"/>
      <c r="M45" s="2"/>
      <c r="N45" s="2"/>
      <c r="O45" s="2"/>
      <c r="P45" s="2"/>
      <c r="Q45" s="49" t="s">
        <v>100</v>
      </c>
      <c r="R45" s="2"/>
      <c r="S45" s="2"/>
      <c r="T45" s="2"/>
      <c r="U45" s="2"/>
      <c r="V45" s="197"/>
      <c r="W45" s="199"/>
      <c r="X45" s="194"/>
      <c r="Y45" s="195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"/>
      <c r="AV45" s="241"/>
      <c r="AW45" s="244"/>
      <c r="AX45" s="247"/>
      <c r="AY45" s="247"/>
      <c r="AZ45" s="250"/>
      <c r="BA45" s="80"/>
      <c r="BC45" s="79"/>
    </row>
    <row r="46" spans="2:58" s="2" customFormat="1" ht="16.5" thickBot="1">
      <c r="B46" s="39"/>
      <c r="C46" s="44"/>
      <c r="H46" s="8"/>
      <c r="I46" s="8"/>
      <c r="S46" s="151" t="s">
        <v>122</v>
      </c>
      <c r="T46" s="152" t="s">
        <v>123</v>
      </c>
      <c r="V46" s="222" t="str">
        <f>IF(R47&lt;&gt;R49,IF(R47&gt;R49,Q47,Q49),IF(S47&lt;&gt;S49,IF(S47&gt;S49,Q47,Q49),IF(T47&lt;&gt;T49,IF(T47&gt;T49,Q47,Q49),"")))</f>
        <v/>
      </c>
      <c r="W46" s="227"/>
      <c r="X46" s="184"/>
      <c r="Y46" s="186"/>
      <c r="AF46" s="259" t="s">
        <v>119</v>
      </c>
      <c r="AG46" s="260"/>
      <c r="AH46" s="260"/>
      <c r="AI46" s="261"/>
      <c r="AJ46" s="1"/>
      <c r="AV46" s="146" t="s">
        <v>29</v>
      </c>
      <c r="AW46" s="147" t="s">
        <v>16</v>
      </c>
      <c r="AX46" s="148" t="s">
        <v>10</v>
      </c>
      <c r="AY46" s="148" t="s">
        <v>13</v>
      </c>
      <c r="AZ46" s="149" t="s">
        <v>17</v>
      </c>
      <c r="BA46" s="80"/>
      <c r="BB46" s="82" t="str">
        <f>IF(OR("A"=$AM$19,"A"=$AM$20,"A"=$AM$21,"A"=$AM$22),"A","")</f>
        <v>A</v>
      </c>
      <c r="BF46" s="80"/>
    </row>
    <row r="47" spans="2:58" ht="15.75" customHeight="1" thickBot="1">
      <c r="B47" s="39"/>
      <c r="C47" s="44"/>
      <c r="D47" s="2"/>
      <c r="E47" s="83"/>
      <c r="F47" s="83"/>
      <c r="G47" s="2"/>
      <c r="H47" s="84"/>
      <c r="I47" s="84"/>
      <c r="J47" s="43"/>
      <c r="K47" s="43"/>
      <c r="L47" s="83"/>
      <c r="M47" s="83"/>
      <c r="N47" s="83"/>
      <c r="O47" s="83"/>
      <c r="P47" s="2"/>
      <c r="Q47" s="262" t="str">
        <f>K18</f>
        <v>P. Galles</v>
      </c>
      <c r="R47" s="265"/>
      <c r="S47" s="226"/>
      <c r="T47" s="227"/>
      <c r="U47" s="2"/>
      <c r="V47" s="264"/>
      <c r="W47" s="187"/>
      <c r="X47" s="185"/>
      <c r="Y47" s="187"/>
      <c r="Z47" s="2"/>
      <c r="AA47" s="2"/>
      <c r="AB47" s="2"/>
      <c r="AC47" s="2"/>
      <c r="AD47" s="2"/>
      <c r="AE47" s="2"/>
      <c r="AF47" s="253" t="str">
        <f>IF(AG26&lt;&gt;AG28,IF(AG26&gt;AG28,AF26,AF28),IF(AH26&lt;&gt;AH28,IF(AH26&gt;AH28,AF26,AF28),IF(AI26&lt;&gt;AI28,IF(AI26&gt;AI28,AF26,AF28),"")))</f>
        <v/>
      </c>
      <c r="AG47" s="254"/>
      <c r="AH47" s="254"/>
      <c r="AI47" s="255"/>
      <c r="AJ47" s="1"/>
      <c r="AV47" s="20" t="s">
        <v>24</v>
      </c>
      <c r="AW47" s="21" t="s">
        <v>14</v>
      </c>
      <c r="AX47" s="22" t="s">
        <v>15</v>
      </c>
      <c r="AY47" s="22" t="s">
        <v>10</v>
      </c>
      <c r="AZ47" s="23" t="s">
        <v>13</v>
      </c>
      <c r="BA47" s="80"/>
      <c r="BB47" s="82" t="str">
        <f>IF(OR("B"=$AM$19,"B"=$AM$20,"B"=$AM$21,"B"=$AM$22),"B","")</f>
        <v/>
      </c>
      <c r="BC47" s="79"/>
    </row>
    <row r="48" spans="2:58" ht="15.75" thickBot="1">
      <c r="B48" s="39"/>
      <c r="C48" s="44"/>
      <c r="D48" s="85"/>
      <c r="E48" s="83"/>
      <c r="F48" s="83"/>
      <c r="G48" s="86"/>
      <c r="H48" s="84"/>
      <c r="I48" s="84"/>
      <c r="J48" s="43"/>
      <c r="K48" s="43"/>
      <c r="L48" s="83"/>
      <c r="M48" s="83"/>
      <c r="N48" s="83"/>
      <c r="O48" s="83"/>
      <c r="P48" s="42"/>
      <c r="Q48" s="263"/>
      <c r="R48" s="195"/>
      <c r="S48" s="213"/>
      <c r="T48" s="195"/>
      <c r="U48" s="2"/>
      <c r="V48" s="49" t="s">
        <v>106</v>
      </c>
      <c r="W48" s="2"/>
      <c r="X48" s="2"/>
      <c r="Y48" s="2"/>
      <c r="Z48" s="2"/>
      <c r="AA48" s="2"/>
      <c r="AB48" s="2"/>
      <c r="AC48" s="2"/>
      <c r="AD48" s="2"/>
      <c r="AE48" s="2"/>
      <c r="AF48" s="256"/>
      <c r="AG48" s="257"/>
      <c r="AH48" s="257"/>
      <c r="AI48" s="258"/>
      <c r="AJ48" s="1"/>
      <c r="AV48" s="24" t="s">
        <v>25</v>
      </c>
      <c r="AW48" s="25" t="s">
        <v>14</v>
      </c>
      <c r="AX48" s="26" t="s">
        <v>10</v>
      </c>
      <c r="AY48" s="26" t="s">
        <v>13</v>
      </c>
      <c r="AZ48" s="27" t="s">
        <v>16</v>
      </c>
      <c r="BA48" s="80"/>
      <c r="BB48" s="82" t="str">
        <f>IF(OR("C"=$AM$19,"C"=$AM$20,"C"=$AM$21,"C"=$AM$22),"C","")</f>
        <v/>
      </c>
      <c r="BC48" s="79"/>
    </row>
    <row r="49" spans="1:55">
      <c r="B49" s="39"/>
      <c r="C49" s="44"/>
      <c r="D49" s="2"/>
      <c r="E49" s="83"/>
      <c r="F49" s="83"/>
      <c r="G49" s="2"/>
      <c r="H49" s="84"/>
      <c r="I49" s="84"/>
      <c r="J49" s="43"/>
      <c r="K49" s="43"/>
      <c r="L49" s="83"/>
      <c r="M49" s="83"/>
      <c r="N49" s="83"/>
      <c r="O49" s="83"/>
      <c r="P49" s="42"/>
      <c r="Q49" s="222" t="str">
        <f>K42</f>
        <v>Autriche</v>
      </c>
      <c r="R49" s="227"/>
      <c r="S49" s="203"/>
      <c r="T49" s="18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/>
      <c r="AV49" s="24" t="s">
        <v>26</v>
      </c>
      <c r="AW49" s="25" t="s">
        <v>14</v>
      </c>
      <c r="AX49" s="26" t="s">
        <v>10</v>
      </c>
      <c r="AY49" s="26" t="s">
        <v>13</v>
      </c>
      <c r="AZ49" s="29" t="s">
        <v>17</v>
      </c>
      <c r="BA49" s="80"/>
      <c r="BB49" s="82" t="str">
        <f>IF(OR("D"=$AM$19,"D"=$AM$20,"D"=$AM$21,"D"=$AM$22),"D","")</f>
        <v/>
      </c>
      <c r="BC49" s="79"/>
    </row>
    <row r="50" spans="1:55" ht="15.75" thickBot="1">
      <c r="B50" s="39"/>
      <c r="C50" s="44"/>
      <c r="D50" s="2"/>
      <c r="E50" s="83"/>
      <c r="F50" s="83"/>
      <c r="G50" s="2"/>
      <c r="H50" s="84"/>
      <c r="I50" s="84"/>
      <c r="J50" s="43"/>
      <c r="K50" s="43"/>
      <c r="L50" s="83"/>
      <c r="M50" s="83"/>
      <c r="N50" s="83"/>
      <c r="O50" s="83"/>
      <c r="P50" s="42"/>
      <c r="Q50" s="264"/>
      <c r="R50" s="187"/>
      <c r="S50" s="204"/>
      <c r="T50" s="187"/>
      <c r="U50" s="2"/>
      <c r="V50" s="30"/>
      <c r="W50" s="31"/>
      <c r="X50" s="31"/>
      <c r="Y50" s="3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"/>
      <c r="AV50" s="24" t="s">
        <v>27</v>
      </c>
      <c r="AW50" s="25" t="s">
        <v>15</v>
      </c>
      <c r="AX50" s="26" t="s">
        <v>10</v>
      </c>
      <c r="AY50" s="28" t="s">
        <v>13</v>
      </c>
      <c r="AZ50" s="29" t="s">
        <v>16</v>
      </c>
      <c r="BA50" s="80"/>
      <c r="BB50" s="82" t="str">
        <f>IF(OR("E"=$AM$19,"E"=$AM$20,"E"=$AM$21,"E"=$AM$22),"E","")</f>
        <v/>
      </c>
      <c r="BC50" s="79"/>
    </row>
    <row r="51" spans="1:55" ht="15.75" thickBot="1">
      <c r="B51" s="39"/>
      <c r="C51" s="44"/>
      <c r="D51" s="2"/>
      <c r="E51" s="83"/>
      <c r="F51" s="83"/>
      <c r="G51" s="2"/>
      <c r="H51" s="84"/>
      <c r="I51" s="84"/>
      <c r="J51" s="43"/>
      <c r="K51" s="43"/>
      <c r="L51" s="83"/>
      <c r="M51" s="83"/>
      <c r="N51" s="83"/>
      <c r="O51" s="83"/>
      <c r="P51" s="42"/>
      <c r="Q51" s="49" t="s">
        <v>99</v>
      </c>
      <c r="R51" s="31"/>
      <c r="S51" s="31"/>
      <c r="T51" s="31"/>
      <c r="U51" s="2"/>
      <c r="V51" s="30"/>
      <c r="W51" s="31"/>
      <c r="X51" s="31"/>
      <c r="Y51" s="31"/>
      <c r="Z51" s="30"/>
      <c r="AA51" s="30"/>
      <c r="AB51" s="30"/>
      <c r="AC51" s="30"/>
      <c r="AD51" s="30"/>
      <c r="AE51" s="2"/>
      <c r="AF51" s="2"/>
      <c r="AG51" s="2"/>
      <c r="AH51" s="2"/>
      <c r="AI51" s="2"/>
      <c r="AJ51" s="1"/>
      <c r="AV51" s="24" t="s">
        <v>28</v>
      </c>
      <c r="AW51" s="25" t="s">
        <v>15</v>
      </c>
      <c r="AX51" s="26" t="s">
        <v>10</v>
      </c>
      <c r="AY51" s="26" t="s">
        <v>13</v>
      </c>
      <c r="AZ51" s="29" t="s">
        <v>17</v>
      </c>
      <c r="BA51" s="80"/>
      <c r="BB51" s="82" t="str">
        <f>IF(OR("F"=$AM$19,"F"=$AM$20,"F"=$AM$21,"F"=$AM$22),"F","")</f>
        <v/>
      </c>
      <c r="BC51" s="79"/>
    </row>
    <row r="52" spans="1:55">
      <c r="B52" s="39"/>
      <c r="C52" s="44"/>
      <c r="D52" s="44"/>
      <c r="E52" s="44"/>
      <c r="F52" s="44"/>
      <c r="G52" s="44"/>
      <c r="H52" s="44"/>
      <c r="I52" s="44"/>
      <c r="J52" s="43"/>
      <c r="K52" s="43"/>
      <c r="L52" s="2"/>
      <c r="M52" s="2"/>
      <c r="N52" s="2"/>
      <c r="O52" s="2"/>
      <c r="P52" s="44"/>
      <c r="Q52" s="2"/>
      <c r="R52" s="2"/>
      <c r="S52" s="2"/>
      <c r="T52" s="2"/>
      <c r="U52" s="2"/>
      <c r="V52" s="2"/>
      <c r="W52" s="2"/>
      <c r="X52" s="2"/>
      <c r="Y52" s="2"/>
      <c r="Z52" s="30"/>
      <c r="AA52" s="30"/>
      <c r="AB52" s="30"/>
      <c r="AC52" s="30"/>
      <c r="AD52" s="30"/>
      <c r="AE52" s="2"/>
      <c r="AF52" s="2"/>
      <c r="AG52" s="2"/>
      <c r="AH52" s="2"/>
      <c r="AI52" s="2"/>
      <c r="AJ52" s="1"/>
      <c r="AV52" s="24" t="s">
        <v>29</v>
      </c>
      <c r="AW52" s="25" t="s">
        <v>16</v>
      </c>
      <c r="AX52" s="26" t="s">
        <v>10</v>
      </c>
      <c r="AY52" s="26" t="s">
        <v>13</v>
      </c>
      <c r="AZ52" s="29" t="s">
        <v>17</v>
      </c>
      <c r="BA52" s="80"/>
      <c r="BB52" s="82" t="s">
        <v>2</v>
      </c>
      <c r="BC52" s="79"/>
    </row>
    <row r="53" spans="1:55" ht="15.75" thickBot="1">
      <c r="A53" s="155" t="s">
        <v>129</v>
      </c>
      <c r="B53" s="40"/>
      <c r="C53" s="45"/>
      <c r="D53" s="32"/>
      <c r="E53" s="32"/>
      <c r="F53" s="32"/>
      <c r="G53" s="32"/>
      <c r="H53" s="33"/>
      <c r="I53" s="33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 t="s">
        <v>128</v>
      </c>
      <c r="AH53" s="33"/>
      <c r="AI53" s="33"/>
      <c r="AJ53" s="156" t="s">
        <v>130</v>
      </c>
      <c r="AV53" s="24" t="s">
        <v>30</v>
      </c>
      <c r="AW53" s="25" t="s">
        <v>14</v>
      </c>
      <c r="AX53" s="26" t="s">
        <v>15</v>
      </c>
      <c r="AY53" s="26" t="s">
        <v>10</v>
      </c>
      <c r="AZ53" s="29" t="s">
        <v>16</v>
      </c>
      <c r="BA53" s="80"/>
      <c r="BB53" s="82" t="str">
        <f>CONCATENATE(BB46,BB47,BB48,BB49,BB50,BB51)</f>
        <v>A</v>
      </c>
      <c r="BC53" s="79"/>
    </row>
    <row r="54" spans="1:55">
      <c r="AV54" s="24" t="s">
        <v>31</v>
      </c>
      <c r="AW54" s="25" t="s">
        <v>14</v>
      </c>
      <c r="AX54" s="26" t="s">
        <v>15</v>
      </c>
      <c r="AY54" s="26" t="s">
        <v>10</v>
      </c>
      <c r="AZ54" s="27" t="s">
        <v>17</v>
      </c>
      <c r="BA54" s="80"/>
      <c r="BB54" s="82"/>
      <c r="BC54" s="79"/>
    </row>
    <row r="55" spans="1:55" hidden="1">
      <c r="AV55" s="161" t="s">
        <v>32</v>
      </c>
      <c r="AW55" s="162" t="s">
        <v>14</v>
      </c>
      <c r="AX55" s="163" t="s">
        <v>10</v>
      </c>
      <c r="AY55" s="163" t="s">
        <v>17</v>
      </c>
      <c r="AZ55" s="164" t="s">
        <v>16</v>
      </c>
      <c r="BA55" s="80"/>
      <c r="BB55" s="87"/>
      <c r="BC55" s="79"/>
    </row>
    <row r="56" spans="1:55" hidden="1">
      <c r="AV56" s="161" t="s">
        <v>33</v>
      </c>
      <c r="AW56" s="162" t="s">
        <v>15</v>
      </c>
      <c r="AX56" s="163" t="s">
        <v>10</v>
      </c>
      <c r="AY56" s="163" t="s">
        <v>17</v>
      </c>
      <c r="AZ56" s="164" t="s">
        <v>16</v>
      </c>
      <c r="BC56" s="79"/>
    </row>
    <row r="57" spans="1:55" hidden="1">
      <c r="AV57" s="161" t="s">
        <v>35</v>
      </c>
      <c r="AW57" s="162" t="s">
        <v>14</v>
      </c>
      <c r="AX57" s="163" t="s">
        <v>15</v>
      </c>
      <c r="AY57" s="163" t="s">
        <v>13</v>
      </c>
      <c r="AZ57" s="164" t="s">
        <v>16</v>
      </c>
      <c r="BC57" s="79"/>
    </row>
    <row r="58" spans="1:55" hidden="1">
      <c r="AV58" s="165" t="s">
        <v>34</v>
      </c>
      <c r="AW58" s="166" t="s">
        <v>14</v>
      </c>
      <c r="AX58" s="167" t="s">
        <v>15</v>
      </c>
      <c r="AY58" s="167" t="s">
        <v>13</v>
      </c>
      <c r="AZ58" s="168" t="s">
        <v>17</v>
      </c>
      <c r="BC58" s="79"/>
    </row>
    <row r="59" spans="1:55" hidden="1">
      <c r="AV59" s="165" t="s">
        <v>36</v>
      </c>
      <c r="AW59" s="166" t="s">
        <v>16</v>
      </c>
      <c r="AX59" s="167" t="s">
        <v>14</v>
      </c>
      <c r="AY59" s="167" t="s">
        <v>13</v>
      </c>
      <c r="AZ59" s="168" t="s">
        <v>17</v>
      </c>
      <c r="BC59" s="79"/>
    </row>
    <row r="60" spans="1:55" hidden="1">
      <c r="AV60" s="165" t="s">
        <v>37</v>
      </c>
      <c r="AW60" s="166" t="s">
        <v>16</v>
      </c>
      <c r="AX60" s="167" t="s">
        <v>15</v>
      </c>
      <c r="AY60" s="167" t="s">
        <v>13</v>
      </c>
      <c r="AZ60" s="168" t="s">
        <v>17</v>
      </c>
      <c r="BC60" s="79"/>
    </row>
    <row r="61" spans="1:55" ht="15.75" hidden="1" thickBot="1">
      <c r="AV61" s="169" t="s">
        <v>38</v>
      </c>
      <c r="AW61" s="170" t="s">
        <v>14</v>
      </c>
      <c r="AX61" s="171" t="s">
        <v>15</v>
      </c>
      <c r="AY61" s="171" t="s">
        <v>17</v>
      </c>
      <c r="AZ61" s="172" t="s">
        <v>16</v>
      </c>
      <c r="BC61" s="79"/>
    </row>
    <row r="62" spans="1:55" hidden="1">
      <c r="BC62" s="79"/>
    </row>
    <row r="63" spans="1:55" ht="15.75" hidden="1" thickBot="1">
      <c r="BC63" s="79"/>
    </row>
    <row r="64" spans="1:55" hidden="1">
      <c r="AU64" s="251" t="s">
        <v>2</v>
      </c>
      <c r="AV64" s="251" t="str">
        <f>BB53</f>
        <v>A</v>
      </c>
      <c r="AW64" s="173" t="e">
        <f>VLOOKUP($AV$64,$AV$46:$AZ$61,2,FALSE)</f>
        <v>#N/A</v>
      </c>
      <c r="AX64" s="174" t="e">
        <f>VLOOKUP($AV$64,$AV$46:$AZ$61,3,FALSE)</f>
        <v>#N/A</v>
      </c>
      <c r="AY64" s="174" t="e">
        <f>VLOOKUP($AV$64,$AV$46:$AZ$61,4,FALSE)</f>
        <v>#N/A</v>
      </c>
      <c r="AZ64" s="96" t="e">
        <f>VLOOKUP($AV$64,$AV$46:$AZ$61,5,FALSE)</f>
        <v>#N/A</v>
      </c>
      <c r="BA64" s="79"/>
      <c r="BB64" s="79"/>
      <c r="BC64" s="79"/>
    </row>
    <row r="65" spans="47:55" ht="15.75" hidden="1" thickBot="1">
      <c r="AU65" s="252"/>
      <c r="AV65" s="252"/>
      <c r="AW65" s="91" t="e">
        <f>VLOOKUP(AW64,$AL$6:$AM$11,2,FALSE)</f>
        <v>#N/A</v>
      </c>
      <c r="AX65" s="63" t="e">
        <f t="shared" ref="AX65:AZ65" si="17">VLOOKUP(AX64,$AL$6:$AM$11,2,FALSE)</f>
        <v>#N/A</v>
      </c>
      <c r="AY65" s="63" t="e">
        <f t="shared" si="17"/>
        <v>#N/A</v>
      </c>
      <c r="AZ65" s="97" t="e">
        <f t="shared" si="17"/>
        <v>#N/A</v>
      </c>
      <c r="BA65" s="79"/>
      <c r="BB65" s="79"/>
      <c r="BC65" s="79"/>
    </row>
    <row r="66" spans="47:55" hidden="1"/>
  </sheetData>
  <sheetProtection password="C1F5" sheet="1" objects="1" scenarios="1"/>
  <protectedRanges>
    <protectedRange sqref="E10:F45 R5:T8 R11:T14 R17:T20 R23:T26 R29:T32 R35:T38 R41:T44 R47:T50 W8:Y11 W20:Y23 W32:Y35 W44:Y47 AB14:AD17 AB38:AD41 AG26:AI29" name="Scores"/>
  </protectedRanges>
  <mergeCells count="148">
    <mergeCell ref="X46:X47"/>
    <mergeCell ref="Y46:Y47"/>
    <mergeCell ref="Q47:Q48"/>
    <mergeCell ref="Q49:Q50"/>
    <mergeCell ref="R47:R48"/>
    <mergeCell ref="R49:R50"/>
    <mergeCell ref="V46:V47"/>
    <mergeCell ref="W46:W47"/>
    <mergeCell ref="S47:S48"/>
    <mergeCell ref="T47:T48"/>
    <mergeCell ref="S49:S50"/>
    <mergeCell ref="T49:T50"/>
    <mergeCell ref="AA38:AA39"/>
    <mergeCell ref="AB38:AB39"/>
    <mergeCell ref="AV43:AV45"/>
    <mergeCell ref="AW43:AW45"/>
    <mergeCell ref="AX43:AX45"/>
    <mergeCell ref="AY43:AY45"/>
    <mergeCell ref="AZ43:AZ45"/>
    <mergeCell ref="AU64:AU65"/>
    <mergeCell ref="AV64:AV65"/>
    <mergeCell ref="AF47:AI48"/>
    <mergeCell ref="AF46:AI46"/>
    <mergeCell ref="B40:B45"/>
    <mergeCell ref="AA40:AA41"/>
    <mergeCell ref="AB40:AB41"/>
    <mergeCell ref="Q41:Q42"/>
    <mergeCell ref="R41:R42"/>
    <mergeCell ref="Q43:Q44"/>
    <mergeCell ref="R43:R44"/>
    <mergeCell ref="S41:S42"/>
    <mergeCell ref="T41:T42"/>
    <mergeCell ref="S43:S44"/>
    <mergeCell ref="T43:T44"/>
    <mergeCell ref="V44:V45"/>
    <mergeCell ref="W44:W45"/>
    <mergeCell ref="X44:X45"/>
    <mergeCell ref="Y44:Y45"/>
    <mergeCell ref="B34:B39"/>
    <mergeCell ref="V34:V35"/>
    <mergeCell ref="W34:W35"/>
    <mergeCell ref="Q35:Q36"/>
    <mergeCell ref="R35:R36"/>
    <mergeCell ref="Q37:Q38"/>
    <mergeCell ref="S35:S36"/>
    <mergeCell ref="T35:T36"/>
    <mergeCell ref="S37:S38"/>
    <mergeCell ref="T37:T38"/>
    <mergeCell ref="R37:R38"/>
    <mergeCell ref="Q25:Q26"/>
    <mergeCell ref="R25:R26"/>
    <mergeCell ref="AF26:AF27"/>
    <mergeCell ref="AG26:AG27"/>
    <mergeCell ref="B28:B33"/>
    <mergeCell ref="AF28:AF29"/>
    <mergeCell ref="AG28:AG29"/>
    <mergeCell ref="Q29:Q30"/>
    <mergeCell ref="R29:R30"/>
    <mergeCell ref="B22:B27"/>
    <mergeCell ref="V22:V23"/>
    <mergeCell ref="W22:W23"/>
    <mergeCell ref="Q23:Q24"/>
    <mergeCell ref="R23:R24"/>
    <mergeCell ref="S23:S24"/>
    <mergeCell ref="T23:T24"/>
    <mergeCell ref="Q31:Q32"/>
    <mergeCell ref="R31:R32"/>
    <mergeCell ref="V32:V33"/>
    <mergeCell ref="W32:W33"/>
    <mergeCell ref="S31:S32"/>
    <mergeCell ref="T31:T32"/>
    <mergeCell ref="S29:S30"/>
    <mergeCell ref="T29:T30"/>
    <mergeCell ref="B16:B21"/>
    <mergeCell ref="AA16:AA17"/>
    <mergeCell ref="AB16:AB17"/>
    <mergeCell ref="Q17:Q18"/>
    <mergeCell ref="R17:R18"/>
    <mergeCell ref="S17:S18"/>
    <mergeCell ref="T17:T18"/>
    <mergeCell ref="S19:S20"/>
    <mergeCell ref="T19:T20"/>
    <mergeCell ref="Q19:Q20"/>
    <mergeCell ref="R19:R20"/>
    <mergeCell ref="V20:V21"/>
    <mergeCell ref="W20:W21"/>
    <mergeCell ref="Y8:Y9"/>
    <mergeCell ref="D9:G9"/>
    <mergeCell ref="J9:O9"/>
    <mergeCell ref="B10:B15"/>
    <mergeCell ref="V10:V11"/>
    <mergeCell ref="W10:W11"/>
    <mergeCell ref="Q11:Q12"/>
    <mergeCell ref="R11:R12"/>
    <mergeCell ref="Q13:Q14"/>
    <mergeCell ref="R13:R14"/>
    <mergeCell ref="S11:S12"/>
    <mergeCell ref="T11:T12"/>
    <mergeCell ref="S13:S14"/>
    <mergeCell ref="T13:T14"/>
    <mergeCell ref="AL17:AQ17"/>
    <mergeCell ref="Y10:Y11"/>
    <mergeCell ref="X20:X21"/>
    <mergeCell ref="Y20:Y21"/>
    <mergeCell ref="X22:X23"/>
    <mergeCell ref="Y22:Y23"/>
    <mergeCell ref="S25:S26"/>
    <mergeCell ref="T25:T26"/>
    <mergeCell ref="Q4:R4"/>
    <mergeCell ref="V4:W4"/>
    <mergeCell ref="AA4:AB4"/>
    <mergeCell ref="AL4:AQ4"/>
    <mergeCell ref="Q5:Q6"/>
    <mergeCell ref="R5:R6"/>
    <mergeCell ref="Q7:Q8"/>
    <mergeCell ref="R7:R8"/>
    <mergeCell ref="V8:V9"/>
    <mergeCell ref="W8:W9"/>
    <mergeCell ref="AF4:AG4"/>
    <mergeCell ref="S5:S6"/>
    <mergeCell ref="S7:S8"/>
    <mergeCell ref="T5:T6"/>
    <mergeCell ref="T7:T8"/>
    <mergeCell ref="X8:X9"/>
    <mergeCell ref="C3:O7"/>
    <mergeCell ref="AC40:AC41"/>
    <mergeCell ref="AD40:AD41"/>
    <mergeCell ref="AA2:AD3"/>
    <mergeCell ref="AF2:AI3"/>
    <mergeCell ref="AH26:AH27"/>
    <mergeCell ref="AI26:AI27"/>
    <mergeCell ref="AH28:AH29"/>
    <mergeCell ref="AI28:AI29"/>
    <mergeCell ref="AC14:AC15"/>
    <mergeCell ref="AD14:AD15"/>
    <mergeCell ref="AC16:AC17"/>
    <mergeCell ref="AD16:AD17"/>
    <mergeCell ref="AC38:AC39"/>
    <mergeCell ref="AD38:AD39"/>
    <mergeCell ref="X32:X33"/>
    <mergeCell ref="Y32:Y33"/>
    <mergeCell ref="X34:X35"/>
    <mergeCell ref="Y34:Y35"/>
    <mergeCell ref="X10:X11"/>
    <mergeCell ref="AA14:AA15"/>
    <mergeCell ref="AB14:AB15"/>
    <mergeCell ref="Q2:T3"/>
    <mergeCell ref="V2:Y3"/>
  </mergeCells>
  <conditionalFormatting sqref="J13:O13">
    <cfRule type="expression" dxfId="11" priority="6">
      <formula>OR($D$10=$AW$65,$D$10=$AX$65,$D$10=$AY$65,$D$10=$AZ$65,$D$11=$AW$65,$D$11=$AX$65,$D$11=$AY$65,$D$11=$AZ$65,$G$10=$AW$65,$G$10=$AX$65,$G$10=$AY$65,$G$10=$AZ$65,$G$11=$AW$65,$G$11=$AX$65,$G$11=$AY$65,$G$11=$AZ$65)</formula>
    </cfRule>
  </conditionalFormatting>
  <conditionalFormatting sqref="J19:O19">
    <cfRule type="expression" dxfId="10" priority="5">
      <formula>OR($D$16=$AW$65,$D$16=$AX$65,$D$16=$AY$65,$D$16=$AZ$65,$D$17=$AW$65,$D$17=$AX$65,$D$17=$AY$65,$D$17=$AZ$65,$G$16=$AW$65,$G$16=$AX$65,$G$16=$AY$65,$G$16=$AZ$65,$G$17=$AW$65,$G$17=$AX$65,$G$17=$AY$65,$G$17=$AZ$65)</formula>
    </cfRule>
  </conditionalFormatting>
  <conditionalFormatting sqref="J25:O25">
    <cfRule type="expression" dxfId="9" priority="4">
      <formula>OR($D$22=$AW$65,$D$22=$AX$65,$D$22=$AY$65,$D$22=$AZ$65,$D$23=$AW$65,$D$23=$AX$65,$D$23=$AY$65,$D$23=$AZ$65,$G$22=$AW$65,$G$22=$AX$65,$G$22=$AY$65,$G$22=$AZ$65,$G$23=$AW$65,$G$23=$AX$65,$G$23=$AY$65,$G$23=$AZ$65)</formula>
    </cfRule>
  </conditionalFormatting>
  <conditionalFormatting sqref="J31:O31">
    <cfRule type="expression" dxfId="8" priority="3">
      <formula>OR($D$28=$AW$65,$D$28=$AX$65,$D$28=$AY$65,$D$28=$AZ$65,$D$29=$AW$65,$D$29=$AX$65,$D$29=$AY$65,$D$29=$AZ$65,$G$28=$AW$65,$G$28=$AX$65,$G$28=$AY$65,$G$28=$AZ$65,$G$29=$AW$65,$G$29=$AX$65,$G$29=$AY$65,$G$29=$AZ$65)</formula>
    </cfRule>
  </conditionalFormatting>
  <conditionalFormatting sqref="J37:O37">
    <cfRule type="expression" dxfId="7" priority="2">
      <formula>OR($D$34=$AW$65,$D$34=$AX$65,$D$34=$AY$65,$D$34=$AZ$65,$D$35=$AW$65,$D$35=$AX$65,$D$35=$AY$65,$D$35=$AZ$65,$G$34=$AW$65,$G$34=$AX$65,$G$34=$AY$65,$G$34=$AZ$65,$G$35=$AW$65,$G$35=$AX$65,$G$35=$AY$65,$G$35=$AZ$65)</formula>
    </cfRule>
  </conditionalFormatting>
  <conditionalFormatting sqref="J43:O43">
    <cfRule type="expression" dxfId="6" priority="1">
      <formula>OR($D$40=$AW$65,$D$40=$AX$65,$D$40=$AY$65,$D$40=$AZ$65,$D$41=$AW$65,$D$41=$AX$65,$D$41=$AY$65,$D$41=$AZ$65,$G$40=$AW$65,$G$40=$AX$65,$G$40=$AY$65,$G$40=$AZ$65,$G$41=$AW$65,$G$41=$AX$65,$G$41=$AY$65,$G$41=$AZ$65)</formula>
    </cfRule>
  </conditionalFormatting>
  <conditionalFormatting sqref="Q47:Q50 Q41:Q44 V44:V47 Q35:Q38 V32:V35 AA38:AA41 AF26:AF29 Q29:Q32 Q23:Q26 V20:V23 Q17:Q20 AA14:AA17 Q11:Q14 V8:V11 Q5:Q8 AF47">
    <cfRule type="expression" dxfId="5" priority="20">
      <formula>OR(Q5=$D$40,Q5=$D$41,Q5=$G$40,Q5=$G$41)</formula>
    </cfRule>
    <cfRule type="expression" dxfId="4" priority="21">
      <formula>OR(Q5=$D$28,Q5=$D$29,Q5=$G$28,Q5=$G$29)</formula>
    </cfRule>
    <cfRule type="expression" dxfId="3" priority="22">
      <formula>OR(Q5=$D$10,Q5=$D$11,Q5=$G$10,Q5=$G$11)</formula>
    </cfRule>
    <cfRule type="expression" dxfId="2" priority="23">
      <formula>OR(Q5=$D$34,Q5=$D$35,Q5=$G$34,Q5=$G$35)</formula>
    </cfRule>
    <cfRule type="expression" dxfId="1" priority="24">
      <formula>OR(Q5=$D$16,Q5=$D$17,Q5=$G$16,Q5=$G$17)</formula>
    </cfRule>
    <cfRule type="expression" dxfId="0" priority="25">
      <formula>OR(Q5=$D$22,Q5=$D$23,Q5=$G$22,Q5=$G$23)</formula>
    </cfRule>
  </conditionalFormatting>
  <printOptions horizontalCentered="1" verticalCentered="1"/>
  <pageMargins left="0.25" right="0.25" top="0.75" bottom="0.75" header="0.3" footer="0.3"/>
  <pageSetup paperSize="9" scale="57" fitToHeight="0" orientation="landscape" r:id="rId1"/>
  <ignoredErrors>
    <ignoredError sqref="L12:O13 Q31 Q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 2016 vierge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Donzeze</cp:lastModifiedBy>
  <cp:lastPrinted>2016-05-12T13:27:10Z</cp:lastPrinted>
  <dcterms:created xsi:type="dcterms:W3CDTF">2014-11-30T16:59:13Z</dcterms:created>
  <dcterms:modified xsi:type="dcterms:W3CDTF">2016-05-12T18:45:08Z</dcterms:modified>
</cp:coreProperties>
</file>