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95" tabRatio="856" activeTab="1"/>
  </bookViews>
  <sheets>
    <sheet name="Aide" sheetId="1" r:id="rId1"/>
    <sheet name="Geometrie" sheetId="2" r:id="rId2"/>
    <sheet name="Servos" sheetId="3" r:id="rId3"/>
    <sheet name="Calculs" sheetId="4" state="hidden" r:id="rId4"/>
  </sheets>
  <definedNames>
    <definedName name="_xlnm.Print_Area" localSheetId="1">'Geometrie'!$B$1:$M$28</definedName>
    <definedName name="_xlnm.Print_Area" localSheetId="2">'Servos'!$B$1:$I$28</definedName>
  </definedNames>
  <calcPr fullCalcOnLoad="1"/>
</workbook>
</file>

<file path=xl/comments1.xml><?xml version="1.0" encoding="utf-8"?>
<comments xmlns="http://schemas.openxmlformats.org/spreadsheetml/2006/main">
  <authors>
    <author/>
  </authors>
  <commentList>
    <comment ref="E6" authorId="0">
      <text>
        <r>
          <rPr>
            <b/>
            <sz val="9"/>
            <color indexed="8"/>
            <rFont val="Tahoma"/>
            <family val="2"/>
          </rPr>
          <t>Commentaire...</t>
        </r>
      </text>
    </comment>
  </commentList>
</comments>
</file>

<file path=xl/comments2.xml><?xml version="1.0" encoding="utf-8"?>
<comments xmlns="http://schemas.openxmlformats.org/spreadsheetml/2006/main">
  <authors>
    <author/>
    <author>fad</author>
    <author>F-Aguerre</author>
  </authors>
  <commentList>
    <comment ref="C2" authorId="0">
      <text>
        <r>
          <rPr>
            <b/>
            <sz val="9"/>
            <color indexed="8"/>
            <rFont val="Tahoma"/>
            <family val="2"/>
          </rPr>
          <t>1 = planche et symétrique
2 = asymétrique fin
3 = asymétrique épais</t>
        </r>
      </text>
    </comment>
    <comment ref="B3" authorId="0">
      <text>
        <r>
          <rPr>
            <b/>
            <sz val="8"/>
            <color indexed="8"/>
            <rFont val="Tahoma"/>
            <family val="2"/>
          </rPr>
          <t>Inutile de mettre 0 aux valeurs
non utilsées, les supprimer simplement</t>
        </r>
      </text>
    </comment>
    <comment ref="I3" authorId="0">
      <text>
        <r>
          <rPr>
            <b/>
            <sz val="8"/>
            <color indexed="8"/>
            <rFont val="Tahoma"/>
            <family val="2"/>
          </rPr>
          <t>A reboucler avec la valeur de surface estimée dans l'onglet 2</t>
        </r>
      </text>
    </comment>
    <comment ref="I5" authorId="0">
      <text>
        <r>
          <rPr>
            <b/>
            <sz val="9"/>
            <color indexed="8"/>
            <rFont val="Tahoma"/>
            <family val="2"/>
          </rPr>
          <t>Envergure des ailes hors fuselage
Envergure équivalente dans le cas d'un biplan</t>
        </r>
      </text>
    </comment>
    <comment ref="I6" authorId="0">
      <text>
        <r>
          <rPr>
            <b/>
            <sz val="9"/>
            <color indexed="8"/>
            <rFont val="Tahoma"/>
            <family val="2"/>
          </rPr>
          <t>Envergure physique aile + fuselage</t>
        </r>
      </text>
    </comment>
    <comment ref="I7" authorId="0">
      <text>
        <r>
          <rPr>
            <b/>
            <sz val="8"/>
            <color indexed="8"/>
            <rFont val="Tahoma"/>
            <family val="2"/>
          </rPr>
          <t>Allongement équivalent dans le cas d'un biplan.
A faire correspondre à l'allongement elliptique dans le cas d'une recherche de perfo</t>
        </r>
      </text>
    </comment>
    <comment ref="I8" authorId="0">
      <text>
        <r>
          <rPr>
            <b/>
            <sz val="8"/>
            <color indexed="8"/>
            <rFont val="Tahoma"/>
            <family val="2"/>
          </rPr>
          <t>Positionné à 25% de la corde moyenne, et donné par rapport au bord d'attaque côté emplanture</t>
        </r>
      </text>
    </comment>
    <comment ref="C10" authorId="0">
      <text>
        <r>
          <rPr>
            <b/>
            <sz val="9"/>
            <color indexed="8"/>
            <rFont val="Tahoma"/>
            <family val="2"/>
          </rPr>
          <t>1 = planche et symétrique
2 = asymétrique fin
3 = asymétrique épais</t>
        </r>
      </text>
    </comment>
    <comment ref="B11" authorId="0">
      <text>
        <r>
          <rPr>
            <b/>
            <sz val="8"/>
            <color indexed="8"/>
            <rFont val="Tahoma"/>
            <family val="2"/>
          </rPr>
          <t>Inutile de mettre 0 aux valeurs non utilisées, les supprimer simplement
Ne rien mettre dans ces cellules pour une aile volante, et décocher la prise en compte du stab au niveau du calcul des perfos</t>
        </r>
      </text>
    </comment>
    <comment ref="I11" authorId="0">
      <text>
        <r>
          <rPr>
            <b/>
            <sz val="8"/>
            <color indexed="8"/>
            <rFont val="Tahoma"/>
            <family val="2"/>
          </rPr>
          <t>Surface totale indépendamment de l'ouverture, hors dérive</t>
        </r>
      </text>
    </comment>
    <comment ref="I15" authorId="0">
      <text>
        <r>
          <rPr>
            <b/>
            <sz val="8"/>
            <color indexed="8"/>
            <rFont val="Tahoma"/>
            <family val="2"/>
          </rPr>
          <t>Positionné à 25% de la corde moyenne, et donné par rapport au bord d'attaque côté emplanture</t>
        </r>
      </text>
    </comment>
    <comment ref="B16" authorId="0">
      <text>
        <r>
          <rPr>
            <b/>
            <sz val="8"/>
            <color indexed="8"/>
            <rFont val="Tahoma"/>
            <family val="2"/>
          </rPr>
          <t>De bord d'attaque aile à bord d'attaque stab, à l'emplanture.
A ne pas confondre avec le bras de levier utilisé pour le calcul du volume de stab = distance du foyer aile au foyer stab
Si valeur négative : formule canard</t>
        </r>
      </text>
    </comment>
    <comment ref="D16" authorId="0">
      <text>
        <r>
          <rPr>
            <b/>
            <sz val="8"/>
            <color indexed="8"/>
            <rFont val="Tahoma"/>
            <family val="2"/>
          </rPr>
          <t>Hauteur de d'emplanture du stab par rapport à l'aile, utilisée pour le calcul de sillage.
Non prise en compte si stab en Vé.</t>
        </r>
      </text>
    </comment>
    <comment ref="I16" authorId="0">
      <text>
        <r>
          <rPr>
            <b/>
            <sz val="8"/>
            <color indexed="8"/>
            <rFont val="Tahoma"/>
            <family val="2"/>
          </rPr>
          <t>Bras de levier de Foyer aile à Foyer stab</t>
        </r>
      </text>
    </comment>
    <comment ref="B17" authorId="0">
      <text>
        <r>
          <rPr>
            <b/>
            <sz val="8"/>
            <color indexed="8"/>
            <rFont val="Tahoma"/>
            <family val="2"/>
          </rPr>
          <t>Si stab "plat", angle = 180°
Si stab en Vé, angle = 100 à 120°
Dans le cas d'un stab en Vé, les projections des surfaces du stab sont prises en compte pour le volume de stab et la marge statique</t>
        </r>
      </text>
    </comment>
    <comment ref="D17" authorId="0">
      <text>
        <r>
          <rPr>
            <b/>
            <sz val="8"/>
            <color indexed="8"/>
            <rFont val="Tahoma"/>
            <family val="2"/>
          </rPr>
          <t>Distance de la nervure d'emplanture / axe fuselage
=&gt; uniquement à des fins graphiques</t>
        </r>
      </text>
    </comment>
    <comment ref="I17" authorId="0">
      <text>
        <r>
          <rPr>
            <b/>
            <sz val="8"/>
            <color indexed="8"/>
            <rFont val="Tahoma"/>
            <family val="2"/>
          </rPr>
          <t>Valeurs courantes :
de 0.3 : modèle de vitesse ou de perfo
à 1 : modèle de début ou de voltige/accro
Doit être d'autant plus important que le modèle est amené à voler aux grands angles.</t>
        </r>
      </text>
    </comment>
    <comment ref="C19" authorId="0">
      <text>
        <r>
          <rPr>
            <b/>
            <sz val="9"/>
            <color indexed="8"/>
            <rFont val="Tahoma"/>
            <family val="2"/>
          </rPr>
          <t>1 = fine
2 = normale
3 = épaisse
4 = jet (entrées d'air latérales)</t>
        </r>
      </text>
    </comment>
    <comment ref="B20" authorId="0">
      <text>
        <r>
          <rPr>
            <b/>
            <sz val="8"/>
            <color indexed="8"/>
            <rFont val="Tahoma"/>
            <family val="2"/>
          </rPr>
          <t>Longueur totale du fuselage
Si pas de fuselage, ne pas mettre de valeur et décocher la prise en compte du fuselage au niveau du calcul des perfos</t>
        </r>
      </text>
    </comment>
    <comment ref="D20" authorId="0">
      <text>
        <r>
          <rPr>
            <b/>
            <sz val="8"/>
            <color indexed="8"/>
            <rFont val="Tahoma"/>
            <family val="2"/>
          </rPr>
          <t>Maître couple au niveau du bord d'attaque de l'aile (cas général) ou avant des entrées d'air (jets)</t>
        </r>
      </text>
    </comment>
    <comment ref="I20" authorId="0">
      <text>
        <r>
          <rPr>
            <b/>
            <sz val="8"/>
            <color indexed="8"/>
            <rFont val="Tahoma"/>
            <family val="2"/>
          </rPr>
          <t>Pour la prise en compte de l'influence du fuselage sur le foyer du modèle complet</t>
        </r>
      </text>
    </comment>
    <comment ref="B21" authorId="0">
      <text>
        <r>
          <rPr>
            <b/>
            <sz val="8"/>
            <color indexed="8"/>
            <rFont val="Tahoma"/>
            <family val="2"/>
          </rPr>
          <t>Du bord d'attaque aile à la pointe du nez</t>
        </r>
      </text>
    </comment>
    <comment ref="D21" authorId="0">
      <text>
        <r>
          <rPr>
            <b/>
            <sz val="8"/>
            <color indexed="8"/>
            <rFont val="Tahoma"/>
            <family val="2"/>
          </rPr>
          <t>Plus grande hauteur</t>
        </r>
      </text>
    </comment>
    <comment ref="I21" authorId="0">
      <text>
        <r>
          <rPr>
            <b/>
            <sz val="8"/>
            <color indexed="8"/>
            <rFont val="Tahoma"/>
            <family val="2"/>
          </rPr>
          <t>Sert au calcul du foyer global du modèle, donc de la limite de centrage arrière.
Donné en % de la longueur du fuselage</t>
        </r>
      </text>
    </comment>
    <comment ref="B24" authorId="0">
      <text>
        <r>
          <rPr>
            <b/>
            <sz val="8"/>
            <color indexed="8"/>
            <rFont val="Tahoma"/>
            <family val="2"/>
          </rPr>
          <t>de 0% (modèle parfaitement neutre)
à 10% (modèle très stable)
Valable autant pour un modèle classique qu'une aile volante
Valeur usuelle : 3 à 5%</t>
        </r>
      </text>
    </comment>
    <comment ref="D24" authorId="0">
      <text>
        <r>
          <rPr>
            <b/>
            <sz val="8"/>
            <color indexed="8"/>
            <rFont val="Tahoma"/>
            <family val="2"/>
          </rPr>
          <t>Centrage pour la marge statique désirée</t>
        </r>
      </text>
    </comment>
    <comment ref="E24" authorId="0">
      <text>
        <r>
          <rPr>
            <b/>
            <sz val="8"/>
            <color indexed="8"/>
            <rFont val="Tahoma"/>
            <family val="2"/>
          </rPr>
          <t>Foyer (= centrage neutre) du modèle complet, tenant compte de l'influence du fuselage.</t>
        </r>
      </text>
    </comment>
    <comment ref="I24" authorId="0">
      <text>
        <r>
          <rPr>
            <b/>
            <sz val="9"/>
            <color indexed="8"/>
            <rFont val="Tahoma"/>
            <family val="2"/>
          </rPr>
          <t>Si marge statique &gt; 0, Cz vers lequel le modèle converge manche de profondeur lâché</t>
        </r>
      </text>
    </comment>
    <comment ref="N24" authorId="0">
      <text>
        <r>
          <rPr>
            <b/>
            <sz val="8"/>
            <color indexed="8"/>
            <rFont val="Tahoma"/>
            <family val="2"/>
          </rPr>
          <t>Calage de construction entre aile et fuselage
Prévilégier l'utilisation de l'incidence d'aile pour aligner le fuselage à la trajectoire pour le Cz de réglage =&gt; minimise la traînée fuselage pour ce Cz</t>
        </r>
      </text>
    </comment>
    <comment ref="I25" authorId="0">
      <text>
        <r>
          <rPr>
            <b/>
            <sz val="8"/>
            <color indexed="8"/>
            <rFont val="Tahoma"/>
            <family val="2"/>
          </rPr>
          <t>Vitesse de vol au Cz de réglage</t>
        </r>
      </text>
    </comment>
    <comment ref="N25" authorId="0">
      <text>
        <r>
          <rPr>
            <b/>
            <sz val="8"/>
            <color indexed="8"/>
            <rFont val="Tahoma"/>
            <family val="2"/>
          </rPr>
          <t>Incidence du stab par rapport à la ligne neutre du fuselage, pour le Cz de réglage
Tenant compte de la marge statique, du sillage de l'aile (sauf sans le cas d'une formule canard) et de l'effet du fuselage (via le calage aile / fuselage)</t>
        </r>
      </text>
    </comment>
    <comment ref="R25" authorId="0">
      <text>
        <r>
          <rPr>
            <b/>
            <sz val="8"/>
            <color indexed="8"/>
            <rFont val="Tahoma"/>
            <family val="2"/>
          </rPr>
          <t xml:space="preserve">Quelques valeurs usuelles :
Avion envergure 1m :
- léger : 10-30g/dm²
- transition : 30-40g/dm²
- rapide/voltige : 40-60g/dm²
Avion envergure 2m :
- léger : 40-60g/dm²
- transition : 60-80g/dm²
- rapide/voltige : 80-120g/dm²
Planeur envergure 1m :
- léger : 10-20g/dm²
- transition : 20-30g/dm²
- rapide/voltige : 30-40g/dm²
Planeur envergure 2m :
- léger : 20-30g/dm²
- transition : 30-45g/dm²
- rapide/voltige : 45-60g/dm²
</t>
        </r>
      </text>
    </comment>
    <comment ref="I26" authorId="0">
      <text>
        <r>
          <rPr>
            <b/>
            <sz val="8"/>
            <color indexed="8"/>
            <rFont val="Tahoma"/>
            <family val="2"/>
          </rPr>
          <t>Incidence de l'aile [avec l'air] au Cz de réglage</t>
        </r>
      </text>
    </comment>
    <comment ref="N26" authorId="0">
      <text>
        <r>
          <rPr>
            <b/>
            <sz val="8"/>
            <color indexed="8"/>
            <rFont val="Tahoma"/>
            <family val="2"/>
          </rPr>
          <t>Angle entre l'aile et le stab</t>
        </r>
      </text>
    </comment>
    <comment ref="R26" authorId="0">
      <text>
        <r>
          <rPr>
            <b/>
            <sz val="9"/>
            <color indexed="8"/>
            <rFont val="Tahoma"/>
            <family val="2"/>
          </rPr>
          <t>Estimation simplifiée de la vitesse de décrochage</t>
        </r>
      </text>
    </comment>
    <comment ref="B7" authorId="1">
      <text>
        <r>
          <rPr>
            <b/>
            <sz val="8"/>
            <rFont val="Tahoma"/>
            <family val="2"/>
          </rPr>
          <t>Distance axiale par rapport au bord d'attaque de l'emplanture.
La flèche peut être négative (vers l'avant)</t>
        </r>
      </text>
    </comment>
    <comment ref="B8" authorId="2">
      <text>
        <r>
          <rPr>
            <b/>
            <sz val="8"/>
            <rFont val="Tahoma"/>
            <family val="2"/>
          </rPr>
          <t>Angle par rapport à la corde d'emplanture
Négatif = bord de fuite relevé par rapport au bord d'attaque</t>
        </r>
      </text>
    </comment>
  </commentList>
</comments>
</file>

<file path=xl/comments3.xml><?xml version="1.0" encoding="utf-8"?>
<comments xmlns="http://schemas.openxmlformats.org/spreadsheetml/2006/main">
  <authors>
    <author/>
  </authors>
  <commentList>
    <comment ref="B4" authorId="0">
      <text>
        <r>
          <rPr>
            <b/>
            <sz val="8"/>
            <color indexed="8"/>
            <rFont val="Tahoma"/>
            <family val="2"/>
          </rPr>
          <t>La vitesse standard n'est pas la vitesse maxi du modèle, mais une vitesse atteinte facilement en fonctionnement normal.
Quelques valeurs usuelles  :
Avion envergure 1m :
- léger : 50km/h
- transition : 70km/h
- rapide/voltige : 90km/h
Avion envergure 2m :
- léger : 80km/h
- transition : 120km/h
- rapide/voltige : 160km/h
Planeur envergure 1m :
- léger : 40km/h
- transition : 60km/h
- rapide/voltige : 80km/h
Planeur envergure 2m :
- léger : 60km/h
- transition : 90km/h
- rapide/voltige : 120km/h
Compétition :
- 60" : 120km/h
- F3F/F3B : 180km/h
- Racer FAI : 300km/h</t>
        </r>
      </text>
    </comment>
    <comment ref="K4" authorId="0">
      <text>
        <r>
          <rPr>
            <b/>
            <sz val="8"/>
            <color indexed="8"/>
            <rFont val="Tahoma"/>
            <family val="2"/>
          </rPr>
          <t>La vitesse standard n'est pas la vitesse maxi du modèle, mais une vitesse atteinte facilement en fonctionnement normal.
Quelques valeurs usuelles  :
Avion envergure 1m :
- léger : 50km/h
- transition : 70km/h
- rapide/voltige : 90km/h
Avion envergure 2m :
- léger : 80km/h
- transition : 120km/h
- rapide/voltige : 160km/h
Planeur envergure 1m :
- léger : 40km/h
- transition : 60km/h
- rapide/voltige : 80km/h
Planeur envergure 2m :
- léger : 60km/h
- transition : 90km/h
- rapide/voltige : 120km/h
Compétition :
- 60" : 120km/h
- F3F/F3B : 180km/h
- Racer FAI : 300km/h</t>
        </r>
      </text>
    </comment>
    <comment ref="B6" authorId="0">
      <text>
        <r>
          <rPr>
            <b/>
            <sz val="8"/>
            <color indexed="8"/>
            <rFont val="Tahoma"/>
            <family val="2"/>
          </rPr>
          <t>Plus grande corde de la gouverne</t>
        </r>
      </text>
    </comment>
    <comment ref="K6" authorId="0">
      <text>
        <r>
          <rPr>
            <b/>
            <sz val="8"/>
            <color indexed="8"/>
            <rFont val="Tahoma"/>
            <family val="2"/>
          </rPr>
          <t>Foyer du stab, à 25% de sa corde moyenne et donné par rapport au BA à l'emplanture</t>
        </r>
      </text>
    </comment>
    <comment ref="B7" authorId="0">
      <text>
        <r>
          <rPr>
            <b/>
            <sz val="8"/>
            <color indexed="8"/>
            <rFont val="Tahoma"/>
            <family val="2"/>
          </rPr>
          <t>Plus petite corde de la gouverne</t>
        </r>
      </text>
    </comment>
    <comment ref="K7" authorId="0">
      <text>
        <r>
          <rPr>
            <b/>
            <sz val="8"/>
            <color indexed="8"/>
            <rFont val="Tahoma"/>
            <family val="2"/>
          </rPr>
          <t>% de corde devant le foyer (usuellement 5%)</t>
        </r>
      </text>
    </comment>
    <comment ref="K8" authorId="0">
      <text>
        <r>
          <rPr>
            <b/>
            <sz val="8"/>
            <color indexed="8"/>
            <rFont val="Tahoma"/>
            <family val="2"/>
          </rPr>
          <t>Donné par rapport au BA stab</t>
        </r>
      </text>
    </comment>
    <comment ref="B9" authorId="0">
      <text>
        <r>
          <rPr>
            <b/>
            <sz val="8"/>
            <color indexed="8"/>
            <rFont val="Tahoma"/>
            <family val="2"/>
          </rPr>
          <t>Angle au débattement maximum</t>
        </r>
      </text>
    </comment>
    <comment ref="K9" authorId="0">
      <text>
        <r>
          <rPr>
            <b/>
            <sz val="8"/>
            <color indexed="8"/>
            <rFont val="Tahoma"/>
            <family val="2"/>
          </rPr>
          <t>Angle au débattement maximum</t>
        </r>
      </text>
    </comment>
    <comment ref="B10" authorId="0">
      <text>
        <r>
          <rPr>
            <b/>
            <sz val="8"/>
            <color indexed="8"/>
            <rFont val="Tahoma"/>
            <family val="2"/>
          </rPr>
          <t>Donné au bord de fuite à l'emplanture</t>
        </r>
      </text>
    </comment>
    <comment ref="K10" authorId="0">
      <text>
        <r>
          <rPr>
            <b/>
            <sz val="8"/>
            <color indexed="8"/>
            <rFont val="Tahoma"/>
            <family val="2"/>
          </rPr>
          <t>Donné au bord de fuite à l'emplanture</t>
        </r>
      </text>
    </comment>
    <comment ref="B11" authorId="0">
      <text>
        <r>
          <rPr>
            <b/>
            <sz val="8"/>
            <color indexed="8"/>
            <rFont val="Tahoma"/>
            <family val="2"/>
          </rPr>
          <t>Angle servo correspondant à l'angle max gouverne.
S'ajuste en modifiant les bras de levier guignol et palonnier.
Toujours veiller à ce qu'il soit au moins égal à 45° pour un fonctionnement correct de la commande.</t>
        </r>
      </text>
    </comment>
    <comment ref="K11" authorId="0">
      <text>
        <r>
          <rPr>
            <b/>
            <sz val="8"/>
            <color indexed="8"/>
            <rFont val="Tahoma"/>
            <family val="2"/>
          </rPr>
          <t>Angle servo correspondant à l'angle max gouverne.
S'ajuste en modifiant les bras de levier guignol et palonnier.
Toujours veiller à ce qu'il soit au moins égal à 45° pour un fonctionnement correct de la commande.</t>
        </r>
      </text>
    </comment>
    <comment ref="B12" authorId="0">
      <text>
        <r>
          <rPr>
            <b/>
            <sz val="9"/>
            <color indexed="8"/>
            <rFont val="Tahoma"/>
            <family val="2"/>
          </rPr>
          <t>Ratio de réduction entre le rayon de guignol et le rayon de palonnier</t>
        </r>
      </text>
    </comment>
    <comment ref="D12" authorId="0">
      <text>
        <r>
          <rPr>
            <b/>
            <sz val="9"/>
            <color indexed="8"/>
            <rFont val="Tahoma"/>
            <family val="2"/>
          </rPr>
          <t>Ratio de réduction entre le rayon de guignol et le rayon de palonnier</t>
        </r>
      </text>
    </comment>
    <comment ref="F12" authorId="0">
      <text>
        <r>
          <rPr>
            <b/>
            <sz val="9"/>
            <color indexed="8"/>
            <rFont val="Tahoma"/>
            <family val="2"/>
          </rPr>
          <t>Ratio de réduction entre le rayon de guignol et le rayon de palonnier</t>
        </r>
      </text>
    </comment>
    <comment ref="H12" authorId="0">
      <text>
        <r>
          <rPr>
            <b/>
            <sz val="9"/>
            <color indexed="8"/>
            <rFont val="Tahoma"/>
            <family val="2"/>
          </rPr>
          <t>Ratio de réduction entre le rayon de guignol et le rayon de palonnier</t>
        </r>
      </text>
    </comment>
    <comment ref="K12" authorId="0">
      <text>
        <r>
          <rPr>
            <b/>
            <sz val="9"/>
            <color indexed="8"/>
            <rFont val="Tahoma"/>
            <family val="2"/>
          </rPr>
          <t>Ratio de réduction entre le rayon de guignol et le rayon de palonnier</t>
        </r>
      </text>
    </comment>
    <comment ref="B17" authorId="0">
      <text>
        <r>
          <rPr>
            <b/>
            <sz val="8"/>
            <color indexed="8"/>
            <rFont val="Tahoma"/>
            <family val="2"/>
          </rPr>
          <t>La vitesse standard n'est pas la vitesse maxi du modèle, mais une vitesse atteinte facilement en fonctionnement normal.
Quelques valeurs usuelles  :
Avion envergure 1m :
- léger : 50km/h
- transition : 70km/h
- rapide/voltige : 90km/h
Avion envergure 2m :
- léger : 80km/h
- transition : 120km/h
- rapide/voltige : 160km/h
Planeur envergure 1m :
- léger : 40km/h
- transition : 60km/h
- rapide/voltige : 80km/h
Planeur envergure 2m :
- léger : 60km/h
- transition : 90km/h
- rapide/voltige : 120km/h
Compétition :
- 60" : 120km/h
- F3F/F3B : 180km/h
- Racer FAI : 300km/h</t>
        </r>
      </text>
    </comment>
    <comment ref="B18" authorId="0">
      <text>
        <r>
          <rPr>
            <b/>
            <sz val="8"/>
            <color indexed="8"/>
            <rFont val="Tahoma"/>
            <family val="2"/>
          </rPr>
          <t>Mesuré sur le servo.
A choisir de préférence entre 8 et 10mm, voire un peu moins/plus si R2 est incompatible avec les dimensions de l'aile.
A1 est fixé à +/-57° par défaut.</t>
        </r>
      </text>
    </comment>
    <comment ref="B20" authorId="0">
      <text>
        <r>
          <rPr>
            <b/>
            <sz val="8"/>
            <color indexed="8"/>
            <rFont val="Tahoma"/>
            <family val="2"/>
          </rPr>
          <t>A respecter scrupuleusement...</t>
        </r>
      </text>
    </comment>
    <comment ref="B21" authorId="0">
      <text>
        <r>
          <rPr>
            <b/>
            <sz val="8"/>
            <color indexed="8"/>
            <rFont val="Tahoma"/>
            <family val="2"/>
          </rPr>
          <t>Débattement optimal</t>
        </r>
      </text>
    </comment>
    <comment ref="B22" authorId="0">
      <text>
        <r>
          <rPr>
            <b/>
            <sz val="8"/>
            <color indexed="8"/>
            <rFont val="Tahoma"/>
            <family val="2"/>
          </rPr>
          <t>Donné au bord de fuite à l'emplanture</t>
        </r>
      </text>
    </comment>
    <comment ref="B23" authorId="0">
      <text>
        <r>
          <rPr>
            <b/>
            <sz val="8"/>
            <color indexed="8"/>
            <rFont val="Tahoma"/>
            <family val="2"/>
          </rPr>
          <t>Débattement optimal, hors différentiel</t>
        </r>
      </text>
    </comment>
    <comment ref="B24" authorId="0">
      <text>
        <r>
          <rPr>
            <b/>
            <sz val="8"/>
            <color indexed="8"/>
            <rFont val="Tahoma"/>
            <family val="2"/>
          </rPr>
          <t>Donné au bord de fuite à l'emplanture</t>
        </r>
      </text>
    </comment>
    <comment ref="B25" authorId="0">
      <text>
        <r>
          <rPr>
            <b/>
            <sz val="8"/>
            <color indexed="8"/>
            <rFont val="Tahoma"/>
            <family val="2"/>
          </rPr>
          <t>Pour information</t>
        </r>
      </text>
    </comment>
    <comment ref="B26" authorId="0">
      <text>
        <r>
          <rPr>
            <b/>
            <sz val="8"/>
            <color indexed="8"/>
            <rFont val="Tahoma"/>
            <family val="2"/>
          </rPr>
          <t>A respecter pour garantir les débattments et le couple aux servos</t>
        </r>
      </text>
    </comment>
    <comment ref="B27" authorId="0">
      <text>
        <r>
          <rPr>
            <b/>
            <sz val="8"/>
            <color indexed="8"/>
            <rFont val="Tahoma"/>
            <family val="2"/>
          </rPr>
          <t>Se rapprocher au mieux de cette valeur</t>
        </r>
      </text>
    </comment>
    <comment ref="B28" authorId="0">
      <text>
        <r>
          <rPr>
            <b/>
            <sz val="8"/>
            <color indexed="8"/>
            <rFont val="Tahoma"/>
            <family val="2"/>
          </rPr>
          <t>Voir le logiciel Servormance pour connaître les vrais couples des servos</t>
        </r>
      </text>
    </comment>
  </commentList>
</comments>
</file>

<file path=xl/comments4.xml><?xml version="1.0" encoding="utf-8"?>
<comments xmlns="http://schemas.openxmlformats.org/spreadsheetml/2006/main">
  <authors>
    <author/>
  </authors>
  <commentList>
    <comment ref="G10" authorId="0">
      <text>
        <r>
          <rPr>
            <b/>
            <sz val="8"/>
            <color indexed="8"/>
            <rFont val="Tahoma"/>
            <family val="2"/>
          </rPr>
          <t>Au bord d'attaque</t>
        </r>
      </text>
    </comment>
    <comment ref="G16" authorId="0">
      <text>
        <r>
          <rPr>
            <b/>
            <sz val="8"/>
            <color indexed="8"/>
            <rFont val="Tahoma"/>
            <family val="2"/>
          </rPr>
          <t>Au bord d'attaque</t>
        </r>
      </text>
    </comment>
    <comment ref="P18" authorId="0">
      <text>
        <r>
          <rPr>
            <b/>
            <sz val="9"/>
            <color indexed="8"/>
            <rFont val="Tahoma"/>
            <family val="2"/>
          </rPr>
          <t>Intègre décalage incidence du vrillage</t>
        </r>
      </text>
    </comment>
    <comment ref="P20" authorId="0">
      <text>
        <r>
          <rPr>
            <b/>
            <sz val="9"/>
            <color indexed="8"/>
            <rFont val="Tahoma"/>
            <family val="2"/>
          </rPr>
          <t>Calage aile / fuselage imposé</t>
        </r>
      </text>
    </comment>
    <comment ref="P21" authorId="0">
      <text>
        <r>
          <rPr>
            <b/>
            <sz val="9"/>
            <color indexed="8"/>
            <rFont val="Tahoma"/>
            <family val="2"/>
          </rPr>
          <t>Cza à incidence = calage</t>
        </r>
      </text>
    </comment>
    <comment ref="P22" authorId="0">
      <text>
        <r>
          <rPr>
            <b/>
            <sz val="9"/>
            <color indexed="8"/>
            <rFont val="Tahoma"/>
            <family val="2"/>
          </rPr>
          <t>Incidence à Cza_reg</t>
        </r>
      </text>
    </comment>
    <comment ref="K23" authorId="0">
      <text>
        <r>
          <rPr>
            <b/>
            <sz val="9"/>
            <color indexed="8"/>
            <rFont val="Tahoma"/>
            <family val="2"/>
          </rPr>
          <t>Canard</t>
        </r>
      </text>
    </comment>
    <comment ref="N27" authorId="0">
      <text>
        <r>
          <rPr>
            <b/>
            <sz val="9"/>
            <color indexed="8"/>
            <rFont val="Tahoma"/>
            <family val="2"/>
          </rPr>
          <t>Prandtl</t>
        </r>
      </text>
    </comment>
    <comment ref="H28" authorId="0">
      <text>
        <r>
          <rPr>
            <b/>
            <sz val="9"/>
            <color indexed="8"/>
            <rFont val="Tahoma"/>
            <family val="2"/>
          </rPr>
          <t>Déviation de sillage au niveau du  stab</t>
        </r>
      </text>
    </comment>
    <comment ref="N28" authorId="0">
      <text>
        <r>
          <rPr>
            <b/>
            <sz val="9"/>
            <color indexed="8"/>
            <rFont val="Tahoma"/>
            <family val="2"/>
          </rPr>
          <t>FA (Toussaint +)</t>
        </r>
      </text>
    </comment>
    <comment ref="K30" authorId="0">
      <text>
        <r>
          <rPr>
            <b/>
            <sz val="9"/>
            <color indexed="8"/>
            <rFont val="Tahoma"/>
            <family val="2"/>
          </rPr>
          <t>Etude foyer latéral si Vstab &gt;10</t>
        </r>
      </text>
    </comment>
    <comment ref="H34" authorId="0">
      <text>
        <r>
          <rPr>
            <b/>
            <sz val="8"/>
            <color indexed="8"/>
            <rFont val="Tahoma"/>
            <family val="2"/>
          </rPr>
          <t>distance relative au BA de la corde moyenne</t>
        </r>
      </text>
    </comment>
    <comment ref="N34" authorId="0">
      <text>
        <r>
          <rPr>
            <b/>
            <sz val="8"/>
            <color indexed="8"/>
            <rFont val="Tahoma"/>
            <family val="2"/>
          </rPr>
          <t>Vérification calage de stab
= formule 4 TP + déflexion sillage</t>
        </r>
      </text>
    </comment>
    <comment ref="L35" authorId="0">
      <text>
        <r>
          <rPr>
            <b/>
            <sz val="8"/>
            <color indexed="8"/>
            <rFont val="Tahoma"/>
            <family val="2"/>
          </rPr>
          <t>Calcul direct</t>
        </r>
      </text>
    </comment>
    <comment ref="L36" authorId="0">
      <text>
        <r>
          <rPr>
            <b/>
            <sz val="8"/>
            <color indexed="8"/>
            <rFont val="Tahoma"/>
            <family val="2"/>
          </rPr>
          <t>Def foyer TP/Vé p.6</t>
        </r>
      </text>
    </comment>
    <comment ref="N36" authorId="0">
      <text>
        <r>
          <rPr>
            <b/>
            <sz val="8"/>
            <color indexed="8"/>
            <rFont val="Tahoma"/>
            <family val="2"/>
          </rPr>
          <t>Calcul FA avec équibre des moments longitudinaux complètement détaillé</t>
        </r>
      </text>
    </comment>
    <comment ref="L37" authorId="0">
      <text>
        <r>
          <rPr>
            <b/>
            <sz val="9"/>
            <color indexed="8"/>
            <rFont val="Tahoma"/>
            <family val="2"/>
          </rPr>
          <t>Plus élégant...</t>
        </r>
      </text>
    </comment>
    <comment ref="AB44" authorId="0">
      <text>
        <r>
          <rPr>
            <b/>
            <sz val="8"/>
            <color indexed="8"/>
            <rFont val="Tahoma"/>
            <family val="2"/>
          </rPr>
          <t>Calcul simplifié</t>
        </r>
      </text>
    </comment>
  </commentList>
</comments>
</file>

<file path=xl/sharedStrings.xml><?xml version="1.0" encoding="utf-8"?>
<sst xmlns="http://schemas.openxmlformats.org/spreadsheetml/2006/main" count="346" uniqueCount="237">
  <si>
    <t>Texte en bleu = données d'entrée à saisir</t>
  </si>
  <si>
    <t>Texte en noir = résultats</t>
  </si>
  <si>
    <t>Triangle en haut à droite d'une cellule = aide contextuelle</t>
  </si>
  <si>
    <t>.</t>
  </si>
  <si>
    <t>Aile</t>
  </si>
  <si>
    <t>Vue de dessus</t>
  </si>
  <si>
    <t>(mm)</t>
  </si>
  <si>
    <t>Trapèze 1</t>
  </si>
  <si>
    <t>Trapèze 2</t>
  </si>
  <si>
    <t>Trapèze 3</t>
  </si>
  <si>
    <t>Surface totale (dm²)</t>
  </si>
  <si>
    <t>Corde moyenne (mm)</t>
  </si>
  <si>
    <t>Envergure aéro (mm)</t>
  </si>
  <si>
    <t>Longueur</t>
  </si>
  <si>
    <t>Envergure totale (mm)</t>
  </si>
  <si>
    <t>Allongement</t>
  </si>
  <si>
    <t>Vrillage (°)</t>
  </si>
  <si>
    <t>Foyer aile (mm)</t>
  </si>
  <si>
    <t>Stabilisateur</t>
  </si>
  <si>
    <t>Foyer stab (mm)</t>
  </si>
  <si>
    <t>Levier stab</t>
  </si>
  <si>
    <t>Hauteur stab</t>
  </si>
  <si>
    <t>Bras de levier (mm)</t>
  </si>
  <si>
    <t xml:space="preserve">    Ouverture (°)</t>
  </si>
  <si>
    <t>Ecart latéral</t>
  </si>
  <si>
    <t>Volume de stab</t>
  </si>
  <si>
    <t>Fuselage</t>
  </si>
  <si>
    <t>Longueur (mm)</t>
  </si>
  <si>
    <t xml:space="preserve">Largeur (mm)  </t>
  </si>
  <si>
    <t>Surface projetée (dm²)</t>
  </si>
  <si>
    <t>Levier nez (mm)</t>
  </si>
  <si>
    <t xml:space="preserve">Hauteur (mm)  </t>
  </si>
  <si>
    <t>Foyer fuselage</t>
  </si>
  <si>
    <t>Réglages</t>
  </si>
  <si>
    <t>Marge statique</t>
  </si>
  <si>
    <t>CG</t>
  </si>
  <si>
    <t>Foyer</t>
  </si>
  <si>
    <t>Cz réglage</t>
  </si>
  <si>
    <t>Calage aile (°)</t>
  </si>
  <si>
    <t>Masse (g)</t>
  </si>
  <si>
    <t>Position relative (% corde moy.)</t>
  </si>
  <si>
    <t>Vitesse  (km/h)</t>
  </si>
  <si>
    <t>Calage stab (°)</t>
  </si>
  <si>
    <t>Charge alaire (g/dm²)</t>
  </si>
  <si>
    <t>Position / BA emplanture (mm)</t>
  </si>
  <si>
    <t>Incidence aile (°)</t>
  </si>
  <si>
    <t>Vé longi. (°)</t>
  </si>
  <si>
    <t>Vitesse mini (km/h)</t>
  </si>
  <si>
    <t>Gouvernes classiques</t>
  </si>
  <si>
    <t>Stab pendulaire</t>
  </si>
  <si>
    <t>Vitesse standard (km/h)</t>
  </si>
  <si>
    <t>Profondeur</t>
  </si>
  <si>
    <t>Dérive</t>
  </si>
  <si>
    <t>Aileron</t>
  </si>
  <si>
    <t>Volet</t>
  </si>
  <si>
    <t>Corde C_maxi (mm)</t>
  </si>
  <si>
    <t>Foyer stab (rappel) (mm)</t>
  </si>
  <si>
    <t>Corde C_mini (mm)</t>
  </si>
  <si>
    <t>Marge de stabilité (%)</t>
  </si>
  <si>
    <t>Longueur L (mm)</t>
  </si>
  <si>
    <t>Position de la clé (mm)</t>
  </si>
  <si>
    <t>Angle gouverne A1(°)</t>
  </si>
  <si>
    <t>--&gt; mm</t>
  </si>
  <si>
    <t>Angle servo A2(°)</t>
  </si>
  <si>
    <t>R/R guignol / palonnier</t>
  </si>
  <si>
    <t>Couple max (kg.cm)</t>
  </si>
  <si>
    <t>Incidence intégrale</t>
  </si>
  <si>
    <t>Levier servo R1 (mm)</t>
  </si>
  <si>
    <t>CG (rappel)</t>
  </si>
  <si>
    <t>Position clé / BA</t>
  </si>
  <si>
    <t>Débattement profondeur</t>
  </si>
  <si>
    <t>+/- 6°</t>
  </si>
  <si>
    <t>Débattement aileron</t>
  </si>
  <si>
    <t>+/- 3.5°</t>
  </si>
  <si>
    <t>D2 (mm)</t>
  </si>
  <si>
    <t>R2 (mm)</t>
  </si>
  <si>
    <t>D3 (mm)</t>
  </si>
  <si>
    <t>Dessin ailes</t>
  </si>
  <si>
    <t>X1</t>
  </si>
  <si>
    <t>X2</t>
  </si>
  <si>
    <t>Y1</t>
  </si>
  <si>
    <t>Y2</t>
  </si>
  <si>
    <t>Global</t>
  </si>
  <si>
    <t>Géométrie plane</t>
  </si>
  <si>
    <t>Envergure réelle</t>
  </si>
  <si>
    <t>All. Biplan</t>
  </si>
  <si>
    <t>Masse 1</t>
  </si>
  <si>
    <t>Charge 1</t>
  </si>
  <si>
    <t>Trapèze 4</t>
  </si>
  <si>
    <t>Trapèze 5</t>
  </si>
  <si>
    <t>S totale</t>
  </si>
  <si>
    <t>Fl_Cm</t>
  </si>
  <si>
    <t>Dessin stab</t>
  </si>
  <si>
    <t>Vx mini</t>
  </si>
  <si>
    <t>Vx @ Cz reg</t>
  </si>
  <si>
    <t>Surface</t>
  </si>
  <si>
    <t>C moy</t>
  </si>
  <si>
    <t>Fl_Cm/2 (°)</t>
  </si>
  <si>
    <t>Corde moy</t>
  </si>
  <si>
    <t>Env.</t>
  </si>
  <si>
    <t>Fl. Cmoy</t>
  </si>
  <si>
    <t>Foyer aile</t>
  </si>
  <si>
    <t>dec i vrillage</t>
  </si>
  <si>
    <t>Envergure</t>
  </si>
  <si>
    <t>Foyer 25%</t>
  </si>
  <si>
    <t>Allong. ellip.</t>
  </si>
  <si>
    <t>Dessin foyers</t>
  </si>
  <si>
    <t>Stab</t>
  </si>
  <si>
    <t>S stab proj.</t>
  </si>
  <si>
    <t>Env. proj.</t>
  </si>
  <si>
    <t>X</t>
  </si>
  <si>
    <t>S empen.</t>
  </si>
  <si>
    <t>Foyer stab</t>
  </si>
  <si>
    <t>Y</t>
  </si>
  <si>
    <t>S dérive</t>
  </si>
  <si>
    <t>Ouverture</t>
  </si>
  <si>
    <t>BA aile à BA stab</t>
  </si>
  <si>
    <t>Alpha 0</t>
  </si>
  <si>
    <t>Dessin coins</t>
  </si>
  <si>
    <t>Dièdre</t>
  </si>
  <si>
    <t>Bras de levier Foyer_aile à Foyer_stab</t>
  </si>
  <si>
    <t>S proj</t>
  </si>
  <si>
    <t>Cmo</t>
  </si>
  <si>
    <t>max X</t>
  </si>
  <si>
    <t>V stab</t>
  </si>
  <si>
    <t>Calage a/f</t>
  </si>
  <si>
    <t>max Y</t>
  </si>
  <si>
    <t>Cza@cal.</t>
  </si>
  <si>
    <t>min Y</t>
  </si>
  <si>
    <t>Cza_reg</t>
  </si>
  <si>
    <t>Helmbold-Polhamus / Prandlt</t>
  </si>
  <si>
    <t>Alpha a</t>
  </si>
  <si>
    <t>Profilée</t>
  </si>
  <si>
    <t>Fine</t>
  </si>
  <si>
    <t>ms</t>
  </si>
  <si>
    <t>e' stab</t>
  </si>
  <si>
    <t>Cza @Czs=0</t>
  </si>
  <si>
    <t>Normal / Jet</t>
  </si>
  <si>
    <t>Canard</t>
  </si>
  <si>
    <t>Caisse arrondie</t>
  </si>
  <si>
    <t>Normale</t>
  </si>
  <si>
    <t>Déflexion de sillage</t>
  </si>
  <si>
    <t>rx</t>
  </si>
  <si>
    <t>rh</t>
  </si>
  <si>
    <t>racine</t>
  </si>
  <si>
    <t>Aa</t>
  </si>
  <si>
    <t>CG + Cal.</t>
  </si>
  <si>
    <t>F</t>
  </si>
  <si>
    <t>-X</t>
  </si>
  <si>
    <t>Z</t>
  </si>
  <si>
    <t>Largeur</t>
  </si>
  <si>
    <t>Caisse</t>
  </si>
  <si>
    <t>Epaisse</t>
  </si>
  <si>
    <t>As</t>
  </si>
  <si>
    <t>Pos. %</t>
  </si>
  <si>
    <t>Hauteur</t>
  </si>
  <si>
    <t>Jet (entrées air latérales)</t>
  </si>
  <si>
    <t>facteur1</t>
  </si>
  <si>
    <t>facteur2</t>
  </si>
  <si>
    <t>facteur3</t>
  </si>
  <si>
    <t>facteur4</t>
  </si>
  <si>
    <t>facteur5</t>
  </si>
  <si>
    <t>e' MS</t>
  </si>
  <si>
    <t>e' backup</t>
  </si>
  <si>
    <t>Pos. mm</t>
  </si>
  <si>
    <t>S proj. horiz.</t>
  </si>
  <si>
    <t>Coeff. poutre</t>
  </si>
  <si>
    <t>LF</t>
  </si>
  <si>
    <t>S mouillée</t>
  </si>
  <si>
    <t>Coeff. forme</t>
  </si>
  <si>
    <t>Dflx. sillage</t>
  </si>
  <si>
    <t>Dflx. Prandtl</t>
  </si>
  <si>
    <t>Dflx. approx</t>
  </si>
  <si>
    <t>VF VCG</t>
  </si>
  <si>
    <t>parasol</t>
  </si>
  <si>
    <t>Foyer global</t>
  </si>
  <si>
    <t>Af brut</t>
  </si>
  <si>
    <t>Af borné</t>
  </si>
  <si>
    <t>Denom.</t>
  </si>
  <si>
    <t>k'</t>
  </si>
  <si>
    <t>haute</t>
  </si>
  <si>
    <t>Profilé</t>
  </si>
  <si>
    <t>Lg_fus.</t>
  </si>
  <si>
    <t>Normal</t>
  </si>
  <si>
    <t>XF brut</t>
  </si>
  <si>
    <t>k</t>
  </si>
  <si>
    <t>médiane</t>
  </si>
  <si>
    <t>Mixte</t>
  </si>
  <si>
    <t>xF_fus.</t>
  </si>
  <si>
    <t>Correc silla.</t>
  </si>
  <si>
    <t>Vé longi</t>
  </si>
  <si>
    <t>basse</t>
  </si>
  <si>
    <t>Non profilé</t>
  </si>
  <si>
    <t>dist. Ff-Fa</t>
  </si>
  <si>
    <t>Af</t>
  </si>
  <si>
    <t>Correc fus.</t>
  </si>
  <si>
    <t>Cal. stab</t>
  </si>
  <si>
    <t>S_fus.</t>
  </si>
  <si>
    <t>x'F_fus.</t>
  </si>
  <si>
    <t>Vérif foyer</t>
  </si>
  <si>
    <t>xF approx</t>
  </si>
  <si>
    <t>Vérif 1 =&gt;</t>
  </si>
  <si>
    <t>Largeur fus.</t>
  </si>
  <si>
    <t>xF (direct)</t>
  </si>
  <si>
    <t>Résidu (vérif)</t>
  </si>
  <si>
    <t>Vérif 2 =&gt;</t>
  </si>
  <si>
    <t>Czs</t>
  </si>
  <si>
    <t>Options ailes et stab</t>
  </si>
  <si>
    <t>xF (FA)</t>
  </si>
  <si>
    <t>pos. Z Aile</t>
  </si>
  <si>
    <t>dec. Y aile</t>
  </si>
  <si>
    <t>dec. Y stab</t>
  </si>
  <si>
    <t>dec. Z aile</t>
  </si>
  <si>
    <t>stab V à plat</t>
  </si>
  <si>
    <t>Profils</t>
  </si>
  <si>
    <t>Alpha0</t>
  </si>
  <si>
    <t>Cm0</t>
  </si>
  <si>
    <t>Calculs servos</t>
  </si>
  <si>
    <t>V</t>
  </si>
  <si>
    <t>Servos</t>
  </si>
  <si>
    <t>Planche / symétrique</t>
  </si>
  <si>
    <t>Réduc</t>
  </si>
  <si>
    <t>Asymétrique fin</t>
  </si>
  <si>
    <t>Asymétrique épais</t>
  </si>
  <si>
    <t>Cza reg</t>
  </si>
  <si>
    <t>&lt;Cz</t>
  </si>
  <si>
    <t>Pos.Clé/Cmoy</t>
  </si>
  <si>
    <t>Pos.Clé/BA</t>
  </si>
  <si>
    <t>&lt;Cp-Pos.clé</t>
  </si>
  <si>
    <t>PredimRC Lite v 2.57</t>
  </si>
  <si>
    <t>Corde saumon</t>
  </si>
  <si>
    <t>Corde emplant.</t>
  </si>
  <si>
    <t>Commentaires</t>
  </si>
  <si>
    <t>Flèche /BA</t>
  </si>
  <si>
    <t>Profil :</t>
  </si>
  <si>
    <t>Poutre :</t>
  </si>
  <si>
    <t>Le centre de la cle est exactement a 190 et le foyer a183.8 donc centrer sur la clé = pas bon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</si>
</sst>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0"/>
    <numFmt numFmtId="168" formatCode="0.00000\ "/>
  </numFmts>
  <fonts count="4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sz val="10"/>
      <color indexed="12"/>
      <name val="Arial"/>
      <family val="2"/>
    </font>
    <font>
      <sz val="10"/>
      <color indexed="10"/>
      <name val="Arial"/>
      <family val="2"/>
    </font>
    <font>
      <b/>
      <sz val="9"/>
      <color indexed="8"/>
      <name val="Tahoma"/>
      <family val="2"/>
    </font>
    <font>
      <i/>
      <sz val="12"/>
      <name val="Arial"/>
      <family val="2"/>
    </font>
    <font>
      <sz val="16"/>
      <name val="Arial"/>
      <family val="2"/>
    </font>
    <font>
      <b/>
      <sz val="12"/>
      <name val="Arial"/>
      <family val="2"/>
    </font>
    <font>
      <b/>
      <sz val="8"/>
      <color indexed="8"/>
      <name val="Tahoma"/>
      <family val="2"/>
    </font>
    <font>
      <b/>
      <i/>
      <sz val="16"/>
      <name val="Arial"/>
      <family val="2"/>
    </font>
    <font>
      <b/>
      <i/>
      <sz val="12"/>
      <name val="Arial"/>
      <family val="2"/>
    </font>
    <font>
      <b/>
      <sz val="11"/>
      <name val="Arial"/>
      <family val="2"/>
    </font>
    <font>
      <b/>
      <i/>
      <sz val="11"/>
      <name val="Arial"/>
      <family val="2"/>
    </font>
    <font>
      <sz val="14"/>
      <name val="Arial"/>
      <family val="2"/>
    </font>
    <font>
      <sz val="9"/>
      <name val="Arial"/>
      <family val="2"/>
    </font>
    <font>
      <sz val="10"/>
      <color indexed="48"/>
      <name val="Arial"/>
      <family val="2"/>
    </font>
    <font>
      <b/>
      <sz val="8"/>
      <name val="Tahoma"/>
      <family val="2"/>
    </font>
    <font>
      <sz val="10"/>
      <color indexed="8"/>
      <name val="Arial"/>
      <family val="0"/>
    </font>
    <font>
      <sz val="8"/>
      <color indexed="8"/>
      <name val="Arial"/>
      <family val="0"/>
    </font>
    <font>
      <sz val="18"/>
      <color indexed="54"/>
      <name val="Calibri Light"/>
      <family val="2"/>
    </font>
    <font>
      <sz val="8"/>
      <name val="Segoe UI"/>
      <family val="2"/>
    </font>
    <font>
      <b/>
      <sz val="9"/>
      <color indexed="8"/>
      <name val="Arial"/>
      <family val="0"/>
    </font>
    <font>
      <sz val="18"/>
      <color theme="3"/>
      <name val="Calibri Light"/>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s>
  <borders count="9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medium">
        <color indexed="8"/>
      </right>
      <top style="medium">
        <color indexed="8"/>
      </top>
      <bottom style="thin">
        <color indexed="8"/>
      </bottom>
    </border>
    <border>
      <left>
        <color indexed="63"/>
      </left>
      <right style="hair">
        <color indexed="8"/>
      </right>
      <top style="medium">
        <color indexed="8"/>
      </top>
      <bottom style="hair">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hair">
        <color indexed="8"/>
      </top>
      <bottom style="hair">
        <color indexed="8"/>
      </bottom>
    </border>
    <border>
      <left>
        <color indexed="63"/>
      </left>
      <right style="thin">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color indexed="63"/>
      </top>
      <bottom style="medium"/>
    </border>
    <border>
      <left style="hair">
        <color indexed="8"/>
      </left>
      <right style="thin">
        <color indexed="8"/>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hair">
        <color indexed="8"/>
      </right>
      <top>
        <color indexed="63"/>
      </top>
      <bottom>
        <color indexed="63"/>
      </bottom>
    </border>
    <border>
      <left style="medium"/>
      <right>
        <color indexed="63"/>
      </right>
      <top style="medium"/>
      <bottom>
        <color indexed="63"/>
      </bottom>
    </border>
    <border>
      <left style="medium">
        <color indexed="8"/>
      </left>
      <right style="hair">
        <color indexed="8"/>
      </right>
      <top>
        <color indexed="63"/>
      </top>
      <bottom style="medium"/>
    </border>
    <border>
      <left style="medium">
        <color indexed="8"/>
      </left>
      <right>
        <color indexed="63"/>
      </right>
      <top>
        <color indexed="63"/>
      </top>
      <bottom style="medium"/>
    </border>
    <border>
      <left style="medium">
        <color indexed="8"/>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3" borderId="1" applyNumberFormat="0" applyAlignment="0" applyProtection="0"/>
    <xf numFmtId="0" fontId="7"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8" borderId="0" applyNumberFormat="0" applyBorder="0" applyAlignment="0" applyProtection="0"/>
    <xf numFmtId="0" fontId="0" fillId="16" borderId="4" applyNumberFormat="0" applyFont="0" applyAlignment="0" applyProtection="0"/>
    <xf numFmtId="9" fontId="0" fillId="0" borderId="0" applyFill="0" applyBorder="0" applyAlignment="0" applyProtection="0"/>
    <xf numFmtId="0" fontId="9" fillId="17" borderId="0" applyNumberFormat="0" applyBorder="0" applyAlignment="0" applyProtection="0"/>
    <xf numFmtId="0" fontId="10" fillId="2" borderId="5" applyNumberFormat="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8" borderId="10" applyNumberFormat="0" applyAlignment="0" applyProtection="0"/>
  </cellStyleXfs>
  <cellXfs count="407">
    <xf numFmtId="0" fontId="0" fillId="0" borderId="0" xfId="0" applyAlignment="1">
      <alignment/>
    </xf>
    <xf numFmtId="0" fontId="18" fillId="0" borderId="0" xfId="0" applyFont="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0" fillId="0" borderId="0" xfId="0" applyFont="1" applyAlignment="1">
      <alignment vertical="center"/>
    </xf>
    <xf numFmtId="0" fontId="22" fillId="0" borderId="11" xfId="0" applyFont="1" applyFill="1" applyBorder="1" applyAlignment="1" applyProtection="1">
      <alignment horizontal="left" vertical="center"/>
      <protection locked="0"/>
    </xf>
    <xf numFmtId="0" fontId="23" fillId="0" borderId="11" xfId="0" applyFont="1" applyFill="1" applyBorder="1" applyAlignment="1" applyProtection="1">
      <alignment horizontal="center" vertical="center"/>
      <protection locked="0"/>
    </xf>
    <xf numFmtId="0" fontId="0" fillId="0" borderId="0"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0" fillId="0" borderId="0" xfId="0" applyFont="1" applyAlignment="1">
      <alignment horizontal="left"/>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2" fontId="0" fillId="0" borderId="15"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pplyProtection="1">
      <alignment horizontal="center" vertical="center" wrapText="1"/>
      <protection locked="0"/>
    </xf>
    <xf numFmtId="0" fontId="0" fillId="0" borderId="16" xfId="0" applyFont="1" applyFill="1" applyBorder="1" applyAlignment="1">
      <alignment horizontal="center" vertical="center"/>
    </xf>
    <xf numFmtId="0" fontId="19" fillId="0" borderId="17"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64" fontId="0" fillId="0" borderId="21" xfId="0" applyNumberFormat="1" applyFont="1" applyFill="1" applyBorder="1" applyAlignment="1">
      <alignment horizontal="center" vertical="center"/>
    </xf>
    <xf numFmtId="0" fontId="19" fillId="0" borderId="18"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 fontId="0" fillId="0" borderId="21" xfId="0" applyNumberFormat="1" applyFont="1" applyFill="1" applyBorder="1" applyAlignment="1">
      <alignment horizontal="center" vertical="center"/>
    </xf>
    <xf numFmtId="0" fontId="19" fillId="0" borderId="18" xfId="0" applyNumberFormat="1" applyFont="1" applyFill="1" applyBorder="1" applyAlignment="1" applyProtection="1">
      <alignment horizontal="center" vertical="center"/>
      <protection locked="0"/>
    </xf>
    <xf numFmtId="1" fontId="0" fillId="0" borderId="22" xfId="0" applyNumberFormat="1" applyFont="1" applyFill="1" applyBorder="1" applyAlignment="1">
      <alignment horizontal="center" vertical="center"/>
    </xf>
    <xf numFmtId="0" fontId="19" fillId="0" borderId="23"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2" fontId="0" fillId="0" borderId="21" xfId="0" applyNumberFormat="1" applyFont="1" applyFill="1" applyBorder="1" applyAlignment="1">
      <alignment horizontal="center" vertical="center"/>
    </xf>
    <xf numFmtId="0" fontId="0" fillId="0" borderId="25" xfId="0" applyFont="1" applyFill="1" applyBorder="1" applyAlignment="1">
      <alignment horizontal="center" vertical="center"/>
    </xf>
    <xf numFmtId="164" fontId="19" fillId="0" borderId="26" xfId="0" applyNumberFormat="1" applyFont="1" applyFill="1" applyBorder="1" applyAlignment="1" applyProtection="1">
      <alignment horizontal="center" vertical="center"/>
      <protection locked="0"/>
    </xf>
    <xf numFmtId="164" fontId="19" fillId="0" borderId="27" xfId="0" applyNumberFormat="1" applyFont="1" applyFill="1" applyBorder="1" applyAlignment="1" applyProtection="1">
      <alignment horizontal="center" vertical="center"/>
      <protection locked="0"/>
    </xf>
    <xf numFmtId="164" fontId="19" fillId="0" borderId="0" xfId="0" applyNumberFormat="1" applyFont="1" applyFill="1" applyBorder="1" applyAlignment="1" applyProtection="1">
      <alignment horizontal="center" vertical="center"/>
      <protection locked="0"/>
    </xf>
    <xf numFmtId="164" fontId="0" fillId="0" borderId="28" xfId="0" applyNumberFormat="1" applyFont="1" applyFill="1" applyBorder="1" applyAlignment="1">
      <alignment horizontal="center" vertical="center"/>
    </xf>
    <xf numFmtId="0" fontId="0" fillId="0" borderId="0" xfId="0" applyFont="1" applyFill="1" applyBorder="1" applyAlignment="1">
      <alignment/>
    </xf>
    <xf numFmtId="0" fontId="20" fillId="0" borderId="0" xfId="0" applyFont="1" applyBorder="1" applyAlignment="1">
      <alignment horizontal="left" vertical="center"/>
    </xf>
    <xf numFmtId="0" fontId="0" fillId="0" borderId="0" xfId="0" applyFont="1" applyBorder="1" applyAlignment="1">
      <alignment horizontal="center" vertical="center"/>
    </xf>
    <xf numFmtId="0" fontId="0" fillId="0" borderId="29"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164" fontId="0" fillId="0" borderId="15"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19" fillId="0" borderId="35"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0" fillId="0" borderId="36" xfId="0" applyFont="1" applyFill="1" applyBorder="1" applyAlignment="1">
      <alignment horizontal="center" vertical="center"/>
    </xf>
    <xf numFmtId="1" fontId="0" fillId="0" borderId="37" xfId="0" applyNumberFormat="1" applyFont="1" applyFill="1" applyBorder="1" applyAlignment="1">
      <alignment horizontal="center" vertical="center"/>
    </xf>
    <xf numFmtId="0" fontId="0" fillId="0" borderId="38" xfId="0" applyFont="1" applyFill="1" applyBorder="1" applyAlignment="1">
      <alignment horizontal="center" vertical="center"/>
    </xf>
    <xf numFmtId="1" fontId="19" fillId="0" borderId="39"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2" fontId="0" fillId="0" borderId="28"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9" fillId="0" borderId="40" xfId="0" applyFont="1" applyFill="1" applyBorder="1" applyAlignment="1" applyProtection="1">
      <alignment horizontal="center" vertical="center" wrapText="1"/>
      <protection locked="0"/>
    </xf>
    <xf numFmtId="0" fontId="0" fillId="0" borderId="40" xfId="0" applyFont="1" applyFill="1" applyBorder="1" applyAlignment="1">
      <alignment horizontal="center" vertical="center" wrapText="1"/>
    </xf>
    <xf numFmtId="0" fontId="19" fillId="0" borderId="41"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xf>
    <xf numFmtId="0" fontId="0" fillId="0" borderId="21" xfId="0" applyFont="1" applyFill="1" applyBorder="1" applyAlignment="1" applyProtection="1">
      <alignment horizontal="center" vertical="center" wrapText="1"/>
      <protection locked="0"/>
    </xf>
    <xf numFmtId="164" fontId="0" fillId="0" borderId="42" xfId="0" applyNumberFormat="1" applyFont="1" applyFill="1" applyBorder="1" applyAlignment="1" applyProtection="1">
      <alignment horizontal="center" vertical="center" wrapText="1"/>
      <protection/>
    </xf>
    <xf numFmtId="0" fontId="0" fillId="0" borderId="36" xfId="0" applyFont="1" applyFill="1" applyBorder="1" applyAlignment="1">
      <alignment horizontal="center" vertical="center" wrapText="1"/>
    </xf>
    <xf numFmtId="0" fontId="19" fillId="0" borderId="29"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wrapText="1"/>
    </xf>
    <xf numFmtId="0" fontId="19" fillId="0" borderId="37" xfId="0" applyFont="1" applyFill="1" applyBorder="1" applyAlignment="1" applyProtection="1">
      <alignment horizontal="center" vertical="center" wrapText="1"/>
      <protection locked="0"/>
    </xf>
    <xf numFmtId="9" fontId="0" fillId="0" borderId="37" xfId="0" applyNumberFormat="1" applyFont="1" applyFill="1" applyBorder="1" applyAlignment="1" applyProtection="1">
      <alignment horizontal="center" vertical="center" wrapText="1"/>
      <protection/>
    </xf>
    <xf numFmtId="164" fontId="19" fillId="0" borderId="0" xfId="0" applyNumberFormat="1" applyFont="1" applyBorder="1" applyAlignment="1" applyProtection="1">
      <alignment vertical="center"/>
      <protection locked="0"/>
    </xf>
    <xf numFmtId="0" fontId="0" fillId="0" borderId="0" xfId="0" applyFont="1" applyBorder="1" applyAlignment="1" applyProtection="1">
      <alignment horizontal="left"/>
      <protection locked="0"/>
    </xf>
    <xf numFmtId="9" fontId="19" fillId="0" borderId="43" xfId="0" applyNumberFormat="1" applyFont="1" applyFill="1" applyBorder="1" applyAlignment="1" applyProtection="1">
      <alignment horizontal="center" vertical="center"/>
      <protection locked="0"/>
    </xf>
    <xf numFmtId="0" fontId="0" fillId="0" borderId="44" xfId="0" applyFont="1" applyFill="1" applyBorder="1" applyAlignment="1">
      <alignment horizontal="center" vertical="center"/>
    </xf>
    <xf numFmtId="164" fontId="19" fillId="0" borderId="42" xfId="0" applyNumberFormat="1" applyFont="1" applyFill="1" applyBorder="1" applyAlignment="1" applyProtection="1">
      <alignment horizontal="center" vertical="center"/>
      <protection locked="0"/>
    </xf>
    <xf numFmtId="164" fontId="19" fillId="0" borderId="41" xfId="0" applyNumberFormat="1"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165" fontId="0" fillId="0" borderId="45"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xf>
    <xf numFmtId="1" fontId="0" fillId="0" borderId="21" xfId="0" applyNumberFormat="1" applyFont="1" applyFill="1" applyBorder="1" applyAlignment="1" applyProtection="1">
      <alignment horizontal="center" vertical="center"/>
      <protection/>
    </xf>
    <xf numFmtId="164" fontId="0" fillId="0" borderId="21"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Alignment="1">
      <alignment vertical="center"/>
    </xf>
    <xf numFmtId="0" fontId="26" fillId="0" borderId="29" xfId="0"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46" xfId="0" applyFont="1" applyFill="1" applyBorder="1" applyAlignment="1">
      <alignment horizontal="center" vertical="center"/>
    </xf>
    <xf numFmtId="0" fontId="19" fillId="0" borderId="47"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Alignment="1">
      <alignment vertical="center"/>
    </xf>
    <xf numFmtId="0" fontId="19" fillId="0" borderId="48" xfId="0" applyFont="1" applyFill="1" applyBorder="1" applyAlignment="1" applyProtection="1">
      <alignment horizontal="center" vertical="center"/>
      <protection locked="0"/>
    </xf>
    <xf numFmtId="0" fontId="0" fillId="0" borderId="49" xfId="0" applyFont="1" applyFill="1" applyBorder="1" applyAlignment="1">
      <alignment horizontal="center" vertical="center"/>
    </xf>
    <xf numFmtId="164" fontId="0" fillId="0" borderId="21" xfId="0" applyNumberFormat="1" applyFill="1" applyBorder="1" applyAlignment="1" applyProtection="1">
      <alignment horizontal="center" vertical="center"/>
      <protection/>
    </xf>
    <xf numFmtId="9" fontId="19" fillId="0" borderId="21" xfId="0" applyNumberFormat="1" applyFont="1" applyBorder="1" applyAlignment="1" applyProtection="1">
      <alignment horizontal="center" vertical="center"/>
      <protection locked="0"/>
    </xf>
    <xf numFmtId="0" fontId="0" fillId="0" borderId="32"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0" fillId="0" borderId="51" xfId="0" applyFont="1" applyFill="1" applyBorder="1" applyAlignment="1">
      <alignment horizontal="center" vertical="center"/>
    </xf>
    <xf numFmtId="0" fontId="19" fillId="0" borderId="52" xfId="0" applyFont="1" applyFill="1" applyBorder="1" applyAlignment="1" applyProtection="1">
      <alignment horizontal="center" vertical="center"/>
      <protection locked="0"/>
    </xf>
    <xf numFmtId="0" fontId="0" fillId="0" borderId="53" xfId="0" applyFont="1" applyFill="1" applyBorder="1" applyAlignment="1">
      <alignment horizontal="center" vertical="center"/>
    </xf>
    <xf numFmtId="0" fontId="19" fillId="0" borderId="54"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19" fillId="0" borderId="55" xfId="0" applyFont="1" applyFill="1" applyBorder="1" applyAlignment="1" applyProtection="1">
      <alignment horizontal="center" vertical="center"/>
      <protection locked="0"/>
    </xf>
    <xf numFmtId="49" fontId="0" fillId="0" borderId="56" xfId="0" applyNumberFormat="1" applyFont="1" applyFill="1" applyBorder="1" applyAlignment="1">
      <alignment horizontal="center" vertical="center"/>
    </xf>
    <xf numFmtId="164" fontId="0" fillId="0" borderId="57" xfId="0" applyNumberFormat="1" applyFill="1" applyBorder="1" applyAlignment="1" applyProtection="1">
      <alignment horizontal="center" vertical="center"/>
      <protection/>
    </xf>
    <xf numFmtId="49" fontId="0" fillId="0" borderId="58" xfId="0" applyNumberFormat="1" applyFont="1" applyFill="1" applyBorder="1" applyAlignment="1">
      <alignment horizontal="center" vertical="center"/>
    </xf>
    <xf numFmtId="164" fontId="0" fillId="0" borderId="59" xfId="0" applyNumberFormat="1" applyFill="1" applyBorder="1" applyAlignment="1" applyProtection="1">
      <alignment horizontal="center" vertical="center"/>
      <protection/>
    </xf>
    <xf numFmtId="0" fontId="0" fillId="0" borderId="0" xfId="0" applyFill="1" applyAlignment="1" applyProtection="1">
      <alignment vertical="center"/>
      <protection/>
    </xf>
    <xf numFmtId="49" fontId="0" fillId="0" borderId="56" xfId="0" applyNumberFormat="1" applyFont="1" applyFill="1" applyBorder="1" applyAlignment="1" applyProtection="1">
      <alignment horizontal="center" vertical="center"/>
      <protection/>
    </xf>
    <xf numFmtId="0" fontId="0" fillId="0" borderId="60" xfId="0" applyFont="1" applyFill="1" applyBorder="1" applyAlignment="1">
      <alignment horizontal="center" vertical="center"/>
    </xf>
    <xf numFmtId="0" fontId="19" fillId="0" borderId="61" xfId="0" applyFont="1" applyFill="1" applyBorder="1" applyAlignment="1" applyProtection="1">
      <alignment horizontal="center" vertical="center"/>
      <protection locked="0"/>
    </xf>
    <xf numFmtId="0" fontId="0" fillId="0" borderId="62" xfId="0" applyFont="1" applyFill="1" applyBorder="1" applyAlignment="1">
      <alignment horizontal="center" vertical="center"/>
    </xf>
    <xf numFmtId="0" fontId="19" fillId="0" borderId="63" xfId="0" applyFont="1" applyFill="1" applyBorder="1" applyAlignment="1" applyProtection="1">
      <alignment horizontal="center" vertical="center"/>
      <protection locked="0"/>
    </xf>
    <xf numFmtId="0" fontId="0" fillId="0" borderId="61" xfId="0" applyFont="1" applyFill="1" applyBorder="1" applyAlignment="1">
      <alignment horizontal="center" vertical="center"/>
    </xf>
    <xf numFmtId="0" fontId="19" fillId="0" borderId="64" xfId="0" applyFont="1" applyFill="1" applyBorder="1" applyAlignment="1" applyProtection="1">
      <alignment horizontal="center" vertical="center"/>
      <protection locked="0"/>
    </xf>
    <xf numFmtId="164" fontId="0" fillId="0" borderId="65" xfId="0" applyNumberFormat="1" applyFont="1" applyFill="1" applyBorder="1" applyAlignment="1" applyProtection="1">
      <alignment horizontal="center" vertical="center"/>
      <protection/>
    </xf>
    <xf numFmtId="164" fontId="0" fillId="0" borderId="66" xfId="0" applyNumberFormat="1" applyFont="1" applyFill="1" applyBorder="1" applyAlignment="1" applyProtection="1">
      <alignment horizontal="center" vertical="center"/>
      <protection/>
    </xf>
    <xf numFmtId="0" fontId="0" fillId="0" borderId="67" xfId="0" applyFont="1" applyFill="1" applyBorder="1" applyAlignment="1">
      <alignment horizontal="center" vertical="center"/>
    </xf>
    <xf numFmtId="164" fontId="0" fillId="0" borderId="68" xfId="0" applyNumberFormat="1" applyFont="1" applyFill="1" applyBorder="1" applyAlignment="1" applyProtection="1">
      <alignment horizontal="center" vertical="center"/>
      <protection/>
    </xf>
    <xf numFmtId="2" fontId="0" fillId="0" borderId="69" xfId="0" applyNumberFormat="1" applyFill="1" applyBorder="1" applyAlignment="1">
      <alignment horizontal="center" vertical="center"/>
    </xf>
    <xf numFmtId="0" fontId="0" fillId="0" borderId="70" xfId="0" applyFont="1" applyFill="1" applyBorder="1" applyAlignment="1">
      <alignment horizontal="center" vertical="center"/>
    </xf>
    <xf numFmtId="2" fontId="0" fillId="0" borderId="37" xfId="0" applyNumberFormat="1" applyFill="1" applyBorder="1" applyAlignment="1">
      <alignment horizontal="center" vertical="center"/>
    </xf>
    <xf numFmtId="0" fontId="0" fillId="0" borderId="11" xfId="0" applyFill="1" applyBorder="1" applyAlignment="1">
      <alignment horizontal="center" vertical="center"/>
    </xf>
    <xf numFmtId="2" fontId="0" fillId="0" borderId="11" xfId="0" applyNumberFormat="1" applyFill="1" applyBorder="1" applyAlignment="1">
      <alignment horizontal="center" vertical="center"/>
    </xf>
    <xf numFmtId="0" fontId="0" fillId="0" borderId="0" xfId="0" applyFill="1" applyAlignment="1">
      <alignment/>
    </xf>
    <xf numFmtId="2" fontId="0" fillId="0" borderId="15" xfId="0" applyNumberFormat="1" applyFill="1" applyBorder="1" applyAlignment="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21" xfId="0" applyNumberFormat="1" applyBorder="1" applyAlignment="1">
      <alignment horizontal="center" vertical="center"/>
    </xf>
    <xf numFmtId="0" fontId="0" fillId="0" borderId="21" xfId="0" applyBorder="1" applyAlignment="1">
      <alignment horizontal="center" vertical="center"/>
    </xf>
    <xf numFmtId="164" fontId="0" fillId="0" borderId="31" xfId="0" applyNumberFormat="1" applyFill="1" applyBorder="1" applyAlignment="1">
      <alignment horizontal="center" vertical="center"/>
    </xf>
    <xf numFmtId="164" fontId="0" fillId="0" borderId="50" xfId="0" applyNumberFormat="1" applyFill="1" applyBorder="1" applyAlignment="1">
      <alignment horizontal="center" vertical="center"/>
    </xf>
    <xf numFmtId="49" fontId="0" fillId="0" borderId="54" xfId="0" applyNumberFormat="1" applyFont="1" applyFill="1" applyBorder="1" applyAlignment="1">
      <alignment horizontal="center" vertical="center"/>
    </xf>
    <xf numFmtId="164" fontId="0" fillId="0" borderId="57" xfId="0" applyNumberFormat="1" applyFill="1" applyBorder="1" applyAlignment="1">
      <alignment horizontal="center" vertical="center"/>
    </xf>
    <xf numFmtId="0" fontId="0" fillId="0" borderId="71" xfId="0"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164" fontId="0" fillId="0" borderId="74" xfId="0" applyNumberFormat="1" applyFill="1" applyBorder="1" applyAlignment="1">
      <alignment horizontal="center" vertical="center"/>
    </xf>
    <xf numFmtId="0" fontId="0" fillId="0" borderId="31" xfId="0" applyFill="1" applyBorder="1" applyAlignment="1">
      <alignment horizontal="center" vertical="center"/>
    </xf>
    <xf numFmtId="2" fontId="0" fillId="0" borderId="69" xfId="0" applyNumberFormat="1" applyFill="1" applyBorder="1" applyAlignment="1" applyProtection="1">
      <alignment horizontal="center" vertical="center"/>
      <protection/>
    </xf>
    <xf numFmtId="0" fontId="0" fillId="0" borderId="29" xfId="0" applyBorder="1" applyAlignment="1">
      <alignment horizontal="center" vertical="center"/>
    </xf>
    <xf numFmtId="0" fontId="0" fillId="0" borderId="37" xfId="0" applyFont="1" applyBorder="1" applyAlignment="1">
      <alignment horizontal="center" vertical="center"/>
    </xf>
    <xf numFmtId="0" fontId="0" fillId="0" borderId="0" xfId="0" applyFont="1" applyAlignment="1">
      <alignment horizontal="right" vertical="center"/>
    </xf>
    <xf numFmtId="164" fontId="0" fillId="0" borderId="0" xfId="0" applyNumberFormat="1" applyFont="1" applyFill="1" applyBorder="1" applyAlignment="1">
      <alignment horizontal="center"/>
    </xf>
    <xf numFmtId="0" fontId="0" fillId="0" borderId="53" xfId="0" applyFont="1" applyBorder="1" applyAlignment="1">
      <alignment horizontal="center" vertical="center"/>
    </xf>
    <xf numFmtId="164" fontId="0" fillId="0" borderId="52" xfId="0" applyNumberFormat="1" applyFont="1" applyBorder="1" applyAlignment="1">
      <alignment horizontal="center"/>
    </xf>
    <xf numFmtId="164" fontId="0" fillId="0" borderId="52" xfId="0" applyNumberFormat="1" applyFont="1" applyFill="1" applyBorder="1" applyAlignment="1">
      <alignment horizontal="center"/>
    </xf>
    <xf numFmtId="164" fontId="0" fillId="0" borderId="54" xfId="0" applyNumberFormat="1" applyFont="1" applyFill="1" applyBorder="1" applyAlignment="1">
      <alignment horizontal="center"/>
    </xf>
    <xf numFmtId="0" fontId="0" fillId="0" borderId="32" xfId="0" applyFont="1" applyBorder="1" applyAlignment="1">
      <alignment horizontal="center" vertical="center"/>
    </xf>
    <xf numFmtId="164" fontId="0" fillId="0" borderId="0" xfId="0" applyNumberFormat="1" applyFont="1" applyBorder="1" applyAlignment="1">
      <alignment horizontal="center"/>
    </xf>
    <xf numFmtId="164" fontId="0" fillId="0" borderId="50" xfId="0" applyNumberFormat="1" applyFont="1" applyFill="1" applyBorder="1" applyAlignment="1">
      <alignment horizontal="center"/>
    </xf>
    <xf numFmtId="0" fontId="0" fillId="0" borderId="32" xfId="0" applyFont="1" applyBorder="1" applyAlignment="1">
      <alignment horizontal="center"/>
    </xf>
    <xf numFmtId="164" fontId="0" fillId="0" borderId="50" xfId="0" applyNumberFormat="1" applyFont="1" applyBorder="1" applyAlignment="1">
      <alignment horizontal="center"/>
    </xf>
    <xf numFmtId="0" fontId="0" fillId="0" borderId="0" xfId="0" applyFont="1" applyFill="1" applyAlignment="1">
      <alignment/>
    </xf>
    <xf numFmtId="0" fontId="0" fillId="0" borderId="23" xfId="0" applyFont="1" applyBorder="1" applyAlignment="1">
      <alignment horizontal="center"/>
    </xf>
    <xf numFmtId="164" fontId="0" fillId="0" borderId="75" xfId="0" applyNumberFormat="1" applyFont="1" applyBorder="1" applyAlignment="1">
      <alignment horizontal="center"/>
    </xf>
    <xf numFmtId="164" fontId="0" fillId="0" borderId="74" xfId="0" applyNumberFormat="1" applyFont="1" applyBorder="1" applyAlignment="1">
      <alignment horizontal="center"/>
    </xf>
    <xf numFmtId="0" fontId="0" fillId="0" borderId="53" xfId="0" applyFont="1" applyFill="1" applyBorder="1" applyAlignment="1">
      <alignment horizontal="left"/>
    </xf>
    <xf numFmtId="0" fontId="0" fillId="0" borderId="52" xfId="0" applyFont="1" applyFill="1" applyBorder="1" applyAlignment="1">
      <alignment horizontal="center"/>
    </xf>
    <xf numFmtId="0" fontId="0" fillId="0" borderId="54" xfId="0" applyFont="1" applyFill="1" applyBorder="1" applyAlignment="1">
      <alignment horizontal="center"/>
    </xf>
    <xf numFmtId="0" fontId="0" fillId="0" borderId="0" xfId="0" applyFont="1" applyAlignment="1">
      <alignment horizontal="center"/>
    </xf>
    <xf numFmtId="0" fontId="0" fillId="6" borderId="76" xfId="0" applyFont="1" applyFill="1" applyBorder="1" applyAlignment="1">
      <alignment horizontal="center"/>
    </xf>
    <xf numFmtId="0" fontId="0" fillId="6" borderId="77" xfId="0" applyFont="1" applyFill="1" applyBorder="1" applyAlignment="1">
      <alignment horizontal="right"/>
    </xf>
    <xf numFmtId="0" fontId="0" fillId="6" borderId="47" xfId="0" applyFont="1" applyFill="1" applyBorder="1" applyAlignment="1">
      <alignment horizontal="center"/>
    </xf>
    <xf numFmtId="2" fontId="0" fillId="6" borderId="47" xfId="0" applyNumberFormat="1" applyFont="1" applyFill="1" applyBorder="1" applyAlignment="1">
      <alignment horizontal="center"/>
    </xf>
    <xf numFmtId="2" fontId="0" fillId="0" borderId="0" xfId="0" applyNumberFormat="1" applyFont="1" applyAlignment="1">
      <alignment horizontal="center"/>
    </xf>
    <xf numFmtId="0" fontId="0" fillId="0" borderId="32" xfId="0"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50" xfId="0" applyFont="1" applyFill="1" applyBorder="1" applyAlignment="1">
      <alignment horizontal="right"/>
    </xf>
    <xf numFmtId="166" fontId="0" fillId="0" borderId="0" xfId="0" applyNumberFormat="1" applyFont="1" applyFill="1" applyBorder="1" applyAlignment="1">
      <alignment horizontal="center"/>
    </xf>
    <xf numFmtId="0" fontId="0" fillId="6" borderId="53" xfId="0" applyFont="1" applyFill="1" applyBorder="1" applyAlignment="1">
      <alignment horizontal="center"/>
    </xf>
    <xf numFmtId="0" fontId="0" fillId="6" borderId="52" xfId="0" applyFont="1" applyFill="1" applyBorder="1" applyAlignment="1">
      <alignment horizontal="center"/>
    </xf>
    <xf numFmtId="2" fontId="0" fillId="6" borderId="54" xfId="0" applyNumberFormat="1" applyFont="1" applyFill="1" applyBorder="1" applyAlignment="1">
      <alignment horizontal="center"/>
    </xf>
    <xf numFmtId="0" fontId="0" fillId="0" borderId="76" xfId="0" applyFont="1" applyBorder="1" applyAlignment="1">
      <alignment horizontal="center"/>
    </xf>
    <xf numFmtId="2" fontId="0" fillId="0" borderId="47" xfId="0" applyNumberFormat="1" applyFont="1" applyFill="1" applyBorder="1" applyAlignment="1">
      <alignment horizontal="center"/>
    </xf>
    <xf numFmtId="1" fontId="0" fillId="0" borderId="0" xfId="0" applyNumberFormat="1" applyFont="1" applyFill="1" applyBorder="1" applyAlignment="1">
      <alignment horizontal="center"/>
    </xf>
    <xf numFmtId="0" fontId="0" fillId="6" borderId="32" xfId="0" applyFont="1" applyFill="1" applyBorder="1" applyAlignment="1">
      <alignment horizontal="center"/>
    </xf>
    <xf numFmtId="2" fontId="0" fillId="6" borderId="0" xfId="0" applyNumberFormat="1" applyFont="1" applyFill="1" applyBorder="1" applyAlignment="1">
      <alignment horizontal="center"/>
    </xf>
    <xf numFmtId="0" fontId="0" fillId="6" borderId="0" xfId="0" applyFont="1" applyFill="1" applyBorder="1" applyAlignment="1">
      <alignment horizontal="center"/>
    </xf>
    <xf numFmtId="2" fontId="0" fillId="6" borderId="50" xfId="0" applyNumberFormat="1" applyFont="1" applyFill="1" applyBorder="1" applyAlignment="1">
      <alignment horizontal="center"/>
    </xf>
    <xf numFmtId="164" fontId="0" fillId="0" borderId="54" xfId="0" applyNumberFormat="1" applyFont="1" applyBorder="1" applyAlignment="1">
      <alignment horizontal="center"/>
    </xf>
    <xf numFmtId="0" fontId="0" fillId="0" borderId="32" xfId="0" applyFont="1" applyFill="1" applyBorder="1" applyAlignment="1">
      <alignment/>
    </xf>
    <xf numFmtId="0" fontId="30" fillId="0" borderId="0" xfId="0" applyFont="1" applyFill="1" applyBorder="1" applyAlignment="1">
      <alignment horizontal="center"/>
    </xf>
    <xf numFmtId="0" fontId="0" fillId="0" borderId="32" xfId="0" applyFont="1" applyFill="1" applyBorder="1" applyAlignment="1">
      <alignment horizontal="left"/>
    </xf>
    <xf numFmtId="2" fontId="0" fillId="0" borderId="76" xfId="0" applyNumberFormat="1" applyFont="1" applyFill="1" applyBorder="1" applyAlignment="1">
      <alignment horizontal="center"/>
    </xf>
    <xf numFmtId="0" fontId="0" fillId="6" borderId="23" xfId="0" applyFont="1" applyFill="1" applyBorder="1" applyAlignment="1">
      <alignment horizontal="center"/>
    </xf>
    <xf numFmtId="2" fontId="0" fillId="6" borderId="75" xfId="0" applyNumberFormat="1" applyFont="1" applyFill="1" applyBorder="1" applyAlignment="1">
      <alignment horizontal="center"/>
    </xf>
    <xf numFmtId="1" fontId="0" fillId="0" borderId="50" xfId="0" applyNumberFormat="1" applyFont="1" applyFill="1" applyBorder="1" applyAlignment="1">
      <alignment horizontal="right"/>
    </xf>
    <xf numFmtId="0" fontId="0" fillId="6" borderId="75" xfId="0" applyFont="1" applyFill="1" applyBorder="1" applyAlignment="1">
      <alignment horizontal="center" vertical="center" wrapText="1"/>
    </xf>
    <xf numFmtId="2" fontId="0" fillId="6" borderId="74" xfId="0" applyNumberFormat="1" applyFont="1" applyFill="1" applyBorder="1" applyAlignment="1">
      <alignment horizontal="center" vertical="center"/>
    </xf>
    <xf numFmtId="0" fontId="0" fillId="0" borderId="0" xfId="0" applyFont="1" applyAlignment="1">
      <alignment horizontal="right"/>
    </xf>
    <xf numFmtId="164" fontId="0" fillId="0" borderId="0" xfId="0" applyNumberFormat="1" applyFont="1" applyBorder="1" applyAlignment="1">
      <alignment/>
    </xf>
    <xf numFmtId="0" fontId="0" fillId="0" borderId="53" xfId="0" applyFont="1" applyBorder="1" applyAlignment="1">
      <alignment horizontal="center"/>
    </xf>
    <xf numFmtId="0" fontId="0" fillId="0" borderId="52" xfId="0" applyFont="1" applyBorder="1" applyAlignment="1">
      <alignment horizontal="center"/>
    </xf>
    <xf numFmtId="0" fontId="0" fillId="0" borderId="54" xfId="0" applyFont="1" applyBorder="1" applyAlignment="1">
      <alignment horizontal="center"/>
    </xf>
    <xf numFmtId="167" fontId="0" fillId="0" borderId="0" xfId="0" applyNumberFormat="1" applyFont="1" applyFill="1" applyBorder="1" applyAlignment="1">
      <alignment horizontal="center"/>
    </xf>
    <xf numFmtId="0" fontId="0" fillId="0" borderId="75" xfId="0" applyFont="1" applyFill="1" applyBorder="1" applyAlignment="1">
      <alignment horizontal="center"/>
    </xf>
    <xf numFmtId="166" fontId="0" fillId="6" borderId="0" xfId="0" applyNumberFormat="1" applyFont="1" applyFill="1" applyBorder="1" applyAlignment="1">
      <alignment horizontal="right"/>
    </xf>
    <xf numFmtId="164" fontId="0" fillId="6" borderId="0" xfId="0" applyNumberFormat="1" applyFont="1" applyFill="1" applyBorder="1" applyAlignment="1">
      <alignment horizontal="center"/>
    </xf>
    <xf numFmtId="166" fontId="0" fillId="6" borderId="50" xfId="0" applyNumberFormat="1" applyFont="1" applyFill="1" applyBorder="1" applyAlignment="1">
      <alignment horizontal="center"/>
    </xf>
    <xf numFmtId="0" fontId="0" fillId="6" borderId="23" xfId="0" applyFont="1" applyFill="1" applyBorder="1" applyAlignment="1">
      <alignment horizontal="center" vertical="center" wrapText="1"/>
    </xf>
    <xf numFmtId="0" fontId="0" fillId="0" borderId="53" xfId="0" applyFont="1" applyFill="1" applyBorder="1" applyAlignment="1">
      <alignment horizontal="center"/>
    </xf>
    <xf numFmtId="0" fontId="0" fillId="6" borderId="0" xfId="0" applyFont="1" applyFill="1" applyBorder="1" applyAlignment="1">
      <alignment horizontal="right"/>
    </xf>
    <xf numFmtId="166" fontId="0" fillId="6" borderId="0" xfId="0" applyNumberFormat="1" applyFont="1" applyFill="1" applyBorder="1" applyAlignment="1">
      <alignment horizontal="center"/>
    </xf>
    <xf numFmtId="0" fontId="0" fillId="0" borderId="17" xfId="0" applyFont="1" applyFill="1" applyBorder="1" applyAlignment="1">
      <alignment horizontal="center"/>
    </xf>
    <xf numFmtId="166" fontId="0" fillId="0" borderId="47" xfId="0" applyNumberFormat="1" applyFont="1" applyFill="1" applyBorder="1" applyAlignment="1">
      <alignment horizontal="center"/>
    </xf>
    <xf numFmtId="164" fontId="0" fillId="0" borderId="53" xfId="0" applyNumberFormat="1" applyFont="1" applyBorder="1" applyAlignment="1">
      <alignment horizontal="center"/>
    </xf>
    <xf numFmtId="1" fontId="0" fillId="0" borderId="52" xfId="0" applyNumberFormat="1" applyFont="1" applyBorder="1" applyAlignment="1">
      <alignment horizontal="center"/>
    </xf>
    <xf numFmtId="1" fontId="0" fillId="0" borderId="54" xfId="0" applyNumberFormat="1" applyFont="1" applyBorder="1" applyAlignment="1">
      <alignment horizontal="center"/>
    </xf>
    <xf numFmtId="0" fontId="0" fillId="6" borderId="75" xfId="0" applyFont="1" applyFill="1" applyBorder="1" applyAlignment="1">
      <alignment horizontal="center"/>
    </xf>
    <xf numFmtId="164" fontId="0" fillId="6" borderId="75" xfId="0" applyNumberFormat="1" applyFont="1" applyFill="1" applyBorder="1" applyAlignment="1">
      <alignment horizontal="center"/>
    </xf>
    <xf numFmtId="2" fontId="0" fillId="0" borderId="63" xfId="0" applyNumberFormat="1" applyFont="1" applyFill="1" applyBorder="1" applyAlignment="1">
      <alignment horizontal="center"/>
    </xf>
    <xf numFmtId="1" fontId="0" fillId="0" borderId="0" xfId="0" applyNumberFormat="1" applyFont="1" applyBorder="1" applyAlignment="1">
      <alignment horizontal="center"/>
    </xf>
    <xf numFmtId="1" fontId="0" fillId="0" borderId="50" xfId="0" applyNumberFormat="1" applyFont="1" applyBorder="1" applyAlignment="1">
      <alignment horizontal="center"/>
    </xf>
    <xf numFmtId="2" fontId="0" fillId="0" borderId="31" xfId="0" applyNumberFormat="1" applyFont="1" applyFill="1" applyBorder="1" applyAlignment="1">
      <alignment horizontal="center"/>
    </xf>
    <xf numFmtId="0" fontId="0" fillId="0" borderId="23" xfId="0" applyFont="1" applyFill="1" applyBorder="1" applyAlignment="1">
      <alignment horizontal="center"/>
    </xf>
    <xf numFmtId="1" fontId="0" fillId="0" borderId="75" xfId="0" applyNumberFormat="1" applyFont="1" applyBorder="1" applyAlignment="1">
      <alignment horizontal="center"/>
    </xf>
    <xf numFmtId="0" fontId="0" fillId="0" borderId="75" xfId="0" applyFont="1" applyBorder="1" applyAlignment="1">
      <alignment/>
    </xf>
    <xf numFmtId="0" fontId="0" fillId="0" borderId="75" xfId="0" applyFont="1" applyBorder="1" applyAlignment="1">
      <alignment horizontal="center"/>
    </xf>
    <xf numFmtId="0" fontId="0" fillId="0" borderId="74" xfId="0" applyFont="1" applyBorder="1" applyAlignment="1">
      <alignment horizontal="center"/>
    </xf>
    <xf numFmtId="0" fontId="0" fillId="0" borderId="50" xfId="0" applyFont="1" applyFill="1" applyBorder="1" applyAlignment="1">
      <alignment/>
    </xf>
    <xf numFmtId="0" fontId="0" fillId="17" borderId="53" xfId="0" applyFont="1" applyFill="1" applyBorder="1" applyAlignment="1">
      <alignment horizontal="right"/>
    </xf>
    <xf numFmtId="2" fontId="0" fillId="17" borderId="54" xfId="0" applyNumberFormat="1" applyFont="1" applyFill="1" applyBorder="1" applyAlignment="1">
      <alignment horizontal="left"/>
    </xf>
    <xf numFmtId="0" fontId="0" fillId="0" borderId="53" xfId="0" applyFont="1" applyBorder="1" applyAlignment="1">
      <alignment/>
    </xf>
    <xf numFmtId="2" fontId="0" fillId="0" borderId="54" xfId="0" applyNumberFormat="1" applyFont="1" applyFill="1" applyBorder="1" applyAlignment="1">
      <alignment horizontal="left"/>
    </xf>
    <xf numFmtId="2" fontId="0" fillId="0" borderId="74" xfId="0" applyNumberFormat="1" applyFont="1" applyFill="1" applyBorder="1" applyAlignment="1">
      <alignment horizontal="center"/>
    </xf>
    <xf numFmtId="0" fontId="0" fillId="0" borderId="0" xfId="0" applyFont="1" applyFill="1" applyBorder="1" applyAlignment="1">
      <alignment horizontal="right" wrapText="1"/>
    </xf>
    <xf numFmtId="0" fontId="0" fillId="17" borderId="23" xfId="0" applyFont="1" applyFill="1" applyBorder="1" applyAlignment="1">
      <alignment horizontal="right"/>
    </xf>
    <xf numFmtId="2" fontId="0" fillId="17" borderId="74" xfId="0" applyNumberFormat="1" applyFont="1" applyFill="1" applyBorder="1" applyAlignment="1">
      <alignment horizontal="left"/>
    </xf>
    <xf numFmtId="0" fontId="0" fillId="5" borderId="76" xfId="0" applyFont="1" applyFill="1" applyBorder="1" applyAlignment="1">
      <alignment horizontal="center"/>
    </xf>
    <xf numFmtId="166" fontId="0" fillId="17" borderId="47" xfId="0" applyNumberFormat="1" applyFont="1" applyFill="1" applyBorder="1" applyAlignment="1">
      <alignment horizontal="center"/>
    </xf>
    <xf numFmtId="0" fontId="0" fillId="0" borderId="23" xfId="0" applyFont="1" applyBorder="1" applyAlignment="1">
      <alignment/>
    </xf>
    <xf numFmtId="0" fontId="0" fillId="0" borderId="74" xfId="0" applyFont="1" applyBorder="1" applyAlignment="1">
      <alignment horizontal="left"/>
    </xf>
    <xf numFmtId="0" fontId="0" fillId="0" borderId="77" xfId="0" applyFont="1" applyBorder="1" applyAlignment="1">
      <alignment/>
    </xf>
    <xf numFmtId="2" fontId="0" fillId="0" borderId="75" xfId="0" applyNumberFormat="1" applyFont="1" applyFill="1" applyBorder="1" applyAlignment="1">
      <alignment horizontal="center"/>
    </xf>
    <xf numFmtId="9" fontId="0" fillId="0" borderId="76" xfId="0" applyNumberFormat="1" applyFont="1" applyBorder="1" applyAlignment="1">
      <alignment horizontal="center"/>
    </xf>
    <xf numFmtId="1" fontId="0" fillId="0" borderId="77" xfId="0" applyNumberFormat="1" applyFont="1" applyBorder="1" applyAlignment="1">
      <alignment horizontal="center"/>
    </xf>
    <xf numFmtId="0" fontId="0" fillId="0" borderId="47" xfId="0" applyFont="1" applyBorder="1" applyAlignment="1">
      <alignment horizontal="center"/>
    </xf>
    <xf numFmtId="0" fontId="0" fillId="0" borderId="77" xfId="0" applyFont="1" applyBorder="1" applyAlignment="1">
      <alignment horizontal="center"/>
    </xf>
    <xf numFmtId="0" fontId="0" fillId="0" borderId="0" xfId="0" applyFont="1" applyBorder="1" applyAlignment="1">
      <alignment horizontal="center"/>
    </xf>
    <xf numFmtId="0" fontId="0" fillId="0" borderId="32" xfId="0" applyFont="1" applyFill="1" applyBorder="1" applyAlignment="1">
      <alignment horizontal="right"/>
    </xf>
    <xf numFmtId="0" fontId="0" fillId="0" borderId="0" xfId="0" applyFont="1" applyFill="1" applyBorder="1" applyAlignment="1">
      <alignment horizontal="right"/>
    </xf>
    <xf numFmtId="0" fontId="0" fillId="0" borderId="50" xfId="0" applyFont="1" applyFill="1" applyBorder="1" applyAlignment="1">
      <alignment horizontal="right" vertical="center"/>
    </xf>
    <xf numFmtId="0" fontId="0" fillId="0" borderId="53" xfId="0" applyFont="1" applyBorder="1" applyAlignment="1">
      <alignment horizontal="left"/>
    </xf>
    <xf numFmtId="0" fontId="0" fillId="8" borderId="32" xfId="0" applyFont="1" applyFill="1" applyBorder="1" applyAlignment="1">
      <alignment horizontal="right"/>
    </xf>
    <xf numFmtId="166" fontId="0" fillId="8" borderId="50" xfId="0" applyNumberFormat="1" applyFont="1" applyFill="1" applyBorder="1" applyAlignment="1">
      <alignment horizontal="left"/>
    </xf>
    <xf numFmtId="0" fontId="0" fillId="0" borderId="50" xfId="0" applyFont="1" applyBorder="1" applyAlignment="1">
      <alignment horizontal="center"/>
    </xf>
    <xf numFmtId="0" fontId="0" fillId="0" borderId="50" xfId="0" applyFont="1" applyFill="1" applyBorder="1" applyAlignment="1">
      <alignment horizontal="center"/>
    </xf>
    <xf numFmtId="49" fontId="0" fillId="0" borderId="0" xfId="0" applyNumberFormat="1" applyFont="1" applyFill="1" applyBorder="1" applyAlignment="1">
      <alignment horizontal="right" wrapText="1"/>
    </xf>
    <xf numFmtId="0" fontId="0" fillId="0" borderId="32" xfId="0" applyFont="1" applyBorder="1" applyAlignment="1">
      <alignment/>
    </xf>
    <xf numFmtId="0" fontId="0" fillId="8" borderId="23" xfId="0" applyFont="1" applyFill="1" applyBorder="1" applyAlignment="1">
      <alignment horizontal="right"/>
    </xf>
    <xf numFmtId="166" fontId="0" fillId="8" borderId="74" xfId="0" applyNumberFormat="1" applyFont="1" applyFill="1" applyBorder="1" applyAlignment="1">
      <alignment horizontal="left"/>
    </xf>
    <xf numFmtId="165" fontId="0" fillId="0" borderId="52" xfId="0" applyNumberFormat="1" applyFont="1" applyFill="1" applyBorder="1" applyAlignment="1">
      <alignment horizontal="center"/>
    </xf>
    <xf numFmtId="165" fontId="0" fillId="0" borderId="54" xfId="0" applyNumberFormat="1" applyFont="1" applyFill="1" applyBorder="1" applyAlignment="1">
      <alignment horizontal="center"/>
    </xf>
    <xf numFmtId="165" fontId="0" fillId="0" borderId="0" xfId="0" applyNumberFormat="1" applyFont="1" applyFill="1" applyBorder="1" applyAlignment="1">
      <alignment horizontal="center"/>
    </xf>
    <xf numFmtId="164" fontId="0" fillId="0" borderId="32" xfId="0" applyNumberFormat="1" applyFont="1" applyFill="1" applyBorder="1" applyAlignment="1">
      <alignment horizontal="center"/>
    </xf>
    <xf numFmtId="164" fontId="0" fillId="0" borderId="32" xfId="0" applyNumberFormat="1" applyFont="1" applyBorder="1" applyAlignment="1">
      <alignment horizontal="center"/>
    </xf>
    <xf numFmtId="2" fontId="0" fillId="0" borderId="0" xfId="0" applyNumberFormat="1" applyFont="1" applyBorder="1" applyAlignment="1">
      <alignment horizontal="center"/>
    </xf>
    <xf numFmtId="0" fontId="0" fillId="17" borderId="32" xfId="0" applyFont="1" applyFill="1" applyBorder="1" applyAlignment="1">
      <alignment horizontal="center"/>
    </xf>
    <xf numFmtId="0" fontId="0" fillId="17" borderId="0" xfId="0" applyFont="1" applyFill="1" applyBorder="1" applyAlignment="1">
      <alignment horizontal="center"/>
    </xf>
    <xf numFmtId="166" fontId="0" fillId="17" borderId="0" xfId="0" applyNumberFormat="1" applyFont="1" applyFill="1" applyBorder="1" applyAlignment="1">
      <alignment horizontal="center"/>
    </xf>
    <xf numFmtId="2" fontId="0" fillId="0" borderId="32" xfId="0" applyNumberFormat="1" applyFont="1" applyBorder="1" applyAlignment="1">
      <alignment horizontal="center"/>
    </xf>
    <xf numFmtId="0" fontId="0" fillId="0" borderId="50" xfId="0" applyFont="1" applyFill="1" applyBorder="1" applyAlignment="1">
      <alignment horizontal="center" vertical="center"/>
    </xf>
    <xf numFmtId="0" fontId="0" fillId="8" borderId="32" xfId="0" applyFont="1" applyFill="1" applyBorder="1" applyAlignment="1">
      <alignment horizontal="center"/>
    </xf>
    <xf numFmtId="2" fontId="0" fillId="8" borderId="0" xfId="0" applyNumberFormat="1" applyFont="1" applyFill="1" applyBorder="1" applyAlignment="1">
      <alignment horizontal="center"/>
    </xf>
    <xf numFmtId="0" fontId="0" fillId="8" borderId="0" xfId="0" applyFont="1" applyFill="1" applyBorder="1" applyAlignment="1">
      <alignment horizontal="center"/>
    </xf>
    <xf numFmtId="2" fontId="0" fillId="8" borderId="75" xfId="0" applyNumberFormat="1" applyFont="1" applyFill="1" applyBorder="1" applyAlignment="1">
      <alignment horizontal="center"/>
    </xf>
    <xf numFmtId="166" fontId="0" fillId="17" borderId="74" xfId="0" applyNumberFormat="1" applyFont="1" applyFill="1" applyBorder="1" applyAlignment="1">
      <alignment horizontal="center"/>
    </xf>
    <xf numFmtId="166" fontId="0" fillId="0" borderId="0" xfId="0" applyNumberFormat="1" applyFont="1" applyBorder="1" applyAlignment="1">
      <alignment horizontal="center"/>
    </xf>
    <xf numFmtId="166" fontId="0" fillId="0" borderId="50" xfId="0" applyNumberFormat="1" applyFont="1" applyBorder="1" applyAlignment="1">
      <alignment horizontal="center"/>
    </xf>
    <xf numFmtId="2" fontId="0" fillId="0" borderId="0" xfId="0" applyNumberFormat="1" applyFont="1" applyBorder="1" applyAlignment="1">
      <alignment horizontal="left"/>
    </xf>
    <xf numFmtId="2" fontId="0" fillId="0" borderId="50" xfId="0" applyNumberFormat="1" applyFont="1" applyBorder="1" applyAlignment="1">
      <alignment horizontal="center"/>
    </xf>
    <xf numFmtId="0" fontId="0" fillId="0" borderId="32" xfId="0" applyFont="1" applyBorder="1" applyAlignment="1">
      <alignment horizontal="right"/>
    </xf>
    <xf numFmtId="0" fontId="0" fillId="0" borderId="0" xfId="0" applyFont="1" applyBorder="1" applyAlignment="1">
      <alignment horizontal="left"/>
    </xf>
    <xf numFmtId="166" fontId="0" fillId="0" borderId="50" xfId="0" applyNumberFormat="1" applyFont="1" applyFill="1" applyBorder="1" applyAlignment="1">
      <alignment horizontal="center"/>
    </xf>
    <xf numFmtId="2" fontId="0" fillId="0" borderId="75" xfId="0" applyNumberFormat="1" applyFont="1" applyBorder="1" applyAlignment="1">
      <alignment horizontal="center"/>
    </xf>
    <xf numFmtId="2" fontId="0" fillId="0" borderId="74" xfId="0" applyNumberFormat="1" applyFont="1" applyBorder="1" applyAlignment="1">
      <alignment horizontal="center"/>
    </xf>
    <xf numFmtId="9" fontId="0" fillId="0" borderId="0" xfId="0" applyNumberFormat="1" applyFont="1" applyBorder="1" applyAlignment="1">
      <alignment horizontal="left"/>
    </xf>
    <xf numFmtId="2" fontId="0" fillId="0" borderId="54" xfId="0" applyNumberFormat="1" applyFont="1" applyBorder="1" applyAlignment="1">
      <alignment horizontal="center"/>
    </xf>
    <xf numFmtId="0" fontId="0" fillId="0" borderId="23" xfId="0" applyFont="1" applyFill="1" applyBorder="1" applyAlignment="1">
      <alignment horizontal="right"/>
    </xf>
    <xf numFmtId="0" fontId="0" fillId="0" borderId="75" xfId="0" applyFont="1" applyFill="1" applyBorder="1" applyAlignment="1">
      <alignment/>
    </xf>
    <xf numFmtId="0" fontId="0" fillId="0" borderId="74" xfId="0" applyFont="1" applyFill="1" applyBorder="1" applyAlignment="1">
      <alignment horizontal="center"/>
    </xf>
    <xf numFmtId="164" fontId="0" fillId="0" borderId="0" xfId="0" applyNumberFormat="1" applyFont="1" applyFill="1" applyBorder="1" applyAlignment="1">
      <alignment horizontal="left"/>
    </xf>
    <xf numFmtId="2" fontId="0" fillId="0" borderId="23" xfId="0" applyNumberFormat="1" applyFont="1" applyFill="1" applyBorder="1" applyAlignment="1">
      <alignment horizontal="center"/>
    </xf>
    <xf numFmtId="0" fontId="0" fillId="3" borderId="75" xfId="0" applyFont="1" applyFill="1" applyBorder="1" applyAlignment="1">
      <alignment horizontal="right"/>
    </xf>
    <xf numFmtId="166" fontId="0" fillId="3" borderId="74" xfId="0" applyNumberFormat="1" applyFont="1" applyFill="1" applyBorder="1" applyAlignment="1">
      <alignment horizontal="left"/>
    </xf>
    <xf numFmtId="2" fontId="0" fillId="0" borderId="75" xfId="0" applyNumberFormat="1" applyFont="1" applyBorder="1" applyAlignment="1">
      <alignment horizontal="left"/>
    </xf>
    <xf numFmtId="2" fontId="0" fillId="0" borderId="50" xfId="0" applyNumberFormat="1" applyFont="1" applyBorder="1" applyAlignment="1">
      <alignment horizontal="left"/>
    </xf>
    <xf numFmtId="166" fontId="0" fillId="0" borderId="0" xfId="0" applyNumberFormat="1" applyFont="1" applyAlignment="1">
      <alignment horizontal="left"/>
    </xf>
    <xf numFmtId="9" fontId="0" fillId="0" borderId="32" xfId="0" applyNumberFormat="1" applyFont="1" applyBorder="1" applyAlignment="1">
      <alignment horizontal="right"/>
    </xf>
    <xf numFmtId="9" fontId="0" fillId="0" borderId="50" xfId="0" applyNumberFormat="1" applyFont="1" applyBorder="1" applyAlignment="1">
      <alignment horizontal="left"/>
    </xf>
    <xf numFmtId="0" fontId="0" fillId="0" borderId="76" xfId="0" applyFont="1" applyFill="1" applyBorder="1" applyAlignment="1">
      <alignment horizontal="center"/>
    </xf>
    <xf numFmtId="165" fontId="0" fillId="0" borderId="47" xfId="0" applyNumberFormat="1" applyFont="1" applyFill="1" applyBorder="1" applyAlignment="1">
      <alignment horizontal="center"/>
    </xf>
    <xf numFmtId="2" fontId="0" fillId="0" borderId="0" xfId="0" applyNumberFormat="1" applyFont="1" applyAlignment="1">
      <alignment horizontal="right"/>
    </xf>
    <xf numFmtId="0" fontId="0" fillId="5" borderId="53" xfId="0" applyFont="1" applyFill="1" applyBorder="1" applyAlignment="1">
      <alignment horizontal="center"/>
    </xf>
    <xf numFmtId="2" fontId="0" fillId="5" borderId="52" xfId="0" applyNumberFormat="1" applyFont="1" applyFill="1" applyBorder="1" applyAlignment="1">
      <alignment horizontal="center"/>
    </xf>
    <xf numFmtId="2" fontId="0" fillId="5" borderId="54" xfId="0" applyNumberFormat="1" applyFont="1" applyFill="1" applyBorder="1" applyAlignment="1">
      <alignment horizontal="center"/>
    </xf>
    <xf numFmtId="164" fontId="0" fillId="0" borderId="23" xfId="0" applyNumberFormat="1" applyFont="1" applyBorder="1" applyAlignment="1">
      <alignment horizontal="center"/>
    </xf>
    <xf numFmtId="164" fontId="0" fillId="0" borderId="75" xfId="0" applyNumberFormat="1" applyFont="1" applyFill="1" applyBorder="1" applyAlignment="1">
      <alignment horizontal="center"/>
    </xf>
    <xf numFmtId="0" fontId="0" fillId="0" borderId="74" xfId="0" applyFont="1" applyFill="1" applyBorder="1" applyAlignment="1">
      <alignment horizontal="left"/>
    </xf>
    <xf numFmtId="165" fontId="0" fillId="0" borderId="47" xfId="0" applyNumberFormat="1" applyFont="1" applyBorder="1" applyAlignment="1">
      <alignment horizontal="center"/>
    </xf>
    <xf numFmtId="0" fontId="0" fillId="5" borderId="23" xfId="0" applyFont="1" applyFill="1" applyBorder="1" applyAlignment="1">
      <alignment horizontal="center"/>
    </xf>
    <xf numFmtId="2" fontId="0" fillId="5" borderId="75" xfId="0" applyNumberFormat="1" applyFont="1" applyFill="1" applyBorder="1" applyAlignment="1">
      <alignment horizontal="center"/>
    </xf>
    <xf numFmtId="2" fontId="0" fillId="5" borderId="74" xfId="0" applyNumberFormat="1" applyFont="1" applyFill="1" applyBorder="1" applyAlignment="1">
      <alignment horizontal="center"/>
    </xf>
    <xf numFmtId="0" fontId="0" fillId="0" borderId="0" xfId="0" applyFont="1" applyBorder="1" applyAlignment="1">
      <alignment horizontal="right"/>
    </xf>
    <xf numFmtId="1" fontId="0" fillId="0" borderId="0" xfId="0" applyNumberFormat="1" applyFont="1" applyBorder="1" applyAlignment="1">
      <alignment horizontal="left"/>
    </xf>
    <xf numFmtId="0" fontId="0" fillId="0" borderId="76" xfId="0" applyFont="1" applyBorder="1" applyAlignment="1">
      <alignment/>
    </xf>
    <xf numFmtId="166" fontId="0" fillId="0" borderId="47" xfId="0" applyNumberFormat="1" applyFont="1" applyBorder="1" applyAlignment="1">
      <alignment horizontal="center"/>
    </xf>
    <xf numFmtId="0" fontId="0" fillId="15" borderId="32" xfId="0" applyFont="1" applyFill="1" applyBorder="1" applyAlignment="1">
      <alignment horizontal="center"/>
    </xf>
    <xf numFmtId="166" fontId="0" fillId="15" borderId="0" xfId="0" applyNumberFormat="1" applyFont="1" applyFill="1" applyBorder="1" applyAlignment="1">
      <alignment horizontal="center"/>
    </xf>
    <xf numFmtId="166" fontId="0" fillId="15" borderId="50" xfId="0" applyNumberFormat="1" applyFont="1" applyFill="1" applyBorder="1" applyAlignment="1">
      <alignment horizontal="center"/>
    </xf>
    <xf numFmtId="165" fontId="0" fillId="0" borderId="74" xfId="0" applyNumberFormat="1" applyFont="1" applyBorder="1" applyAlignment="1">
      <alignment horizontal="center"/>
    </xf>
    <xf numFmtId="2" fontId="0" fillId="15" borderId="0" xfId="0" applyNumberFormat="1" applyFont="1" applyFill="1" applyBorder="1" applyAlignment="1">
      <alignment horizontal="center"/>
    </xf>
    <xf numFmtId="2" fontId="0" fillId="15" borderId="50" xfId="0" applyNumberFormat="1" applyFont="1" applyFill="1" applyBorder="1" applyAlignment="1">
      <alignment horizontal="center"/>
    </xf>
    <xf numFmtId="1" fontId="0" fillId="0" borderId="52" xfId="0" applyNumberFormat="1" applyFont="1" applyFill="1" applyBorder="1" applyAlignment="1">
      <alignment horizontal="center"/>
    </xf>
    <xf numFmtId="164" fontId="0" fillId="0" borderId="52" xfId="0" applyNumberFormat="1" applyFont="1" applyFill="1" applyBorder="1" applyAlignment="1">
      <alignment horizontal="right"/>
    </xf>
    <xf numFmtId="0" fontId="0" fillId="0" borderId="54" xfId="0" applyFont="1" applyFill="1" applyBorder="1" applyAlignment="1">
      <alignment/>
    </xf>
    <xf numFmtId="0" fontId="0" fillId="15" borderId="23" xfId="0" applyFont="1" applyFill="1" applyBorder="1" applyAlignment="1">
      <alignment horizontal="center"/>
    </xf>
    <xf numFmtId="2" fontId="0" fillId="15" borderId="75" xfId="0" applyNumberFormat="1" applyFont="1" applyFill="1" applyBorder="1" applyAlignment="1">
      <alignment horizontal="center"/>
    </xf>
    <xf numFmtId="2" fontId="0" fillId="15" borderId="74" xfId="0" applyNumberFormat="1" applyFont="1" applyFill="1" applyBorder="1" applyAlignment="1">
      <alignment horizontal="center"/>
    </xf>
    <xf numFmtId="164" fontId="0" fillId="0" borderId="75" xfId="0" applyNumberFormat="1" applyFont="1" applyFill="1" applyBorder="1" applyAlignment="1">
      <alignment horizontal="right"/>
    </xf>
    <xf numFmtId="164" fontId="0" fillId="0" borderId="74" xfId="0" applyNumberFormat="1" applyFont="1" applyFill="1" applyBorder="1" applyAlignment="1">
      <alignment horizontal="center"/>
    </xf>
    <xf numFmtId="164" fontId="0" fillId="0" borderId="75" xfId="0" applyNumberFormat="1" applyFont="1" applyFill="1" applyBorder="1" applyAlignment="1">
      <alignment/>
    </xf>
    <xf numFmtId="0" fontId="0" fillId="0" borderId="52" xfId="0" applyFont="1" applyBorder="1" applyAlignment="1">
      <alignment/>
    </xf>
    <xf numFmtId="164" fontId="0" fillId="0" borderId="0" xfId="0" applyNumberFormat="1" applyFont="1" applyBorder="1" applyAlignment="1">
      <alignment horizontal="right"/>
    </xf>
    <xf numFmtId="0" fontId="31" fillId="0" borderId="0" xfId="0" applyFont="1" applyFill="1" applyBorder="1" applyAlignment="1">
      <alignment horizontal="left"/>
    </xf>
    <xf numFmtId="0" fontId="0" fillId="0" borderId="74" xfId="0" applyFont="1" applyBorder="1" applyAlignment="1">
      <alignment horizontal="right"/>
    </xf>
    <xf numFmtId="0" fontId="0" fillId="0" borderId="77" xfId="0" applyFont="1" applyFill="1" applyBorder="1" applyAlignment="1">
      <alignment horizontal="center"/>
    </xf>
    <xf numFmtId="0" fontId="0" fillId="0" borderId="47" xfId="0" applyFont="1" applyFill="1" applyBorder="1" applyAlignment="1">
      <alignment horizontal="center"/>
    </xf>
    <xf numFmtId="2" fontId="0" fillId="0" borderId="54" xfId="0" applyNumberFormat="1" applyFont="1" applyFill="1" applyBorder="1" applyAlignment="1">
      <alignment horizontal="center"/>
    </xf>
    <xf numFmtId="168" fontId="0" fillId="0" borderId="0" xfId="0" applyNumberFormat="1" applyFont="1" applyFill="1" applyBorder="1" applyAlignment="1">
      <alignment horizontal="center"/>
    </xf>
    <xf numFmtId="2" fontId="0" fillId="0" borderId="50" xfId="0" applyNumberFormat="1" applyFont="1" applyFill="1" applyBorder="1" applyAlignment="1">
      <alignment horizontal="center"/>
    </xf>
    <xf numFmtId="2" fontId="0" fillId="8" borderId="23" xfId="0" applyNumberFormat="1" applyFont="1" applyFill="1" applyBorder="1" applyAlignment="1">
      <alignment horizontal="center"/>
    </xf>
    <xf numFmtId="2" fontId="0" fillId="0" borderId="78" xfId="0" applyNumberFormat="1" applyFont="1" applyFill="1" applyBorder="1" applyAlignment="1">
      <alignment horizontal="center"/>
    </xf>
    <xf numFmtId="9" fontId="0" fillId="15" borderId="53" xfId="0" applyNumberFormat="1" applyFont="1" applyFill="1" applyBorder="1" applyAlignment="1">
      <alignment horizontal="center"/>
    </xf>
    <xf numFmtId="9" fontId="0" fillId="15" borderId="52" xfId="0" applyNumberFormat="1" applyFont="1" applyFill="1" applyBorder="1" applyAlignment="1">
      <alignment horizontal="center"/>
    </xf>
    <xf numFmtId="9" fontId="0" fillId="15" borderId="54" xfId="0" applyNumberFormat="1" applyFont="1" applyFill="1" applyBorder="1" applyAlignment="1">
      <alignment horizontal="center"/>
    </xf>
    <xf numFmtId="2" fontId="0" fillId="8" borderId="32" xfId="0" applyNumberFormat="1" applyFont="1" applyFill="1" applyBorder="1" applyAlignment="1">
      <alignment horizontal="center"/>
    </xf>
    <xf numFmtId="0" fontId="0" fillId="0" borderId="79" xfId="0" applyFont="1" applyBorder="1" applyAlignment="1">
      <alignment horizontal="center"/>
    </xf>
    <xf numFmtId="0" fontId="0" fillId="0" borderId="24" xfId="0" applyFont="1" applyBorder="1" applyAlignment="1">
      <alignment horizontal="center"/>
    </xf>
    <xf numFmtId="2" fontId="0" fillId="0" borderId="32" xfId="0" applyNumberFormat="1" applyFont="1" applyFill="1" applyBorder="1" applyAlignment="1">
      <alignment horizontal="center"/>
    </xf>
    <xf numFmtId="0" fontId="0" fillId="0" borderId="32" xfId="0" applyFont="1" applyBorder="1" applyAlignment="1">
      <alignment horizontal="left"/>
    </xf>
    <xf numFmtId="164" fontId="0" fillId="0" borderId="79" xfId="0" applyNumberFormat="1" applyFont="1" applyBorder="1" applyAlignment="1">
      <alignment horizontal="center"/>
    </xf>
    <xf numFmtId="164" fontId="0" fillId="0" borderId="24" xfId="0" applyNumberFormat="1" applyFont="1" applyBorder="1" applyAlignment="1">
      <alignment horizontal="center"/>
    </xf>
    <xf numFmtId="1" fontId="0" fillId="0" borderId="80" xfId="0" applyNumberFormat="1" applyFont="1" applyFill="1" applyBorder="1" applyAlignment="1" applyProtection="1">
      <alignment horizontal="center" vertical="center" wrapText="1"/>
      <protection locked="0"/>
    </xf>
    <xf numFmtId="164" fontId="0" fillId="0" borderId="81" xfId="0" applyNumberFormat="1" applyFont="1" applyFill="1" applyBorder="1" applyAlignment="1">
      <alignment horizontal="center" vertical="center"/>
    </xf>
    <xf numFmtId="164" fontId="0" fillId="0" borderId="80" xfId="0" applyNumberFormat="1" applyFont="1" applyFill="1" applyBorder="1" applyAlignment="1">
      <alignment horizontal="center" vertical="center"/>
    </xf>
    <xf numFmtId="164" fontId="0" fillId="0" borderId="80" xfId="0" applyNumberFormat="1" applyFont="1" applyFill="1" applyBorder="1" applyAlignment="1" applyProtection="1">
      <alignment horizontal="center" vertical="center" wrapText="1"/>
      <protection/>
    </xf>
    <xf numFmtId="0" fontId="19" fillId="0" borderId="29" xfId="0" applyFont="1" applyBorder="1" applyAlignment="1" applyProtection="1">
      <alignment horizontal="center" vertical="center"/>
      <protection locked="0"/>
    </xf>
    <xf numFmtId="0" fontId="0" fillId="0" borderId="16" xfId="0" applyFill="1" applyBorder="1" applyAlignment="1">
      <alignment horizontal="center" vertical="center"/>
    </xf>
    <xf numFmtId="0" fontId="32" fillId="0" borderId="82" xfId="0" applyFont="1" applyBorder="1" applyAlignment="1" applyProtection="1">
      <alignment/>
      <protection locked="0"/>
    </xf>
    <xf numFmtId="0" fontId="32" fillId="0" borderId="82" xfId="0" applyFont="1" applyFill="1" applyBorder="1" applyAlignment="1" applyProtection="1">
      <alignment horizontal="center" vertical="center"/>
      <protection locked="0"/>
    </xf>
    <xf numFmtId="0" fontId="32" fillId="0" borderId="82" xfId="0" applyFont="1" applyFill="1" applyBorder="1" applyAlignment="1" applyProtection="1">
      <alignment vertical="center" wrapText="1"/>
      <protection locked="0"/>
    </xf>
    <xf numFmtId="0" fontId="32" fillId="0" borderId="82" xfId="0" applyFont="1" applyBorder="1" applyAlignment="1" applyProtection="1">
      <alignment vertical="center"/>
      <protection locked="0"/>
    </xf>
    <xf numFmtId="0" fontId="32" fillId="0" borderId="82" xfId="0" applyFont="1" applyBorder="1" applyAlignment="1" applyProtection="1">
      <alignment horizontal="center" vertical="center"/>
      <protection locked="0"/>
    </xf>
    <xf numFmtId="0" fontId="32" fillId="0" borderId="83" xfId="0" applyFont="1" applyBorder="1" applyAlignment="1" applyProtection="1">
      <alignment horizontal="center" vertical="center"/>
      <protection locked="0"/>
    </xf>
    <xf numFmtId="0" fontId="0" fillId="0" borderId="73" xfId="0" applyFill="1" applyBorder="1" applyAlignment="1">
      <alignment horizontal="center" vertical="center"/>
    </xf>
    <xf numFmtId="0" fontId="0" fillId="0" borderId="20" xfId="0" applyFill="1" applyBorder="1" applyAlignment="1">
      <alignment horizontal="center" vertical="center"/>
    </xf>
    <xf numFmtId="0" fontId="19" fillId="0" borderId="84"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85" xfId="0" applyFont="1" applyFill="1" applyBorder="1" applyAlignment="1" applyProtection="1">
      <alignment horizontal="left" vertical="center" wrapText="1"/>
      <protection locked="0"/>
    </xf>
    <xf numFmtId="0" fontId="19" fillId="0" borderId="86" xfId="0" applyFont="1" applyFill="1" applyBorder="1" applyAlignment="1" applyProtection="1">
      <alignment horizontal="left" vertical="center" wrapText="1"/>
      <protection locked="0"/>
    </xf>
    <xf numFmtId="0" fontId="19" fillId="0" borderId="87" xfId="0" applyFont="1" applyFill="1" applyBorder="1" applyAlignment="1" applyProtection="1">
      <alignment horizontal="left" vertical="center" wrapText="1"/>
      <protection locked="0"/>
    </xf>
    <xf numFmtId="0" fontId="19" fillId="0" borderId="88" xfId="0" applyFont="1" applyFill="1" applyBorder="1" applyAlignment="1" applyProtection="1">
      <alignment horizontal="left" vertical="center" wrapText="1"/>
      <protection locked="0"/>
    </xf>
    <xf numFmtId="0" fontId="0" fillId="0" borderId="29" xfId="0" applyFill="1" applyBorder="1" applyAlignment="1">
      <alignment horizontal="left" vertical="center"/>
    </xf>
    <xf numFmtId="0" fontId="0" fillId="0" borderId="89" xfId="0" applyFont="1" applyBorder="1" applyAlignment="1">
      <alignment horizontal="left"/>
    </xf>
    <xf numFmtId="0" fontId="0" fillId="0" borderId="20" xfId="0" applyFont="1" applyBorder="1" applyAlignment="1">
      <alignment horizontal="center" vertical="center"/>
    </xf>
    <xf numFmtId="2" fontId="0" fillId="0" borderId="20" xfId="0" applyNumberFormat="1"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18" fillId="0" borderId="90" xfId="0" applyFont="1" applyBorder="1" applyAlignment="1">
      <alignment horizontal="left"/>
    </xf>
    <xf numFmtId="0" fontId="18" fillId="0" borderId="82" xfId="0" applyFont="1" applyBorder="1" applyAlignment="1">
      <alignment horizontal="left"/>
    </xf>
    <xf numFmtId="0" fontId="0" fillId="0" borderId="91" xfId="0" applyFont="1" applyBorder="1" applyAlignment="1">
      <alignment horizontal="left"/>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93"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94" xfId="0" applyFont="1" applyFill="1" applyBorder="1" applyAlignment="1">
      <alignment horizontal="center" vertical="center"/>
    </xf>
    <xf numFmtId="0" fontId="27" fillId="0" borderId="20"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96" xfId="0" applyFont="1" applyFill="1" applyBorder="1" applyAlignment="1">
      <alignment horizontal="center" vertical="center"/>
    </xf>
    <xf numFmtId="0" fontId="24" fillId="0" borderId="12" xfId="0" applyFont="1" applyFill="1" applyBorder="1" applyAlignment="1">
      <alignment horizontal="center" vertical="center"/>
    </xf>
    <xf numFmtId="0" fontId="26" fillId="0" borderId="15" xfId="0" applyFont="1" applyFill="1" applyBorder="1" applyAlignment="1">
      <alignment horizontal="center" vertical="center"/>
    </xf>
    <xf numFmtId="0" fontId="24" fillId="0" borderId="97" xfId="0" applyFont="1" applyFill="1" applyBorder="1" applyAlignment="1">
      <alignment horizontal="center" vertical="center"/>
    </xf>
    <xf numFmtId="0" fontId="27" fillId="0" borderId="73" xfId="0" applyFont="1" applyFill="1" applyBorder="1" applyAlignment="1">
      <alignment horizontal="center" vertical="center" wrapText="1"/>
    </xf>
    <xf numFmtId="0" fontId="29" fillId="0" borderId="98" xfId="0" applyFont="1" applyFill="1" applyBorder="1" applyAlignment="1">
      <alignment horizontal="center" vertical="center"/>
    </xf>
    <xf numFmtId="0" fontId="0" fillId="0" borderId="78"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1" xfId="57"/>
    <cellStyle name="Titre 2" xfId="58"/>
    <cellStyle name="Titre 3" xfId="59"/>
    <cellStyle name="Titre 4" xfId="60"/>
    <cellStyle name="Total" xfId="61"/>
    <cellStyle name="Vérification" xfId="62"/>
  </cellStyles>
  <dxfs count="2">
    <dxf>
      <font>
        <b val="0"/>
        <strike/>
      </font>
    </dxf>
    <dxf>
      <font>
        <b val="0"/>
        <strike/>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D7"/>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1475"/>
          <c:w val="0.98825"/>
          <c:h val="0.98375"/>
        </c:manualLayout>
      </c:layout>
      <c:scatterChart>
        <c:scatterStyle val="lineMarker"/>
        <c:varyColors val="0"/>
        <c:ser>
          <c:idx val="0"/>
          <c:order val="0"/>
          <c:tx>
            <c:v>1</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Calculs!$Y$2:$AD$2</c:f>
              <c:numCache>
                <c:ptCount val="6"/>
                <c:pt idx="0">
                  <c:v>115</c:v>
                </c:pt>
                <c:pt idx="1">
                  <c:v>1130</c:v>
                </c:pt>
                <c:pt idx="2">
                  <c:v>1130</c:v>
                </c:pt>
                <c:pt idx="3">
                  <c:v>1130</c:v>
                </c:pt>
                <c:pt idx="4">
                  <c:v>1130</c:v>
                </c:pt>
                <c:pt idx="5">
                  <c:v>1130</c:v>
                </c:pt>
              </c:numCache>
            </c:numRef>
          </c:xVal>
          <c:yVal>
            <c:numRef>
              <c:f>Calculs!$Y$4:$AD$4</c:f>
              <c:numCache>
                <c:ptCount val="6"/>
                <c:pt idx="0">
                  <c:v>0</c:v>
                </c:pt>
                <c:pt idx="1">
                  <c:v>40</c:v>
                </c:pt>
                <c:pt idx="2">
                  <c:v>40</c:v>
                </c:pt>
                <c:pt idx="3">
                  <c:v>40</c:v>
                </c:pt>
                <c:pt idx="4">
                  <c:v>40</c:v>
                </c:pt>
                <c:pt idx="5">
                  <c:v>40</c:v>
                </c:pt>
              </c:numCache>
            </c:numRef>
          </c:yVal>
          <c:smooth val="0"/>
        </c:ser>
        <c:ser>
          <c:idx val="1"/>
          <c:order val="1"/>
          <c:tx>
            <c:v>2</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Calculs!$Y$3:$AD$3</c:f>
              <c:numCache>
                <c:ptCount val="6"/>
                <c:pt idx="0">
                  <c:v>115</c:v>
                </c:pt>
                <c:pt idx="1">
                  <c:v>1130</c:v>
                </c:pt>
                <c:pt idx="2">
                  <c:v>1130</c:v>
                </c:pt>
                <c:pt idx="3">
                  <c:v>1130</c:v>
                </c:pt>
                <c:pt idx="4">
                  <c:v>1130</c:v>
                </c:pt>
                <c:pt idx="5">
                  <c:v>1130</c:v>
                </c:pt>
              </c:numCache>
            </c:numRef>
          </c:xVal>
          <c:yVal>
            <c:numRef>
              <c:f>Calculs!$Y$5:$AD$5</c:f>
              <c:numCache>
                <c:ptCount val="6"/>
                <c:pt idx="0">
                  <c:v>560</c:v>
                </c:pt>
                <c:pt idx="1">
                  <c:v>315</c:v>
                </c:pt>
                <c:pt idx="2">
                  <c:v>315</c:v>
                </c:pt>
                <c:pt idx="3">
                  <c:v>315</c:v>
                </c:pt>
                <c:pt idx="4">
                  <c:v>315</c:v>
                </c:pt>
                <c:pt idx="5">
                  <c:v>315</c:v>
                </c:pt>
              </c:numCache>
            </c:numRef>
          </c:yVal>
          <c:smooth val="0"/>
        </c:ser>
        <c:ser>
          <c:idx val="2"/>
          <c:order val="2"/>
          <c:tx>
            <c:v>3</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Calculs!$Z$2:$Z$3</c:f>
              <c:numCache>
                <c:ptCount val="2"/>
                <c:pt idx="0">
                  <c:v>1130</c:v>
                </c:pt>
                <c:pt idx="1">
                  <c:v>1130</c:v>
                </c:pt>
              </c:numCache>
            </c:numRef>
          </c:xVal>
          <c:yVal>
            <c:numRef>
              <c:f>Calculs!$Z$4:$Z$5</c:f>
              <c:numCache>
                <c:ptCount val="2"/>
                <c:pt idx="0">
                  <c:v>40</c:v>
                </c:pt>
                <c:pt idx="1">
                  <c:v>315</c:v>
                </c:pt>
              </c:numCache>
            </c:numRef>
          </c:yVal>
          <c:smooth val="0"/>
        </c:ser>
        <c:ser>
          <c:idx val="3"/>
          <c:order val="3"/>
          <c:tx>
            <c:v>4</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Calculs!$AA$2:$AA$3</c:f>
              <c:numCache>
                <c:ptCount val="2"/>
                <c:pt idx="0">
                  <c:v>1130</c:v>
                </c:pt>
                <c:pt idx="1">
                  <c:v>1130</c:v>
                </c:pt>
              </c:numCache>
            </c:numRef>
          </c:xVal>
          <c:yVal>
            <c:numRef>
              <c:f>Calculs!$AA$4:$AA$5</c:f>
              <c:numCache>
                <c:ptCount val="2"/>
                <c:pt idx="0">
                  <c:v>40</c:v>
                </c:pt>
                <c:pt idx="1">
                  <c:v>315</c:v>
                </c:pt>
              </c:numCache>
            </c:numRef>
          </c:yVal>
          <c:smooth val="0"/>
        </c:ser>
        <c:ser>
          <c:idx val="4"/>
          <c:order val="4"/>
          <c:tx>
            <c:v>5</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Calculs!$AB$2:$AB$3</c:f>
              <c:numCache>
                <c:ptCount val="2"/>
                <c:pt idx="0">
                  <c:v>1130</c:v>
                </c:pt>
                <c:pt idx="1">
                  <c:v>1130</c:v>
                </c:pt>
              </c:numCache>
            </c:numRef>
          </c:xVal>
          <c:yVal>
            <c:numRef>
              <c:f>Calculs!$AB$4:$AB$5</c:f>
              <c:numCache>
                <c:ptCount val="2"/>
                <c:pt idx="0">
                  <c:v>40</c:v>
                </c:pt>
                <c:pt idx="1">
                  <c:v>315</c:v>
                </c:pt>
              </c:numCache>
            </c:numRef>
          </c:yVal>
          <c:smooth val="0"/>
        </c:ser>
        <c:ser>
          <c:idx val="5"/>
          <c:order val="5"/>
          <c:tx>
            <c:v>6</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Calculs!$AC$2:$AC$3</c:f>
              <c:numCache>
                <c:ptCount val="2"/>
                <c:pt idx="0">
                  <c:v>1130</c:v>
                </c:pt>
                <c:pt idx="1">
                  <c:v>1130</c:v>
                </c:pt>
              </c:numCache>
            </c:numRef>
          </c:xVal>
          <c:yVal>
            <c:numRef>
              <c:f>Calculs!$AC$4:$AC$5</c:f>
              <c:numCache>
                <c:ptCount val="2"/>
                <c:pt idx="0">
                  <c:v>40</c:v>
                </c:pt>
                <c:pt idx="1">
                  <c:v>315</c:v>
                </c:pt>
              </c:numCache>
            </c:numRef>
          </c:yVal>
          <c:smooth val="0"/>
        </c:ser>
        <c:ser>
          <c:idx val="6"/>
          <c:order val="6"/>
          <c:tx>
            <c:v>7</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Calculs!$AD$2:$AD$3</c:f>
              <c:numCache>
                <c:ptCount val="2"/>
                <c:pt idx="0">
                  <c:v>1130</c:v>
                </c:pt>
                <c:pt idx="1">
                  <c:v>1130</c:v>
                </c:pt>
              </c:numCache>
            </c:numRef>
          </c:xVal>
          <c:yVal>
            <c:numRef>
              <c:f>Calculs!$AD$4:$AD$5</c:f>
              <c:numCache>
                <c:ptCount val="2"/>
                <c:pt idx="0">
                  <c:v>40</c:v>
                </c:pt>
                <c:pt idx="1">
                  <c:v>315</c:v>
                </c:pt>
              </c:numCache>
            </c:numRef>
          </c:yVal>
          <c:smooth val="0"/>
        </c:ser>
        <c:ser>
          <c:idx val="7"/>
          <c:order val="7"/>
          <c:tx>
            <c:v>8</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Calculs!$Y$8:$AD$8</c:f>
              <c:numCache>
                <c:ptCount val="6"/>
                <c:pt idx="0">
                  <c:v>10</c:v>
                </c:pt>
                <c:pt idx="1">
                  <c:v>400</c:v>
                </c:pt>
                <c:pt idx="2">
                  <c:v>400</c:v>
                </c:pt>
                <c:pt idx="3">
                  <c:v>400</c:v>
                </c:pt>
                <c:pt idx="4">
                  <c:v>400</c:v>
                </c:pt>
                <c:pt idx="5">
                  <c:v>400</c:v>
                </c:pt>
              </c:numCache>
            </c:numRef>
          </c:xVal>
          <c:yVal>
            <c:numRef>
              <c:f>Calculs!$Y$10:$AD$10</c:f>
              <c:numCache>
                <c:ptCount val="6"/>
                <c:pt idx="0">
                  <c:v>1120</c:v>
                </c:pt>
                <c:pt idx="1">
                  <c:v>1160</c:v>
                </c:pt>
                <c:pt idx="2">
                  <c:v>1160</c:v>
                </c:pt>
                <c:pt idx="3">
                  <c:v>1160</c:v>
                </c:pt>
                <c:pt idx="4">
                  <c:v>1160</c:v>
                </c:pt>
                <c:pt idx="5">
                  <c:v>1160</c:v>
                </c:pt>
              </c:numCache>
            </c:numRef>
          </c:yVal>
          <c:smooth val="0"/>
        </c:ser>
        <c:ser>
          <c:idx val="8"/>
          <c:order val="8"/>
          <c:tx>
            <c:v>9</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Calculs!$Y$9:$AD$9</c:f>
              <c:numCache>
                <c:ptCount val="6"/>
                <c:pt idx="0">
                  <c:v>10</c:v>
                </c:pt>
                <c:pt idx="1">
                  <c:v>400</c:v>
                </c:pt>
                <c:pt idx="2">
                  <c:v>400</c:v>
                </c:pt>
                <c:pt idx="3">
                  <c:v>400</c:v>
                </c:pt>
                <c:pt idx="4">
                  <c:v>400</c:v>
                </c:pt>
                <c:pt idx="5">
                  <c:v>400</c:v>
                </c:pt>
              </c:numCache>
            </c:numRef>
          </c:xVal>
          <c:yVal>
            <c:numRef>
              <c:f>Calculs!$Y$11:$AD$11</c:f>
              <c:numCache>
                <c:ptCount val="6"/>
                <c:pt idx="0">
                  <c:v>1440</c:v>
                </c:pt>
                <c:pt idx="1">
                  <c:v>1390</c:v>
                </c:pt>
                <c:pt idx="2">
                  <c:v>1390</c:v>
                </c:pt>
                <c:pt idx="3">
                  <c:v>1390</c:v>
                </c:pt>
                <c:pt idx="4">
                  <c:v>1390</c:v>
                </c:pt>
                <c:pt idx="5">
                  <c:v>1390</c:v>
                </c:pt>
              </c:numCache>
            </c:numRef>
          </c:yVal>
          <c:smooth val="0"/>
        </c:ser>
        <c:ser>
          <c:idx val="9"/>
          <c:order val="9"/>
          <c:tx>
            <c:v>10</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Calculs!$Z$8:$Z$9</c:f>
              <c:numCache>
                <c:ptCount val="2"/>
                <c:pt idx="0">
                  <c:v>400</c:v>
                </c:pt>
                <c:pt idx="1">
                  <c:v>400</c:v>
                </c:pt>
              </c:numCache>
            </c:numRef>
          </c:xVal>
          <c:yVal>
            <c:numRef>
              <c:f>Calculs!$Z$10:$Z$11</c:f>
              <c:numCache>
                <c:ptCount val="2"/>
                <c:pt idx="0">
                  <c:v>1160</c:v>
                </c:pt>
                <c:pt idx="1">
                  <c:v>1390</c:v>
                </c:pt>
              </c:numCache>
            </c:numRef>
          </c:yVal>
          <c:smooth val="0"/>
        </c:ser>
        <c:ser>
          <c:idx val="10"/>
          <c:order val="10"/>
          <c:tx>
            <c:v>11</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Calculs!$AA$8:$AA$9</c:f>
              <c:numCache>
                <c:ptCount val="2"/>
                <c:pt idx="0">
                  <c:v>400</c:v>
                </c:pt>
                <c:pt idx="1">
                  <c:v>400</c:v>
                </c:pt>
              </c:numCache>
            </c:numRef>
          </c:xVal>
          <c:yVal>
            <c:numRef>
              <c:f>Calculs!$AA$10:$AA$11</c:f>
              <c:numCache>
                <c:ptCount val="2"/>
                <c:pt idx="0">
                  <c:v>1160</c:v>
                </c:pt>
                <c:pt idx="1">
                  <c:v>1390</c:v>
                </c:pt>
              </c:numCache>
            </c:numRef>
          </c:yVal>
          <c:smooth val="0"/>
        </c:ser>
        <c:ser>
          <c:idx val="11"/>
          <c:order val="11"/>
          <c:tx>
            <c:v>12</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Calculs!$AB$8:$AB$9</c:f>
              <c:numCache>
                <c:ptCount val="2"/>
                <c:pt idx="0">
                  <c:v>400</c:v>
                </c:pt>
                <c:pt idx="1">
                  <c:v>400</c:v>
                </c:pt>
              </c:numCache>
            </c:numRef>
          </c:xVal>
          <c:yVal>
            <c:numRef>
              <c:f>Calculs!$AB$10:$AB$11</c:f>
              <c:numCache>
                <c:ptCount val="2"/>
                <c:pt idx="0">
                  <c:v>1160</c:v>
                </c:pt>
                <c:pt idx="1">
                  <c:v>1390</c:v>
                </c:pt>
              </c:numCache>
            </c:numRef>
          </c:yVal>
          <c:smooth val="0"/>
        </c:ser>
        <c:ser>
          <c:idx val="12"/>
          <c:order val="12"/>
          <c:tx>
            <c:v>13</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Calculs!$AC$8:$AC$9</c:f>
              <c:numCache>
                <c:ptCount val="2"/>
                <c:pt idx="0">
                  <c:v>400</c:v>
                </c:pt>
                <c:pt idx="1">
                  <c:v>400</c:v>
                </c:pt>
              </c:numCache>
            </c:numRef>
          </c:xVal>
          <c:yVal>
            <c:numRef>
              <c:f>Calculs!$AC$10:$AC$11</c:f>
              <c:numCache>
                <c:ptCount val="2"/>
                <c:pt idx="0">
                  <c:v>1160</c:v>
                </c:pt>
                <c:pt idx="1">
                  <c:v>1390</c:v>
                </c:pt>
              </c:numCache>
            </c:numRef>
          </c:yVal>
          <c:smooth val="0"/>
        </c:ser>
        <c:ser>
          <c:idx val="13"/>
          <c:order val="13"/>
          <c:tx>
            <c:v>14</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Calculs!$AD$8:$AD$9</c:f>
              <c:numCache>
                <c:ptCount val="2"/>
                <c:pt idx="0">
                  <c:v>400</c:v>
                </c:pt>
                <c:pt idx="1">
                  <c:v>400</c:v>
                </c:pt>
              </c:numCache>
            </c:numRef>
          </c:xVal>
          <c:yVal>
            <c:numRef>
              <c:f>Calculs!$AD$10:$AD$11</c:f>
              <c:numCache>
                <c:ptCount val="2"/>
                <c:pt idx="0">
                  <c:v>1160</c:v>
                </c:pt>
                <c:pt idx="1">
                  <c:v>1390</c:v>
                </c:pt>
              </c:numCache>
            </c:numRef>
          </c:yVal>
          <c:smooth val="0"/>
        </c:ser>
        <c:ser>
          <c:idx val="14"/>
          <c:order val="14"/>
          <c:tx>
            <c:v>15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Calculs!$V$15</c:f>
              <c:numCache>
                <c:ptCount val="1"/>
                <c:pt idx="0">
                  <c:v>0</c:v>
                </c:pt>
              </c:numCache>
            </c:numRef>
          </c:xVal>
          <c:yVal>
            <c:numRef>
              <c:f>Calculs!$V$16</c:f>
              <c:numCache>
                <c:ptCount val="1"/>
                <c:pt idx="0">
                  <c:v>126.15269461077843</c:v>
                </c:pt>
              </c:numCache>
            </c:numRef>
          </c:yVal>
          <c:smooth val="1"/>
        </c:ser>
        <c:ser>
          <c:idx val="15"/>
          <c:order val="15"/>
          <c:tx>
            <c:v>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00"/>
              </a:solidFill>
              <a:ln>
                <a:solidFill>
                  <a:srgbClr val="00FF00"/>
                </a:solidFill>
              </a:ln>
            </c:spPr>
          </c:marker>
          <c:xVal>
            <c:numRef>
              <c:f>Calculs!$Y$15</c:f>
              <c:numCache>
                <c:ptCount val="1"/>
                <c:pt idx="0">
                  <c:v>0</c:v>
                </c:pt>
              </c:numCache>
            </c:numRef>
          </c:xVal>
          <c:yVal>
            <c:numRef>
              <c:f>Calculs!$Y$16</c:f>
              <c:numCache>
                <c:ptCount val="1"/>
                <c:pt idx="0">
                  <c:v>1208.2727272727273</c:v>
                </c:pt>
              </c:numCache>
            </c:numRef>
          </c:yVal>
          <c:smooth val="1"/>
        </c:ser>
        <c:ser>
          <c:idx val="16"/>
          <c:order val="16"/>
          <c:tx>
            <c:v>17</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Calculs!$W$2:$W$3</c:f>
              <c:numCache>
                <c:ptCount val="2"/>
                <c:pt idx="0">
                  <c:v>-1130</c:v>
                </c:pt>
                <c:pt idx="1">
                  <c:v>-1130</c:v>
                </c:pt>
              </c:numCache>
            </c:numRef>
          </c:xVal>
          <c:yVal>
            <c:numRef>
              <c:f>Calculs!$W$4:$W$5</c:f>
              <c:numCache>
                <c:ptCount val="2"/>
                <c:pt idx="0">
                  <c:v>40</c:v>
                </c:pt>
                <c:pt idx="1">
                  <c:v>315</c:v>
                </c:pt>
              </c:numCache>
            </c:numRef>
          </c:yVal>
          <c:smooth val="0"/>
        </c:ser>
        <c:ser>
          <c:idx val="17"/>
          <c:order val="17"/>
          <c:tx>
            <c:v>18</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Calculs!$V$2:$V$3</c:f>
              <c:numCache>
                <c:ptCount val="2"/>
                <c:pt idx="0">
                  <c:v>-1130</c:v>
                </c:pt>
                <c:pt idx="1">
                  <c:v>-1130</c:v>
                </c:pt>
              </c:numCache>
            </c:numRef>
          </c:xVal>
          <c:yVal>
            <c:numRef>
              <c:f>Calculs!$V$4:$V$5</c:f>
              <c:numCache>
                <c:ptCount val="2"/>
                <c:pt idx="0">
                  <c:v>40</c:v>
                </c:pt>
                <c:pt idx="1">
                  <c:v>315</c:v>
                </c:pt>
              </c:numCache>
            </c:numRef>
          </c:yVal>
          <c:smooth val="0"/>
        </c:ser>
        <c:ser>
          <c:idx val="18"/>
          <c:order val="18"/>
          <c:tx>
            <c:v>19</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Calculs!$U$2:$U$3</c:f>
              <c:numCache>
                <c:ptCount val="2"/>
                <c:pt idx="0">
                  <c:v>-1130</c:v>
                </c:pt>
                <c:pt idx="1">
                  <c:v>-1130</c:v>
                </c:pt>
              </c:numCache>
            </c:numRef>
          </c:xVal>
          <c:yVal>
            <c:numRef>
              <c:f>Calculs!$U$4:$U$5</c:f>
              <c:numCache>
                <c:ptCount val="2"/>
                <c:pt idx="0">
                  <c:v>40</c:v>
                </c:pt>
                <c:pt idx="1">
                  <c:v>315</c:v>
                </c:pt>
              </c:numCache>
            </c:numRef>
          </c:yVal>
          <c:smooth val="0"/>
        </c:ser>
        <c:ser>
          <c:idx val="19"/>
          <c:order val="19"/>
          <c:tx>
            <c:v>20</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Calculs!$T$2:$T$3</c:f>
              <c:numCache>
                <c:ptCount val="2"/>
                <c:pt idx="0">
                  <c:v>-1130</c:v>
                </c:pt>
                <c:pt idx="1">
                  <c:v>-1130</c:v>
                </c:pt>
              </c:numCache>
            </c:numRef>
          </c:xVal>
          <c:yVal>
            <c:numRef>
              <c:f>Calculs!$T$4:$T$5</c:f>
              <c:numCache>
                <c:ptCount val="2"/>
                <c:pt idx="0">
                  <c:v>40</c:v>
                </c:pt>
                <c:pt idx="1">
                  <c:v>315</c:v>
                </c:pt>
              </c:numCache>
            </c:numRef>
          </c:yVal>
          <c:smooth val="0"/>
        </c:ser>
        <c:ser>
          <c:idx val="20"/>
          <c:order val="20"/>
          <c:tx>
            <c:v>21</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Calculs!$S$2:$S$3</c:f>
              <c:numCache>
                <c:ptCount val="2"/>
                <c:pt idx="0">
                  <c:v>-1130</c:v>
                </c:pt>
                <c:pt idx="1">
                  <c:v>-1130</c:v>
                </c:pt>
              </c:numCache>
            </c:numRef>
          </c:xVal>
          <c:yVal>
            <c:numRef>
              <c:f>Calculs!$S$4:$S$5</c:f>
              <c:numCache>
                <c:ptCount val="2"/>
                <c:pt idx="0">
                  <c:v>40</c:v>
                </c:pt>
                <c:pt idx="1">
                  <c:v>315</c:v>
                </c:pt>
              </c:numCache>
            </c:numRef>
          </c:yVal>
          <c:smooth val="0"/>
        </c:ser>
        <c:ser>
          <c:idx val="21"/>
          <c:order val="21"/>
          <c:tx>
            <c:v>22</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Calculs!$W$8:$W$9</c:f>
              <c:numCache>
                <c:ptCount val="2"/>
                <c:pt idx="0">
                  <c:v>-400</c:v>
                </c:pt>
                <c:pt idx="1">
                  <c:v>-400</c:v>
                </c:pt>
              </c:numCache>
            </c:numRef>
          </c:xVal>
          <c:yVal>
            <c:numRef>
              <c:f>Calculs!$W$10:$W$11</c:f>
              <c:numCache>
                <c:ptCount val="2"/>
                <c:pt idx="0">
                  <c:v>1160</c:v>
                </c:pt>
                <c:pt idx="1">
                  <c:v>1390</c:v>
                </c:pt>
              </c:numCache>
            </c:numRef>
          </c:yVal>
          <c:smooth val="1"/>
        </c:ser>
        <c:ser>
          <c:idx val="22"/>
          <c:order val="22"/>
          <c:tx>
            <c:v>23</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Calculs!$V$8:$V$9</c:f>
              <c:numCache>
                <c:ptCount val="2"/>
                <c:pt idx="0">
                  <c:v>-400</c:v>
                </c:pt>
                <c:pt idx="1">
                  <c:v>-400</c:v>
                </c:pt>
              </c:numCache>
            </c:numRef>
          </c:xVal>
          <c:yVal>
            <c:numRef>
              <c:f>Calculs!$V$10:$V$11</c:f>
              <c:numCache>
                <c:ptCount val="2"/>
                <c:pt idx="0">
                  <c:v>1160</c:v>
                </c:pt>
                <c:pt idx="1">
                  <c:v>1390</c:v>
                </c:pt>
              </c:numCache>
            </c:numRef>
          </c:yVal>
          <c:smooth val="0"/>
        </c:ser>
        <c:ser>
          <c:idx val="23"/>
          <c:order val="23"/>
          <c:tx>
            <c:v>24</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Calculs!$U$8:$U$9</c:f>
              <c:numCache>
                <c:ptCount val="2"/>
                <c:pt idx="0">
                  <c:v>-400</c:v>
                </c:pt>
                <c:pt idx="1">
                  <c:v>-400</c:v>
                </c:pt>
              </c:numCache>
            </c:numRef>
          </c:xVal>
          <c:yVal>
            <c:numRef>
              <c:f>Calculs!$U$10:$U$11</c:f>
              <c:numCache>
                <c:ptCount val="2"/>
                <c:pt idx="0">
                  <c:v>1160</c:v>
                </c:pt>
                <c:pt idx="1">
                  <c:v>1390</c:v>
                </c:pt>
              </c:numCache>
            </c:numRef>
          </c:yVal>
          <c:smooth val="0"/>
        </c:ser>
        <c:ser>
          <c:idx val="24"/>
          <c:order val="24"/>
          <c:tx>
            <c:v>25</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Calculs!$T$8:$T$9</c:f>
              <c:numCache>
                <c:ptCount val="2"/>
                <c:pt idx="0">
                  <c:v>-400</c:v>
                </c:pt>
                <c:pt idx="1">
                  <c:v>-400</c:v>
                </c:pt>
              </c:numCache>
            </c:numRef>
          </c:xVal>
          <c:yVal>
            <c:numRef>
              <c:f>Calculs!$T$10:$T$11</c:f>
              <c:numCache>
                <c:ptCount val="2"/>
                <c:pt idx="0">
                  <c:v>1160</c:v>
                </c:pt>
                <c:pt idx="1">
                  <c:v>1390</c:v>
                </c:pt>
              </c:numCache>
            </c:numRef>
          </c:yVal>
          <c:smooth val="0"/>
        </c:ser>
        <c:ser>
          <c:idx val="25"/>
          <c:order val="25"/>
          <c:tx>
            <c:v>26</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Calculs!$S$8:$S$9</c:f>
              <c:numCache>
                <c:ptCount val="2"/>
                <c:pt idx="0">
                  <c:v>-400</c:v>
                </c:pt>
                <c:pt idx="1">
                  <c:v>-400</c:v>
                </c:pt>
              </c:numCache>
            </c:numRef>
          </c:xVal>
          <c:yVal>
            <c:numRef>
              <c:f>Calculs!$S$10:$S$11</c:f>
              <c:numCache>
                <c:ptCount val="2"/>
                <c:pt idx="0">
                  <c:v>1160</c:v>
                </c:pt>
                <c:pt idx="1">
                  <c:v>1390</c:v>
                </c:pt>
              </c:numCache>
            </c:numRef>
          </c:yVal>
          <c:smooth val="0"/>
        </c:ser>
        <c:ser>
          <c:idx val="26"/>
          <c:order val="26"/>
          <c:tx>
            <c:v>27</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Calculs!$U$25:$U$34</c:f>
              <c:numCache>
                <c:ptCount val="10"/>
                <c:pt idx="0">
                  <c:v>0</c:v>
                </c:pt>
                <c:pt idx="1">
                  <c:v>-46</c:v>
                </c:pt>
                <c:pt idx="2">
                  <c:v>-63.25000000000001</c:v>
                </c:pt>
                <c:pt idx="3">
                  <c:v>-92</c:v>
                </c:pt>
                <c:pt idx="4">
                  <c:v>-111.55</c:v>
                </c:pt>
                <c:pt idx="5">
                  <c:v>-115</c:v>
                </c:pt>
                <c:pt idx="6">
                  <c:v>-115</c:v>
                </c:pt>
                <c:pt idx="7">
                  <c:v>-81.9375</c:v>
                </c:pt>
                <c:pt idx="8">
                  <c:v>-28.750000000000007</c:v>
                </c:pt>
                <c:pt idx="9">
                  <c:v>-5.75</c:v>
                </c:pt>
              </c:numCache>
            </c:numRef>
          </c:xVal>
          <c:yVal>
            <c:numRef>
              <c:f>Calculs!$V$25:$V$34</c:f>
              <c:numCache>
                <c:ptCount val="10"/>
                <c:pt idx="0">
                  <c:v>-420</c:v>
                </c:pt>
                <c:pt idx="1">
                  <c:v>-378</c:v>
                </c:pt>
                <c:pt idx="2">
                  <c:v>-336</c:v>
                </c:pt>
                <c:pt idx="3">
                  <c:v>-252</c:v>
                </c:pt>
                <c:pt idx="4">
                  <c:v>-126</c:v>
                </c:pt>
                <c:pt idx="5">
                  <c:v>0</c:v>
                </c:pt>
                <c:pt idx="6">
                  <c:v>280</c:v>
                </c:pt>
                <c:pt idx="7">
                  <c:v>604</c:v>
                </c:pt>
                <c:pt idx="8">
                  <c:v>1587.6</c:v>
                </c:pt>
                <c:pt idx="9">
                  <c:v>1620</c:v>
                </c:pt>
              </c:numCache>
            </c:numRef>
          </c:yVal>
          <c:smooth val="0"/>
        </c:ser>
        <c:ser>
          <c:idx val="27"/>
          <c:order val="27"/>
          <c:tx>
            <c:v>28</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Calculs!$W$25:$W$34</c:f>
              <c:numCache>
                <c:ptCount val="10"/>
                <c:pt idx="0">
                  <c:v>0</c:v>
                </c:pt>
                <c:pt idx="1">
                  <c:v>46</c:v>
                </c:pt>
                <c:pt idx="2">
                  <c:v>63.25000000000001</c:v>
                </c:pt>
                <c:pt idx="3">
                  <c:v>92</c:v>
                </c:pt>
                <c:pt idx="4">
                  <c:v>111.55</c:v>
                </c:pt>
                <c:pt idx="5">
                  <c:v>115</c:v>
                </c:pt>
                <c:pt idx="6">
                  <c:v>115</c:v>
                </c:pt>
                <c:pt idx="7">
                  <c:v>81.9375</c:v>
                </c:pt>
                <c:pt idx="8">
                  <c:v>28.750000000000007</c:v>
                </c:pt>
                <c:pt idx="9">
                  <c:v>5.75</c:v>
                </c:pt>
              </c:numCache>
            </c:numRef>
          </c:xVal>
          <c:yVal>
            <c:numRef>
              <c:f>Calculs!$V$25:$V$34</c:f>
              <c:numCache>
                <c:ptCount val="10"/>
                <c:pt idx="0">
                  <c:v>-420</c:v>
                </c:pt>
                <c:pt idx="1">
                  <c:v>-378</c:v>
                </c:pt>
                <c:pt idx="2">
                  <c:v>-336</c:v>
                </c:pt>
                <c:pt idx="3">
                  <c:v>-252</c:v>
                </c:pt>
                <c:pt idx="4">
                  <c:v>-126</c:v>
                </c:pt>
                <c:pt idx="5">
                  <c:v>0</c:v>
                </c:pt>
                <c:pt idx="6">
                  <c:v>280</c:v>
                </c:pt>
                <c:pt idx="7">
                  <c:v>604</c:v>
                </c:pt>
                <c:pt idx="8">
                  <c:v>1587.6</c:v>
                </c:pt>
                <c:pt idx="9">
                  <c:v>1620</c:v>
                </c:pt>
              </c:numCache>
            </c:numRef>
          </c:yVal>
          <c:smooth val="0"/>
        </c:ser>
        <c:ser>
          <c:idx val="28"/>
          <c:order val="28"/>
          <c:tx>
            <c:v>29</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Calculs!$S$2:$X$2</c:f>
              <c:numCache>
                <c:ptCount val="6"/>
                <c:pt idx="0">
                  <c:v>-1130</c:v>
                </c:pt>
                <c:pt idx="1">
                  <c:v>-1130</c:v>
                </c:pt>
                <c:pt idx="2">
                  <c:v>-1130</c:v>
                </c:pt>
                <c:pt idx="3">
                  <c:v>-1130</c:v>
                </c:pt>
                <c:pt idx="4">
                  <c:v>-1130</c:v>
                </c:pt>
                <c:pt idx="5">
                  <c:v>-115</c:v>
                </c:pt>
              </c:numCache>
            </c:numRef>
          </c:xVal>
          <c:yVal>
            <c:numRef>
              <c:f>Calculs!$S$4:$X$4</c:f>
              <c:numCache>
                <c:ptCount val="6"/>
                <c:pt idx="0">
                  <c:v>40</c:v>
                </c:pt>
                <c:pt idx="1">
                  <c:v>40</c:v>
                </c:pt>
                <c:pt idx="2">
                  <c:v>40</c:v>
                </c:pt>
                <c:pt idx="3">
                  <c:v>40</c:v>
                </c:pt>
                <c:pt idx="4">
                  <c:v>40</c:v>
                </c:pt>
                <c:pt idx="5">
                  <c:v>0</c:v>
                </c:pt>
              </c:numCache>
            </c:numRef>
          </c:yVal>
          <c:smooth val="0"/>
        </c:ser>
        <c:ser>
          <c:idx val="29"/>
          <c:order val="29"/>
          <c:tx>
            <c:v>30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Calculs!$S$3:$X$3</c:f>
              <c:numCache>
                <c:ptCount val="6"/>
                <c:pt idx="0">
                  <c:v>-1130</c:v>
                </c:pt>
                <c:pt idx="1">
                  <c:v>-1130</c:v>
                </c:pt>
                <c:pt idx="2">
                  <c:v>-1130</c:v>
                </c:pt>
                <c:pt idx="3">
                  <c:v>-1130</c:v>
                </c:pt>
                <c:pt idx="4">
                  <c:v>-1130</c:v>
                </c:pt>
                <c:pt idx="5">
                  <c:v>-115</c:v>
                </c:pt>
              </c:numCache>
            </c:numRef>
          </c:xVal>
          <c:yVal>
            <c:numRef>
              <c:f>Calculs!$S$5:$X$5</c:f>
              <c:numCache>
                <c:ptCount val="6"/>
                <c:pt idx="0">
                  <c:v>315</c:v>
                </c:pt>
                <c:pt idx="1">
                  <c:v>315</c:v>
                </c:pt>
                <c:pt idx="2">
                  <c:v>315</c:v>
                </c:pt>
                <c:pt idx="3">
                  <c:v>315</c:v>
                </c:pt>
                <c:pt idx="4">
                  <c:v>315</c:v>
                </c:pt>
                <c:pt idx="5">
                  <c:v>560</c:v>
                </c:pt>
              </c:numCache>
            </c:numRef>
          </c:yVal>
          <c:smooth val="0"/>
        </c:ser>
        <c:ser>
          <c:idx val="30"/>
          <c:order val="30"/>
          <c:tx>
            <c:v>31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8080"/>
              </a:solidFill>
              <a:ln>
                <a:solidFill>
                  <a:srgbClr val="FF8080"/>
                </a:solidFill>
              </a:ln>
            </c:spPr>
          </c:marker>
          <c:xVal>
            <c:numRef>
              <c:f>Calculs!$X$15</c:f>
              <c:numCache>
                <c:ptCount val="1"/>
                <c:pt idx="0">
                  <c:v>0</c:v>
                </c:pt>
              </c:numCache>
            </c:numRef>
          </c:xVal>
          <c:yVal>
            <c:numRef>
              <c:f>Calculs!$X$16</c:f>
              <c:numCache>
                <c:ptCount val="1"/>
                <c:pt idx="0">
                  <c:v>-12</c:v>
                </c:pt>
              </c:numCache>
            </c:numRef>
          </c:yVal>
          <c:smooth val="1"/>
        </c:ser>
        <c:ser>
          <c:idx val="31"/>
          <c:order val="31"/>
          <c:tx>
            <c:v>32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00"/>
              </a:solidFill>
              <a:ln>
                <a:solidFill>
                  <a:srgbClr val="000000"/>
                </a:solidFill>
              </a:ln>
            </c:spPr>
          </c:marker>
          <c:xVal>
            <c:numRef>
              <c:f>Calculs!$W$15</c:f>
              <c:numCache>
                <c:ptCount val="1"/>
                <c:pt idx="0">
                  <c:v>0</c:v>
                </c:pt>
              </c:numCache>
            </c:numRef>
          </c:xVal>
          <c:yVal>
            <c:numRef>
              <c:f>Calculs!$W$16</c:f>
              <c:numCache>
                <c:ptCount val="1"/>
                <c:pt idx="0">
                  <c:v>151.2369170787594</c:v>
                </c:pt>
              </c:numCache>
            </c:numRef>
          </c:yVal>
          <c:smooth val="1"/>
        </c:ser>
        <c:ser>
          <c:idx val="32"/>
          <c:order val="32"/>
          <c:tx>
            <c:v>33</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Calculs!$S$8:$X$8</c:f>
              <c:numCache>
                <c:ptCount val="6"/>
                <c:pt idx="0">
                  <c:v>-400</c:v>
                </c:pt>
                <c:pt idx="1">
                  <c:v>-400</c:v>
                </c:pt>
                <c:pt idx="2">
                  <c:v>-400</c:v>
                </c:pt>
                <c:pt idx="3">
                  <c:v>-400</c:v>
                </c:pt>
                <c:pt idx="4">
                  <c:v>-400</c:v>
                </c:pt>
                <c:pt idx="5">
                  <c:v>-10</c:v>
                </c:pt>
              </c:numCache>
            </c:numRef>
          </c:xVal>
          <c:yVal>
            <c:numRef>
              <c:f>Calculs!$S$10:$X$10</c:f>
              <c:numCache>
                <c:ptCount val="6"/>
                <c:pt idx="0">
                  <c:v>1160</c:v>
                </c:pt>
                <c:pt idx="1">
                  <c:v>1160</c:v>
                </c:pt>
                <c:pt idx="2">
                  <c:v>1160</c:v>
                </c:pt>
                <c:pt idx="3">
                  <c:v>1160</c:v>
                </c:pt>
                <c:pt idx="4">
                  <c:v>1160</c:v>
                </c:pt>
                <c:pt idx="5">
                  <c:v>1120</c:v>
                </c:pt>
              </c:numCache>
            </c:numRef>
          </c:yVal>
          <c:smooth val="0"/>
        </c:ser>
        <c:ser>
          <c:idx val="33"/>
          <c:order val="33"/>
          <c:tx>
            <c:v>34</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Calculs!$S$9:$X$9</c:f>
              <c:numCache>
                <c:ptCount val="6"/>
                <c:pt idx="0">
                  <c:v>-400</c:v>
                </c:pt>
                <c:pt idx="1">
                  <c:v>-400</c:v>
                </c:pt>
                <c:pt idx="2">
                  <c:v>-400</c:v>
                </c:pt>
                <c:pt idx="3">
                  <c:v>-400</c:v>
                </c:pt>
                <c:pt idx="4">
                  <c:v>-400</c:v>
                </c:pt>
                <c:pt idx="5">
                  <c:v>-10</c:v>
                </c:pt>
              </c:numCache>
            </c:numRef>
          </c:xVal>
          <c:yVal>
            <c:numRef>
              <c:f>Calculs!$S$11:$X$11</c:f>
              <c:numCache>
                <c:ptCount val="6"/>
                <c:pt idx="0">
                  <c:v>1390</c:v>
                </c:pt>
                <c:pt idx="1">
                  <c:v>1390</c:v>
                </c:pt>
                <c:pt idx="2">
                  <c:v>1390</c:v>
                </c:pt>
                <c:pt idx="3">
                  <c:v>1390</c:v>
                </c:pt>
                <c:pt idx="4">
                  <c:v>1390</c:v>
                </c:pt>
                <c:pt idx="5">
                  <c:v>1440</c:v>
                </c:pt>
              </c:numCache>
            </c:numRef>
          </c:yVal>
          <c:smooth val="0"/>
        </c:ser>
        <c:ser>
          <c:idx val="34"/>
          <c:order val="34"/>
          <c:tx>
            <c:v>35</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Calculs!$X$19</c:f>
              <c:numCache>
                <c:ptCount val="1"/>
                <c:pt idx="0">
                  <c:v>2430</c:v>
                </c:pt>
              </c:numCache>
            </c:numRef>
          </c:xVal>
          <c:yVal>
            <c:numRef>
              <c:f>Calculs!$X$20</c:f>
              <c:numCache>
                <c:ptCount val="1"/>
                <c:pt idx="0">
                  <c:v>2430</c:v>
                </c:pt>
              </c:numCache>
            </c:numRef>
          </c:yVal>
          <c:smooth val="1"/>
        </c:ser>
        <c:ser>
          <c:idx val="35"/>
          <c:order val="35"/>
          <c:tx>
            <c:v>36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Calculs!$Y$19</c:f>
              <c:numCache>
                <c:ptCount val="1"/>
                <c:pt idx="0">
                  <c:v>-2430</c:v>
                </c:pt>
              </c:numCache>
            </c:numRef>
          </c:xVal>
          <c:yVal>
            <c:numRef>
              <c:f>Calculs!$Y$20</c:f>
              <c:numCache>
                <c:ptCount val="1"/>
                <c:pt idx="0">
                  <c:v>-810</c:v>
                </c:pt>
              </c:numCache>
            </c:numRef>
          </c:yVal>
          <c:smooth val="1"/>
        </c:ser>
        <c:axId val="53535954"/>
        <c:axId val="12061539"/>
      </c:scatterChart>
      <c:valAx>
        <c:axId val="53535954"/>
        <c:scaling>
          <c:orientation val="minMax"/>
        </c:scaling>
        <c:axPos val="t"/>
        <c:delete val="0"/>
        <c:numFmt formatCode="General" sourceLinked="1"/>
        <c:majorTickMark val="cross"/>
        <c:minorTickMark val="cross"/>
        <c:tickLblPos val="none"/>
        <c:spPr>
          <a:ln w="12700">
            <a:solidFill>
              <a:srgbClr val="000000"/>
            </a:solidFill>
          </a:ln>
        </c:spPr>
        <c:crossAx val="12061539"/>
        <c:crossesAt val="0"/>
        <c:crossBetween val="midCat"/>
        <c:dispUnits/>
        <c:majorUnit val="100"/>
        <c:minorUnit val="100"/>
      </c:valAx>
      <c:valAx>
        <c:axId val="12061539"/>
        <c:scaling>
          <c:orientation val="maxMin"/>
        </c:scaling>
        <c:axPos val="l"/>
        <c:delete val="0"/>
        <c:numFmt formatCode="General" sourceLinked="1"/>
        <c:majorTickMark val="cross"/>
        <c:minorTickMark val="cross"/>
        <c:tickLblPos val="none"/>
        <c:spPr>
          <a:ln w="3175">
            <a:solidFill>
              <a:srgbClr val="000000"/>
            </a:solidFill>
          </a:ln>
        </c:spPr>
        <c:crossAx val="53535954"/>
        <c:crossesAt val="0"/>
        <c:crossBetween val="midCat"/>
        <c:dispUnits/>
        <c:majorUnit val="100"/>
        <c:minorUnit val="100"/>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Couple servo / course</a:t>
            </a:r>
          </a:p>
        </c:rich>
      </c:tx>
      <c:layout>
        <c:manualLayout>
          <c:xMode val="factor"/>
          <c:yMode val="factor"/>
          <c:x val="-0.05675"/>
          <c:y val="0.02025"/>
        </c:manualLayout>
      </c:layout>
      <c:spPr>
        <a:noFill/>
        <a:ln>
          <a:noFill/>
        </a:ln>
      </c:spPr>
    </c:title>
    <c:plotArea>
      <c:layout>
        <c:manualLayout>
          <c:xMode val="edge"/>
          <c:yMode val="edge"/>
          <c:x val="0.01125"/>
          <c:y val="0.232"/>
          <c:w val="0.97625"/>
          <c:h val="0.767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Calculs!$U$55:$Z$55</c:f>
              <c:numCache>
                <c:ptCount val="6"/>
                <c:pt idx="0">
                  <c:v>1</c:v>
                </c:pt>
                <c:pt idx="1">
                  <c:v>0.8</c:v>
                </c:pt>
                <c:pt idx="2">
                  <c:v>0.6</c:v>
                </c:pt>
                <c:pt idx="3">
                  <c:v>0.4</c:v>
                </c:pt>
                <c:pt idx="4">
                  <c:v>0.2</c:v>
                </c:pt>
                <c:pt idx="5">
                  <c:v>0</c:v>
                </c:pt>
              </c:numCache>
            </c:numRef>
          </c:xVal>
          <c:yVal>
            <c:numRef>
              <c:f>Calculs!$U$54:$Z$54</c:f>
              <c:numCache>
                <c:ptCount val="6"/>
                <c:pt idx="0">
                  <c:v>0.05227941767694819</c:v>
                </c:pt>
                <c:pt idx="1">
                  <c:v>0.056176167607770514</c:v>
                </c:pt>
                <c:pt idx="2">
                  <c:v>0.04497835712420791</c:v>
                </c:pt>
                <c:pt idx="3">
                  <c:v>0.03130890245151142</c:v>
                </c:pt>
                <c:pt idx="4">
                  <c:v>0.016045276748434686</c:v>
                </c:pt>
                <c:pt idx="5">
                  <c:v>0</c:v>
                </c:pt>
              </c:numCache>
            </c:numRef>
          </c:yVal>
          <c:smooth val="1"/>
        </c:ser>
        <c:axId val="41444988"/>
        <c:axId val="37460573"/>
      </c:scatterChart>
      <c:valAx>
        <c:axId val="41444988"/>
        <c:scaling>
          <c:orientation val="minMax"/>
          <c:max val="1"/>
          <c:min val="0"/>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460573"/>
        <c:crossesAt val="0"/>
        <c:crossBetween val="midCat"/>
        <c:dispUnits/>
        <c:majorUnit val="0.2"/>
      </c:valAx>
      <c:valAx>
        <c:axId val="37460573"/>
        <c:scaling>
          <c:orientation val="minMax"/>
        </c:scaling>
        <c:axPos val="l"/>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444988"/>
        <c:crossesAt val="0"/>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Couple servo / course</a:t>
            </a:r>
          </a:p>
        </c:rich>
      </c:tx>
      <c:layout>
        <c:manualLayout>
          <c:xMode val="factor"/>
          <c:yMode val="factor"/>
          <c:x val="-0.0615"/>
          <c:y val="0.0095"/>
        </c:manualLayout>
      </c:layout>
      <c:spPr>
        <a:noFill/>
        <a:ln>
          <a:noFill/>
        </a:ln>
      </c:spPr>
    </c:title>
    <c:plotArea>
      <c:layout>
        <c:manualLayout>
          <c:xMode val="edge"/>
          <c:yMode val="edge"/>
          <c:x val="0.029"/>
          <c:y val="0.096"/>
          <c:w val="0.956"/>
          <c:h val="0.903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Calculs!$U$55:$Z$55</c:f>
              <c:numCache>
                <c:ptCount val="6"/>
                <c:pt idx="0">
                  <c:v>1</c:v>
                </c:pt>
                <c:pt idx="1">
                  <c:v>0.8</c:v>
                </c:pt>
                <c:pt idx="2">
                  <c:v>0.6</c:v>
                </c:pt>
                <c:pt idx="3">
                  <c:v>0.4</c:v>
                </c:pt>
                <c:pt idx="4">
                  <c:v>0.2</c:v>
                </c:pt>
                <c:pt idx="5">
                  <c:v>0</c:v>
                </c:pt>
              </c:numCache>
            </c:numRef>
          </c:xVal>
          <c:yVal>
            <c:numRef>
              <c:f>Calculs!$U$63:$Z$63</c:f>
              <c:numCache>
                <c:ptCount val="6"/>
                <c:pt idx="0">
                  <c:v>16.387702197076337</c:v>
                </c:pt>
                <c:pt idx="1">
                  <c:v>16.634042592039172</c:v>
                </c:pt>
                <c:pt idx="2">
                  <c:v>11.535967956763342</c:v>
                </c:pt>
                <c:pt idx="3">
                  <c:v>5.5556500098101465</c:v>
                </c:pt>
                <c:pt idx="4">
                  <c:v>-0.9526022646242424</c:v>
                </c:pt>
                <c:pt idx="5">
                  <c:v>-7.628396915566373</c:v>
                </c:pt>
              </c:numCache>
            </c:numRef>
          </c:yVal>
          <c:smooth val="1"/>
        </c:ser>
        <c:axId val="1600838"/>
        <c:axId val="14407543"/>
      </c:scatterChart>
      <c:valAx>
        <c:axId val="1600838"/>
        <c:scaling>
          <c:orientation val="minMax"/>
          <c:max val="1"/>
          <c:min val="0"/>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407543"/>
        <c:crossesAt val="0"/>
        <c:crossBetween val="midCat"/>
        <c:dispUnits/>
        <c:majorUnit val="0.2"/>
      </c:valAx>
      <c:valAx>
        <c:axId val="14407543"/>
        <c:scaling>
          <c:orientation val="minMax"/>
        </c:scaling>
        <c:axPos val="l"/>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0838"/>
        <c:crossesAt val="0"/>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Couple servo / course</a:t>
            </a:r>
          </a:p>
        </c:rich>
      </c:tx>
      <c:layout>
        <c:manualLayout>
          <c:xMode val="factor"/>
          <c:yMode val="factor"/>
          <c:x val="-0.06225"/>
          <c:y val="0.02025"/>
        </c:manualLayout>
      </c:layout>
      <c:spPr>
        <a:noFill/>
        <a:ln>
          <a:noFill/>
        </a:ln>
      </c:spPr>
    </c:title>
    <c:plotArea>
      <c:layout>
        <c:manualLayout>
          <c:xMode val="edge"/>
          <c:yMode val="edge"/>
          <c:x val="0.0115"/>
          <c:y val="0.2305"/>
          <c:w val="0.97625"/>
          <c:h val="0.768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Calculs!$U$55:$Z$55</c:f>
              <c:numCache>
                <c:ptCount val="6"/>
                <c:pt idx="0">
                  <c:v>1</c:v>
                </c:pt>
                <c:pt idx="1">
                  <c:v>0.8</c:v>
                </c:pt>
                <c:pt idx="2">
                  <c:v>0.6</c:v>
                </c:pt>
                <c:pt idx="3">
                  <c:v>0.4</c:v>
                </c:pt>
                <c:pt idx="4">
                  <c:v>0.2</c:v>
                </c:pt>
                <c:pt idx="5">
                  <c:v>0</c:v>
                </c:pt>
              </c:numCache>
            </c:numRef>
          </c:xVal>
          <c:yVal>
            <c:numRef>
              <c:f>Calculs!$U$58:$Z$58</c:f>
              <c:numCache>
                <c:ptCount val="6"/>
                <c:pt idx="0">
                  <c:v>1.112042367622923</c:v>
                </c:pt>
                <c:pt idx="1">
                  <c:v>1.1989818589636487</c:v>
                </c:pt>
                <c:pt idx="2">
                  <c:v>0.9595249609780077</c:v>
                </c:pt>
                <c:pt idx="3">
                  <c:v>0.667682106031445</c:v>
                </c:pt>
                <c:pt idx="4">
                  <c:v>0.3421036401574946</c:v>
                </c:pt>
                <c:pt idx="5">
                  <c:v>0</c:v>
                </c:pt>
              </c:numCache>
            </c:numRef>
          </c:yVal>
          <c:smooth val="1"/>
        </c:ser>
        <c:axId val="62559024"/>
        <c:axId val="26160305"/>
      </c:scatterChart>
      <c:valAx>
        <c:axId val="62559024"/>
        <c:scaling>
          <c:orientation val="minMax"/>
          <c:max val="1"/>
          <c:min val="0"/>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160305"/>
        <c:crossesAt val="0"/>
        <c:crossBetween val="midCat"/>
        <c:dispUnits/>
        <c:majorUnit val="0.2"/>
      </c:valAx>
      <c:valAx>
        <c:axId val="26160305"/>
        <c:scaling>
          <c:orientation val="minMax"/>
        </c:scaling>
        <c:axPos val="l"/>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59024"/>
        <c:crossesAt val="0"/>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523875</xdr:colOff>
      <xdr:row>33</xdr:row>
      <xdr:rowOff>161925</xdr:rowOff>
    </xdr:to>
    <xdr:pic>
      <xdr:nvPicPr>
        <xdr:cNvPr id="1" name="Image 1"/>
        <xdr:cNvPicPr preferRelativeResize="1">
          <a:picLocks noChangeAspect="1"/>
        </xdr:cNvPicPr>
      </xdr:nvPicPr>
      <xdr:blipFill>
        <a:blip r:embed="rId1"/>
        <a:stretch>
          <a:fillRect/>
        </a:stretch>
      </xdr:blipFill>
      <xdr:spPr>
        <a:xfrm>
          <a:off x="161925" y="1133475"/>
          <a:ext cx="5219700" cy="437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2</xdr:row>
      <xdr:rowOff>0</xdr:rowOff>
    </xdr:from>
    <xdr:to>
      <xdr:col>20</xdr:col>
      <xdr:colOff>0</xdr:colOff>
      <xdr:row>21</xdr:row>
      <xdr:rowOff>0</xdr:rowOff>
    </xdr:to>
    <xdr:graphicFrame>
      <xdr:nvGraphicFramePr>
        <xdr:cNvPr id="1" name="Graphique 39"/>
        <xdr:cNvGraphicFramePr/>
      </xdr:nvGraphicFramePr>
      <xdr:xfrm>
        <a:off x="5915025" y="438150"/>
        <a:ext cx="4724400" cy="3752850"/>
      </xdr:xfrm>
      <a:graphic>
        <a:graphicData uri="http://schemas.openxmlformats.org/drawingml/2006/chart">
          <c:chart xmlns:c="http://schemas.openxmlformats.org/drawingml/2006/chart" r:id="rId1"/>
        </a:graphicData>
      </a:graphic>
    </xdr:graphicFrame>
    <xdr:clientData/>
  </xdr:twoCellAnchor>
  <xdr:twoCellAnchor>
    <xdr:from>
      <xdr:col>13</xdr:col>
      <xdr:colOff>47625</xdr:colOff>
      <xdr:row>2</xdr:row>
      <xdr:rowOff>47625</xdr:rowOff>
    </xdr:from>
    <xdr:to>
      <xdr:col>13</xdr:col>
      <xdr:colOff>352425</xdr:colOff>
      <xdr:row>9</xdr:row>
      <xdr:rowOff>47625</xdr:rowOff>
    </xdr:to>
    <xdr:sp>
      <xdr:nvSpPr>
        <xdr:cNvPr id="2" name="AutoShape 342"/>
        <xdr:cNvSpPr>
          <a:spLocks/>
        </xdr:cNvSpPr>
      </xdr:nvSpPr>
      <xdr:spPr>
        <a:xfrm>
          <a:off x="5962650" y="485775"/>
          <a:ext cx="304800" cy="1333500"/>
        </a:xfrm>
        <a:prstGeom prst="upArrow">
          <a:avLst>
            <a:gd name="adj1" fmla="val -16666"/>
            <a:gd name="adj2" fmla="val -24194"/>
          </a:avLst>
        </a:prstGeom>
        <a:solidFill>
          <a:srgbClr val="FF0000"/>
        </a:solidFill>
        <a:ln w="19080" cmpd="sng">
          <a:solidFill>
            <a:srgbClr val="FF0000"/>
          </a:solidFill>
          <a:headEnd type="none"/>
          <a:tailEnd type="none"/>
        </a:ln>
      </xdr:spPr>
      <xdr:txBody>
        <a:bodyPr vertOverflow="clip" wrap="square" lIns="27360" tIns="22680" rIns="0" bIns="0" anchor="just" vert="vert270"/>
        <a:p>
          <a:pPr algn="ctr">
            <a:defRPr/>
          </a:pPr>
          <a:r>
            <a:rPr lang="en-US" cap="none" sz="1000" b="0" i="0" u="none" baseline="0">
              <a:solidFill>
                <a:srgbClr val="000000"/>
              </a:solidFill>
              <a:latin typeface="Arial"/>
              <a:ea typeface="Arial"/>
              <a:cs typeface="Arial"/>
            </a:rPr>
            <a:t>Direction de vol</a:t>
          </a:r>
        </a:p>
      </xdr:txBody>
    </xdr:sp>
    <xdr:clientData/>
  </xdr:twoCellAnchor>
  <xdr:twoCellAnchor>
    <xdr:from>
      <xdr:col>18</xdr:col>
      <xdr:colOff>333375</xdr:colOff>
      <xdr:row>15</xdr:row>
      <xdr:rowOff>152400</xdr:rowOff>
    </xdr:from>
    <xdr:to>
      <xdr:col>19</xdr:col>
      <xdr:colOff>723900</xdr:colOff>
      <xdr:row>20</xdr:row>
      <xdr:rowOff>171450</xdr:rowOff>
    </xdr:to>
    <xdr:pic>
      <xdr:nvPicPr>
        <xdr:cNvPr id="3" name="Picture 14253"/>
        <xdr:cNvPicPr preferRelativeResize="1">
          <a:picLocks noChangeAspect="1"/>
        </xdr:cNvPicPr>
      </xdr:nvPicPr>
      <xdr:blipFill>
        <a:blip r:embed="rId2"/>
        <a:stretch>
          <a:fillRect/>
        </a:stretch>
      </xdr:blipFill>
      <xdr:spPr>
        <a:xfrm>
          <a:off x="9448800" y="3124200"/>
          <a:ext cx="1152525" cy="1028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14</xdr:row>
      <xdr:rowOff>161925</xdr:rowOff>
    </xdr:from>
    <xdr:to>
      <xdr:col>8</xdr:col>
      <xdr:colOff>542925</xdr:colOff>
      <xdr:row>24</xdr:row>
      <xdr:rowOff>104775</xdr:rowOff>
    </xdr:to>
    <xdr:pic>
      <xdr:nvPicPr>
        <xdr:cNvPr id="1" name="Picture 21"/>
        <xdr:cNvPicPr preferRelativeResize="1">
          <a:picLocks noChangeAspect="1"/>
        </xdr:cNvPicPr>
      </xdr:nvPicPr>
      <xdr:blipFill>
        <a:blip r:embed="rId1"/>
        <a:stretch>
          <a:fillRect/>
        </a:stretch>
      </xdr:blipFill>
      <xdr:spPr>
        <a:xfrm>
          <a:off x="2343150" y="4438650"/>
          <a:ext cx="5762625" cy="3648075"/>
        </a:xfrm>
        <a:prstGeom prst="rect">
          <a:avLst/>
        </a:prstGeom>
        <a:blipFill>
          <a:blip r:embed=""/>
          <a:srcRect/>
          <a:stretch>
            <a:fillRect/>
          </a:stretch>
        </a:blipFill>
        <a:ln w="9525" cmpd="sng">
          <a:noFill/>
        </a:ln>
      </xdr:spPr>
    </xdr:pic>
    <xdr:clientData/>
  </xdr:twoCellAnchor>
  <xdr:twoCellAnchor>
    <xdr:from>
      <xdr:col>3</xdr:col>
      <xdr:colOff>381000</xdr:colOff>
      <xdr:row>1</xdr:row>
      <xdr:rowOff>28575</xdr:rowOff>
    </xdr:from>
    <xdr:to>
      <xdr:col>8</xdr:col>
      <xdr:colOff>333375</xdr:colOff>
      <xdr:row>3</xdr:row>
      <xdr:rowOff>152400</xdr:rowOff>
    </xdr:to>
    <xdr:pic>
      <xdr:nvPicPr>
        <xdr:cNvPr id="2" name="Picture 22"/>
        <xdr:cNvPicPr preferRelativeResize="1">
          <a:picLocks noChangeAspect="1"/>
        </xdr:cNvPicPr>
      </xdr:nvPicPr>
      <xdr:blipFill>
        <a:blip r:embed="rId2"/>
        <a:stretch>
          <a:fillRect/>
        </a:stretch>
      </xdr:blipFill>
      <xdr:spPr>
        <a:xfrm>
          <a:off x="2638425" y="180975"/>
          <a:ext cx="5257800" cy="2400300"/>
        </a:xfrm>
        <a:prstGeom prst="rect">
          <a:avLst/>
        </a:prstGeom>
        <a:blipFill>
          <a:blip r:embed=""/>
          <a:srcRect/>
          <a:stretch>
            <a:fillRect/>
          </a:stretch>
        </a:blipFill>
        <a:ln w="9525" cmpd="sng">
          <a:noFill/>
        </a:ln>
      </xdr:spPr>
    </xdr:pic>
    <xdr:clientData/>
  </xdr:twoCellAnchor>
  <xdr:twoCellAnchor>
    <xdr:from>
      <xdr:col>1</xdr:col>
      <xdr:colOff>0</xdr:colOff>
      <xdr:row>2</xdr:row>
      <xdr:rowOff>9525</xdr:rowOff>
    </xdr:from>
    <xdr:to>
      <xdr:col>3</xdr:col>
      <xdr:colOff>0</xdr:colOff>
      <xdr:row>3</xdr:row>
      <xdr:rowOff>0</xdr:rowOff>
    </xdr:to>
    <xdr:graphicFrame>
      <xdr:nvGraphicFramePr>
        <xdr:cNvPr id="3" name="Graphique 32"/>
        <xdr:cNvGraphicFramePr/>
      </xdr:nvGraphicFramePr>
      <xdr:xfrm>
        <a:off x="161925" y="476250"/>
        <a:ext cx="2095500" cy="19526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15</xdr:row>
      <xdr:rowOff>0</xdr:rowOff>
    </xdr:from>
    <xdr:to>
      <xdr:col>3</xdr:col>
      <xdr:colOff>0</xdr:colOff>
      <xdr:row>16</xdr:row>
      <xdr:rowOff>0</xdr:rowOff>
    </xdr:to>
    <xdr:graphicFrame>
      <xdr:nvGraphicFramePr>
        <xdr:cNvPr id="4" name="Graphique 33"/>
        <xdr:cNvGraphicFramePr/>
      </xdr:nvGraphicFramePr>
      <xdr:xfrm>
        <a:off x="161925" y="4591050"/>
        <a:ext cx="2095500" cy="2095500"/>
      </xdr:xfrm>
      <a:graphic>
        <a:graphicData uri="http://schemas.openxmlformats.org/drawingml/2006/chart">
          <c:chart xmlns:c="http://schemas.openxmlformats.org/drawingml/2006/chart" r:id="rId4"/>
        </a:graphicData>
      </a:graphic>
    </xdr:graphicFrame>
    <xdr:clientData/>
  </xdr:twoCellAnchor>
  <xdr:twoCellAnchor>
    <xdr:from>
      <xdr:col>9</xdr:col>
      <xdr:colOff>180975</xdr:colOff>
      <xdr:row>2</xdr:row>
      <xdr:rowOff>0</xdr:rowOff>
    </xdr:from>
    <xdr:to>
      <xdr:col>11</xdr:col>
      <xdr:colOff>571500</xdr:colOff>
      <xdr:row>3</xdr:row>
      <xdr:rowOff>0</xdr:rowOff>
    </xdr:to>
    <xdr:graphicFrame>
      <xdr:nvGraphicFramePr>
        <xdr:cNvPr id="5" name="Graphique 34"/>
        <xdr:cNvGraphicFramePr/>
      </xdr:nvGraphicFramePr>
      <xdr:xfrm>
        <a:off x="8324850" y="466725"/>
        <a:ext cx="2085975" cy="19621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H34"/>
  <sheetViews>
    <sheetView showGridLines="0" showRowColHeaders="0" zoomScale="85" zoomScaleNormal="85" zoomScalePageLayoutView="0" workbookViewId="0" topLeftCell="A1">
      <selection activeCell="B2" sqref="B2"/>
    </sheetView>
  </sheetViews>
  <sheetFormatPr defaultColWidth="11.421875" defaultRowHeight="12.75"/>
  <cols>
    <col min="1" max="1" width="2.421875" style="0" customWidth="1"/>
    <col min="5" max="5" width="13.28125" style="0" customWidth="1"/>
  </cols>
  <sheetData>
    <row r="2" spans="2:3" ht="12.75">
      <c r="B2" s="1" t="s">
        <v>229</v>
      </c>
      <c r="C2" s="2"/>
    </row>
    <row r="4" ht="12.75">
      <c r="B4" s="3" t="s">
        <v>0</v>
      </c>
    </row>
    <row r="5" ht="12.75">
      <c r="B5" t="s">
        <v>1</v>
      </c>
    </row>
    <row r="6" spans="2:6" ht="12.75">
      <c r="B6" s="4" t="s">
        <v>2</v>
      </c>
      <c r="E6" s="4"/>
      <c r="F6" s="4"/>
    </row>
    <row r="7" ht="12.75">
      <c r="B7" s="4"/>
    </row>
    <row r="30" ht="12.75">
      <c r="H30" t="s">
        <v>3</v>
      </c>
    </row>
    <row r="34" ht="12.75">
      <c r="H34" t="s">
        <v>3</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34"/>
  <sheetViews>
    <sheetView showGridLines="0" showRowColHeaders="0" tabSelected="1" zoomScalePageLayoutView="0" workbookViewId="0" topLeftCell="A1">
      <selection activeCell="D28" sqref="D28"/>
    </sheetView>
  </sheetViews>
  <sheetFormatPr defaultColWidth="11.421875" defaultRowHeight="12.75"/>
  <cols>
    <col min="1" max="1" width="2.421875" style="5" customWidth="1"/>
    <col min="2" max="2" width="14.57421875" style="5" customWidth="1"/>
    <col min="3" max="5" width="13.28125" style="5" customWidth="1"/>
    <col min="6" max="8" width="0.71875" style="5" customWidth="1"/>
    <col min="9" max="12" width="6.8515625" style="5" customWidth="1"/>
    <col min="13" max="13" width="2.28125" style="5" customWidth="1"/>
    <col min="14" max="16" width="11.421875" style="5" customWidth="1"/>
    <col min="17" max="17" width="2.28125" style="5" customWidth="1"/>
    <col min="18" max="16384" width="11.421875" style="5" customWidth="1"/>
  </cols>
  <sheetData>
    <row r="1" spans="1:20" ht="15" customHeight="1">
      <c r="A1" s="6"/>
      <c r="B1" s="7"/>
      <c r="C1" s="8"/>
      <c r="D1" s="8"/>
      <c r="E1" s="8"/>
      <c r="F1" s="8"/>
      <c r="G1" s="8"/>
      <c r="H1" s="8"/>
      <c r="I1" s="8"/>
      <c r="J1" s="8"/>
      <c r="K1" s="8"/>
      <c r="L1" s="8"/>
      <c r="M1" s="8"/>
      <c r="N1" s="9"/>
      <c r="O1" s="9"/>
      <c r="P1" s="9"/>
      <c r="Q1" s="9"/>
      <c r="R1" s="9"/>
      <c r="S1" s="9"/>
      <c r="T1" s="9"/>
    </row>
    <row r="2" spans="1:20" ht="19.5" customHeight="1">
      <c r="A2" s="6"/>
      <c r="B2" s="377" t="s">
        <v>234</v>
      </c>
      <c r="C2" s="361">
        <v>3</v>
      </c>
      <c r="E2" s="10" t="s">
        <v>4</v>
      </c>
      <c r="F2" s="11"/>
      <c r="G2" s="11"/>
      <c r="H2" s="11"/>
      <c r="I2" s="11"/>
      <c r="J2" s="11"/>
      <c r="K2" s="11"/>
      <c r="L2" s="11"/>
      <c r="M2" s="6"/>
      <c r="O2" s="10"/>
      <c r="P2" s="12"/>
      <c r="Q2" s="10" t="s">
        <v>5</v>
      </c>
      <c r="R2" s="10"/>
      <c r="S2" s="10"/>
      <c r="T2" s="10"/>
    </row>
    <row r="3" spans="1:20" ht="15" customHeight="1">
      <c r="A3" s="6"/>
      <c r="B3" s="13" t="s">
        <v>6</v>
      </c>
      <c r="C3" s="14" t="s">
        <v>7</v>
      </c>
      <c r="D3" s="15" t="s">
        <v>8</v>
      </c>
      <c r="E3" s="16" t="s">
        <v>9</v>
      </c>
      <c r="F3" s="17"/>
      <c r="G3" s="17"/>
      <c r="H3" s="17"/>
      <c r="I3" s="392" t="s">
        <v>10</v>
      </c>
      <c r="J3" s="392"/>
      <c r="K3" s="392"/>
      <c r="L3" s="18">
        <f>Calculs!N7</f>
        <v>84.7525</v>
      </c>
      <c r="M3" s="6"/>
      <c r="N3" s="19"/>
      <c r="O3" s="20"/>
      <c r="P3" s="20"/>
      <c r="Q3" s="20"/>
      <c r="R3" s="20"/>
      <c r="S3" s="21"/>
      <c r="T3" s="19"/>
    </row>
    <row r="4" spans="1:20" ht="15" customHeight="1">
      <c r="A4" s="6"/>
      <c r="B4" s="362" t="s">
        <v>231</v>
      </c>
      <c r="C4" s="23">
        <v>560</v>
      </c>
      <c r="D4" s="24" t="str">
        <f>IF(D5,C5,"-")</f>
        <v>-</v>
      </c>
      <c r="E4" s="25" t="str">
        <f>IF(E5,D5,"-")</f>
        <v>-</v>
      </c>
      <c r="F4" s="17"/>
      <c r="G4" s="17"/>
      <c r="H4" s="17"/>
      <c r="I4" s="381" t="s">
        <v>11</v>
      </c>
      <c r="J4" s="381"/>
      <c r="K4" s="381"/>
      <c r="L4" s="27">
        <f>Calculs!N8</f>
        <v>433.7125748502994</v>
      </c>
      <c r="M4" s="6"/>
      <c r="N4" s="20"/>
      <c r="O4" s="20"/>
      <c r="P4" s="20"/>
      <c r="Q4" s="20"/>
      <c r="R4" s="20"/>
      <c r="S4" s="19"/>
      <c r="T4" s="19"/>
    </row>
    <row r="5" spans="1:20" ht="15" customHeight="1">
      <c r="A5" s="6"/>
      <c r="B5" s="362" t="s">
        <v>230</v>
      </c>
      <c r="C5" s="23">
        <v>275</v>
      </c>
      <c r="D5" s="28"/>
      <c r="E5" s="29"/>
      <c r="F5" s="30"/>
      <c r="G5" s="30"/>
      <c r="H5" s="31"/>
      <c r="I5" s="381" t="s">
        <v>12</v>
      </c>
      <c r="J5" s="381"/>
      <c r="K5" s="381"/>
      <c r="L5" s="32">
        <f>Calculs!N9</f>
        <v>2030</v>
      </c>
      <c r="M5" s="6"/>
      <c r="N5" s="20"/>
      <c r="O5" s="20"/>
      <c r="P5" s="20"/>
      <c r="Q5" s="20"/>
      <c r="R5" s="20"/>
      <c r="S5" s="20"/>
      <c r="T5" s="20"/>
    </row>
    <row r="6" spans="1:20" ht="15" customHeight="1">
      <c r="A6" s="6"/>
      <c r="B6" s="22" t="s">
        <v>13</v>
      </c>
      <c r="C6" s="23">
        <v>1015</v>
      </c>
      <c r="D6" s="33"/>
      <c r="E6" s="29"/>
      <c r="F6" s="30"/>
      <c r="G6" s="30"/>
      <c r="H6" s="31"/>
      <c r="I6" s="393" t="s">
        <v>14</v>
      </c>
      <c r="J6" s="393"/>
      <c r="K6" s="393"/>
      <c r="L6" s="34">
        <f>Calculs!L6</f>
        <v>2260</v>
      </c>
      <c r="M6" s="6"/>
      <c r="N6" s="20"/>
      <c r="O6" s="20"/>
      <c r="P6" s="20"/>
      <c r="Q6" s="20"/>
      <c r="R6" s="20"/>
      <c r="S6" s="20"/>
      <c r="T6" s="20"/>
    </row>
    <row r="7" spans="1:20" ht="15" customHeight="1">
      <c r="A7" s="6"/>
      <c r="B7" s="369" t="s">
        <v>233</v>
      </c>
      <c r="C7" s="35">
        <v>40</v>
      </c>
      <c r="D7" s="36"/>
      <c r="E7" s="37"/>
      <c r="F7" s="30"/>
      <c r="G7" s="30"/>
      <c r="H7" s="31"/>
      <c r="I7" s="381" t="s">
        <v>15</v>
      </c>
      <c r="J7" s="381"/>
      <c r="K7" s="381"/>
      <c r="L7" s="38">
        <f>Calculs!N11</f>
        <v>4.862275449101796</v>
      </c>
      <c r="M7" s="6"/>
      <c r="N7" s="20"/>
      <c r="O7" s="20"/>
      <c r="P7" s="20"/>
      <c r="Q7" s="20"/>
      <c r="R7" s="20"/>
      <c r="S7" s="20"/>
      <c r="T7" s="20"/>
    </row>
    <row r="8" spans="1:20" ht="15" customHeight="1">
      <c r="A8" s="6"/>
      <c r="B8" s="39" t="s">
        <v>16</v>
      </c>
      <c r="C8" s="40">
        <v>0</v>
      </c>
      <c r="D8" s="40"/>
      <c r="E8" s="41"/>
      <c r="F8" s="42"/>
      <c r="G8" s="42"/>
      <c r="H8" s="31"/>
      <c r="I8" s="396" t="s">
        <v>17</v>
      </c>
      <c r="J8" s="396"/>
      <c r="K8" s="396"/>
      <c r="L8" s="43">
        <f>Calculs!N10</f>
        <v>126.15269461077843</v>
      </c>
      <c r="M8" s="6"/>
      <c r="N8" s="20"/>
      <c r="O8" s="20"/>
      <c r="P8" s="20"/>
      <c r="Q8" s="20"/>
      <c r="R8" s="20"/>
      <c r="S8" s="20"/>
      <c r="T8" s="20"/>
    </row>
    <row r="9" spans="1:20" ht="15" customHeight="1">
      <c r="A9" s="6"/>
      <c r="B9" s="17"/>
      <c r="C9" s="30"/>
      <c r="D9" s="30"/>
      <c r="E9" s="30"/>
      <c r="F9" s="30"/>
      <c r="G9" s="30"/>
      <c r="H9" s="31"/>
      <c r="I9" s="44"/>
      <c r="J9" s="44"/>
      <c r="K9" s="44"/>
      <c r="L9" s="44"/>
      <c r="M9" s="6"/>
      <c r="N9" s="45"/>
      <c r="O9" s="46"/>
      <c r="P9" s="46"/>
      <c r="Q9" s="46"/>
      <c r="R9" s="46"/>
      <c r="S9" s="46"/>
      <c r="T9" s="46"/>
    </row>
    <row r="10" spans="1:20" ht="19.5" customHeight="1">
      <c r="A10" s="6"/>
      <c r="B10" s="377" t="s">
        <v>234</v>
      </c>
      <c r="C10" s="47">
        <v>1</v>
      </c>
      <c r="E10" s="48" t="s">
        <v>18</v>
      </c>
      <c r="F10" s="49"/>
      <c r="G10" s="49"/>
      <c r="H10" s="49"/>
      <c r="I10" s="49"/>
      <c r="J10" s="49"/>
      <c r="K10" s="49"/>
      <c r="L10" s="49"/>
      <c r="M10" s="6"/>
      <c r="N10" s="46"/>
      <c r="O10" s="46"/>
      <c r="P10" s="46"/>
      <c r="Q10" s="46"/>
      <c r="R10" s="46"/>
      <c r="S10" s="46"/>
      <c r="T10" s="46"/>
    </row>
    <row r="11" spans="1:20" ht="15" customHeight="1">
      <c r="A11" s="6"/>
      <c r="B11" s="13" t="s">
        <v>6</v>
      </c>
      <c r="C11" s="14" t="s">
        <v>7</v>
      </c>
      <c r="D11" s="15" t="s">
        <v>8</v>
      </c>
      <c r="E11" s="16" t="s">
        <v>9</v>
      </c>
      <c r="F11" s="17"/>
      <c r="G11" s="17"/>
      <c r="H11" s="17"/>
      <c r="I11" s="392" t="s">
        <v>10</v>
      </c>
      <c r="J11" s="392"/>
      <c r="K11" s="392"/>
      <c r="L11" s="18">
        <f>IF(Calculs!N13&gt;0,Calculs!N13,"-")</f>
        <v>21.45</v>
      </c>
      <c r="M11" s="6"/>
      <c r="N11" s="46"/>
      <c r="O11" s="46"/>
      <c r="P11" s="46"/>
      <c r="Q11" s="46"/>
      <c r="R11" s="46"/>
      <c r="S11" s="46"/>
      <c r="T11" s="46"/>
    </row>
    <row r="12" spans="1:20" ht="15" customHeight="1">
      <c r="A12" s="6"/>
      <c r="B12" s="362" t="s">
        <v>231</v>
      </c>
      <c r="C12" s="23">
        <v>320</v>
      </c>
      <c r="D12" s="24" t="str">
        <f>IF(D13,C13,"-")</f>
        <v>-</v>
      </c>
      <c r="E12" s="25" t="str">
        <f>IF(E13,D13,"-")</f>
        <v>-</v>
      </c>
      <c r="F12" s="17"/>
      <c r="G12" s="17"/>
      <c r="H12" s="17"/>
      <c r="I12" s="381" t="s">
        <v>11</v>
      </c>
      <c r="J12" s="381"/>
      <c r="K12" s="381"/>
      <c r="L12" s="27">
        <f>IF(Calculs!N13&gt;0,Calculs!N14,"-")</f>
        <v>277.45454545454544</v>
      </c>
      <c r="M12" s="6"/>
      <c r="N12" s="46"/>
      <c r="O12" s="46"/>
      <c r="P12" s="46"/>
      <c r="Q12" s="46"/>
      <c r="R12" s="46"/>
      <c r="S12" s="46"/>
      <c r="T12" s="46"/>
    </row>
    <row r="13" spans="1:20" ht="15" customHeight="1">
      <c r="A13" s="6"/>
      <c r="B13" s="22" t="s">
        <v>230</v>
      </c>
      <c r="C13" s="28">
        <v>230</v>
      </c>
      <c r="D13" s="23"/>
      <c r="E13" s="50"/>
      <c r="F13" s="30"/>
      <c r="G13" s="30"/>
      <c r="H13" s="31"/>
      <c r="I13" s="393" t="s">
        <v>12</v>
      </c>
      <c r="J13" s="393"/>
      <c r="K13" s="393"/>
      <c r="L13" s="34">
        <f>IF(Calculs!N13&gt;0,Calculs!N15,"-")</f>
        <v>780</v>
      </c>
      <c r="M13" s="6"/>
      <c r="N13" s="46"/>
      <c r="O13" s="46"/>
      <c r="P13" s="46"/>
      <c r="Q13" s="46"/>
      <c r="R13" s="46"/>
      <c r="S13" s="46"/>
      <c r="T13" s="46"/>
    </row>
    <row r="14" spans="1:20" ht="15" customHeight="1">
      <c r="A14" s="6"/>
      <c r="B14" s="22" t="s">
        <v>13</v>
      </c>
      <c r="C14" s="33">
        <v>390</v>
      </c>
      <c r="D14" s="51"/>
      <c r="E14" s="50"/>
      <c r="F14" s="30"/>
      <c r="G14" s="30"/>
      <c r="H14" s="31"/>
      <c r="I14" s="381" t="s">
        <v>15</v>
      </c>
      <c r="J14" s="381"/>
      <c r="K14" s="381"/>
      <c r="L14" s="38">
        <f>IF(Calculs!N13&gt;0,Calculs!N17,"-")</f>
        <v>2.8363636363636364</v>
      </c>
      <c r="M14" s="6"/>
      <c r="N14" s="46"/>
      <c r="O14" s="46"/>
      <c r="P14" s="46"/>
      <c r="Q14" s="46"/>
      <c r="R14" s="46"/>
      <c r="S14" s="46"/>
      <c r="T14" s="46"/>
    </row>
    <row r="15" spans="1:20" ht="15" customHeight="1">
      <c r="A15" s="6"/>
      <c r="B15" s="370" t="s">
        <v>233</v>
      </c>
      <c r="C15" s="52">
        <v>40</v>
      </c>
      <c r="D15" s="53"/>
      <c r="E15" s="37"/>
      <c r="F15" s="30"/>
      <c r="G15" s="30"/>
      <c r="H15" s="31"/>
      <c r="I15" s="392" t="s">
        <v>19</v>
      </c>
      <c r="J15" s="392"/>
      <c r="K15" s="392"/>
      <c r="L15" s="54">
        <f>IF(Calculs!N13&gt;0,Calculs!N16,"-")</f>
        <v>88.27272727272727</v>
      </c>
      <c r="M15" s="6"/>
      <c r="N15" s="46"/>
      <c r="O15" s="46"/>
      <c r="P15" s="46"/>
      <c r="Q15" s="46"/>
      <c r="R15" s="46"/>
      <c r="S15" s="46"/>
      <c r="T15" s="46"/>
    </row>
    <row r="16" spans="1:20" ht="15" customHeight="1">
      <c r="A16" s="6"/>
      <c r="B16" s="55" t="s">
        <v>20</v>
      </c>
      <c r="C16" s="56">
        <v>1120</v>
      </c>
      <c r="D16" s="14" t="s">
        <v>21</v>
      </c>
      <c r="E16" s="57">
        <v>0</v>
      </c>
      <c r="F16" s="394"/>
      <c r="G16" s="9"/>
      <c r="H16" s="31"/>
      <c r="I16" s="395" t="s">
        <v>22</v>
      </c>
      <c r="J16" s="395"/>
      <c r="K16" s="395"/>
      <c r="L16" s="59">
        <f>IF(Calculs!N13&gt;0,ABS(Calculs!K19),"-")</f>
        <v>1082.120032661949</v>
      </c>
      <c r="M16" s="6"/>
      <c r="N16" s="46"/>
      <c r="O16" s="46"/>
      <c r="P16" s="46"/>
      <c r="Q16" s="46"/>
      <c r="R16" s="46"/>
      <c r="S16" s="46"/>
      <c r="T16" s="46"/>
    </row>
    <row r="17" spans="1:20" ht="15" customHeight="1">
      <c r="A17" s="6"/>
      <c r="B17" s="58" t="s">
        <v>23</v>
      </c>
      <c r="C17" s="47">
        <v>1</v>
      </c>
      <c r="D17" s="60" t="s">
        <v>24</v>
      </c>
      <c r="E17" s="61">
        <v>10</v>
      </c>
      <c r="F17" s="394"/>
      <c r="G17" s="62"/>
      <c r="H17" s="62"/>
      <c r="I17" s="396" t="s">
        <v>25</v>
      </c>
      <c r="J17" s="396"/>
      <c r="K17" s="396"/>
      <c r="L17" s="63">
        <f>IF(Calculs!N13&gt;0,Calculs!N20,"-")</f>
        <v>0.6314634262290632</v>
      </c>
      <c r="M17" s="6"/>
      <c r="N17" s="46"/>
      <c r="O17" s="46"/>
      <c r="P17" s="46"/>
      <c r="Q17" s="46"/>
      <c r="R17" s="46"/>
      <c r="S17" s="46"/>
      <c r="T17" s="46"/>
    </row>
    <row r="18" spans="1:20" ht="15" customHeight="1">
      <c r="A18" s="6"/>
      <c r="B18" s="64"/>
      <c r="C18" s="65"/>
      <c r="D18" s="66"/>
      <c r="E18" s="66"/>
      <c r="F18" s="67"/>
      <c r="G18" s="42"/>
      <c r="H18" s="17"/>
      <c r="M18" s="6"/>
      <c r="N18" s="46"/>
      <c r="O18" s="46"/>
      <c r="P18" s="46"/>
      <c r="Q18" s="46"/>
      <c r="R18" s="46"/>
      <c r="S18" s="46"/>
      <c r="T18" s="46"/>
    </row>
    <row r="19" spans="1:20" ht="19.5" customHeight="1">
      <c r="A19" s="6"/>
      <c r="B19" s="377" t="s">
        <v>235</v>
      </c>
      <c r="C19" s="76">
        <v>2</v>
      </c>
      <c r="E19" s="10" t="s">
        <v>26</v>
      </c>
      <c r="F19" s="11"/>
      <c r="G19" s="11"/>
      <c r="H19" s="11"/>
      <c r="I19" s="11"/>
      <c r="J19" s="11"/>
      <c r="K19" s="11"/>
      <c r="L19" s="11"/>
      <c r="M19" s="6"/>
      <c r="N19" s="46"/>
      <c r="O19" s="46"/>
      <c r="P19" s="46"/>
      <c r="Q19" s="46"/>
      <c r="R19" s="46"/>
      <c r="S19" s="46"/>
      <c r="T19" s="46"/>
    </row>
    <row r="20" spans="1:20" ht="15" customHeight="1">
      <c r="A20" s="6"/>
      <c r="B20" s="68" t="s">
        <v>27</v>
      </c>
      <c r="C20" s="69">
        <v>2040</v>
      </c>
      <c r="D20" s="70" t="s">
        <v>28</v>
      </c>
      <c r="E20" s="71">
        <v>230</v>
      </c>
      <c r="F20" s="72"/>
      <c r="G20" s="21"/>
      <c r="H20" s="73"/>
      <c r="I20" s="387" t="s">
        <v>29</v>
      </c>
      <c r="J20" s="387"/>
      <c r="K20" s="387"/>
      <c r="L20" s="74">
        <f>IF(Calculs!B27&gt;0,Calculs!B27*100,"-")</f>
        <v>32.844</v>
      </c>
      <c r="M20" s="6"/>
      <c r="N20" s="46"/>
      <c r="O20" s="46"/>
      <c r="P20" s="46"/>
      <c r="Q20" s="46"/>
      <c r="R20" s="46"/>
      <c r="S20" s="46"/>
      <c r="T20" s="46"/>
    </row>
    <row r="21" spans="1:20" ht="16.5" customHeight="1">
      <c r="A21" s="6"/>
      <c r="B21" s="75" t="s">
        <v>30</v>
      </c>
      <c r="C21" s="76">
        <v>420</v>
      </c>
      <c r="D21" s="77" t="s">
        <v>31</v>
      </c>
      <c r="E21" s="78">
        <v>340</v>
      </c>
      <c r="F21" s="72"/>
      <c r="G21" s="9"/>
      <c r="H21" s="73"/>
      <c r="I21" s="388" t="s">
        <v>32</v>
      </c>
      <c r="J21" s="388"/>
      <c r="K21" s="388"/>
      <c r="L21" s="79">
        <f>IF(Calculs!B27&gt;0,Calculs!I31,"-")</f>
        <v>0.2</v>
      </c>
      <c r="M21" s="6"/>
      <c r="N21" s="46"/>
      <c r="O21" s="46"/>
      <c r="P21" s="46"/>
      <c r="Q21" s="46"/>
      <c r="R21" s="46"/>
      <c r="S21" s="46"/>
      <c r="T21" s="46"/>
    </row>
    <row r="22" spans="1:20" s="9" customFormat="1" ht="18" customHeight="1">
      <c r="A22" s="20"/>
      <c r="B22" s="17"/>
      <c r="C22" s="21"/>
      <c r="D22" s="17"/>
      <c r="E22" s="21"/>
      <c r="F22" s="80"/>
      <c r="G22" s="81"/>
      <c r="H22" s="21"/>
      <c r="M22" s="20"/>
      <c r="N22" s="46"/>
      <c r="O22" s="46"/>
      <c r="P22" s="46"/>
      <c r="Q22" s="46"/>
      <c r="R22" s="46"/>
      <c r="S22" s="46"/>
      <c r="T22" s="46"/>
    </row>
    <row r="23" spans="1:20" ht="19.5" customHeight="1">
      <c r="A23" s="6"/>
      <c r="C23" s="10"/>
      <c r="D23" s="10"/>
      <c r="F23" s="10"/>
      <c r="G23" s="10"/>
      <c r="H23" s="10"/>
      <c r="I23" s="10"/>
      <c r="J23" s="10"/>
      <c r="K23" s="10"/>
      <c r="L23" s="10"/>
      <c r="M23" s="10" t="s">
        <v>33</v>
      </c>
      <c r="N23" s="46"/>
      <c r="O23" s="46"/>
      <c r="P23" s="46"/>
      <c r="Q23" s="46"/>
      <c r="R23" s="46"/>
      <c r="S23" s="46"/>
      <c r="T23" s="46"/>
    </row>
    <row r="24" spans="1:20" ht="15" customHeight="1">
      <c r="A24" s="6"/>
      <c r="B24" s="55" t="s">
        <v>34</v>
      </c>
      <c r="C24" s="82">
        <v>0.075</v>
      </c>
      <c r="D24" s="83" t="s">
        <v>35</v>
      </c>
      <c r="E24" s="16" t="s">
        <v>36</v>
      </c>
      <c r="F24" s="17"/>
      <c r="G24" s="44"/>
      <c r="H24" s="17"/>
      <c r="I24" s="389" t="s">
        <v>37</v>
      </c>
      <c r="J24" s="389"/>
      <c r="K24" s="389"/>
      <c r="L24" s="84">
        <v>0.3</v>
      </c>
      <c r="N24" s="390" t="s">
        <v>38</v>
      </c>
      <c r="O24" s="390"/>
      <c r="P24" s="85">
        <v>1.3</v>
      </c>
      <c r="Q24" s="46"/>
      <c r="R24" s="390" t="s">
        <v>39</v>
      </c>
      <c r="S24" s="390"/>
      <c r="T24" s="86">
        <v>8200</v>
      </c>
    </row>
    <row r="25" spans="1:20" ht="15" customHeight="1">
      <c r="A25" s="6"/>
      <c r="B25" s="378" t="s">
        <v>40</v>
      </c>
      <c r="C25" s="378"/>
      <c r="D25" s="87">
        <f>Calculs!Q25</f>
        <v>0.30783605069933484</v>
      </c>
      <c r="E25" s="88">
        <f>Calculs!P25</f>
        <v>0.38283605069933485</v>
      </c>
      <c r="F25" s="44"/>
      <c r="G25" s="44"/>
      <c r="H25" s="17"/>
      <c r="I25" s="379" t="s">
        <v>41</v>
      </c>
      <c r="J25" s="379"/>
      <c r="K25" s="379"/>
      <c r="L25" s="89">
        <f>Calculs!D8</f>
        <v>82.6668557051854</v>
      </c>
      <c r="N25" s="380" t="s">
        <v>42</v>
      </c>
      <c r="O25" s="380"/>
      <c r="P25" s="90">
        <f>IF(Calculs!$N$13&gt;0,IF(Calculs!Q18&lt;&gt;"",Calculs!Q34,"-"),"-")</f>
        <v>0.6512908438248148</v>
      </c>
      <c r="Q25" s="46"/>
      <c r="R25" s="381" t="s">
        <v>43</v>
      </c>
      <c r="S25" s="381"/>
      <c r="T25" s="27">
        <f>IF(T24&lt;&gt;0,Calculs!D7,"-")</f>
        <v>96.75230819149877</v>
      </c>
    </row>
    <row r="26" spans="1:20" ht="15" customHeight="1">
      <c r="A26" s="6"/>
      <c r="B26" s="384" t="s">
        <v>44</v>
      </c>
      <c r="C26" s="384"/>
      <c r="D26" s="358">
        <f>Calculs!Q26</f>
        <v>151.2369170787594</v>
      </c>
      <c r="E26" s="359">
        <f>Calculs!P26</f>
        <v>183.76536019253186</v>
      </c>
      <c r="F26" s="44"/>
      <c r="G26" s="44"/>
      <c r="H26" s="91"/>
      <c r="I26" s="385" t="s">
        <v>45</v>
      </c>
      <c r="J26" s="385"/>
      <c r="K26" s="385"/>
      <c r="L26" s="359">
        <f>IF(Calculs!Q18&lt;&gt;"",Calculs!Q22,"-")</f>
        <v>1.2135360922982432</v>
      </c>
      <c r="N26" s="386" t="s">
        <v>46</v>
      </c>
      <c r="O26" s="386"/>
      <c r="P26" s="360">
        <f>IF(Calculs!$N$13&gt;0,IF(Calculs!Q18&lt;&gt;"",Calculs!Q35,"-"),"-")</f>
        <v>0.6487091561751852</v>
      </c>
      <c r="Q26" s="46"/>
      <c r="R26" s="391" t="s">
        <v>47</v>
      </c>
      <c r="S26" s="391"/>
      <c r="T26" s="357">
        <f>Calculs!B8</f>
        <v>56.279615408662465</v>
      </c>
    </row>
    <row r="27" spans="1:20" ht="15" customHeight="1" thickBot="1">
      <c r="A27" s="6"/>
      <c r="B27" s="66"/>
      <c r="C27" s="66"/>
      <c r="D27" s="62"/>
      <c r="E27" s="92"/>
      <c r="F27" s="62"/>
      <c r="G27" s="44"/>
      <c r="H27" s="93"/>
      <c r="M27" s="6"/>
      <c r="N27" s="46"/>
      <c r="O27" s="46"/>
      <c r="P27" s="46"/>
      <c r="Q27" s="46"/>
      <c r="R27" s="46"/>
      <c r="S27" s="46"/>
      <c r="T27" s="46"/>
    </row>
    <row r="28" spans="1:20" ht="15" customHeight="1">
      <c r="A28" s="6"/>
      <c r="B28" s="382" t="s">
        <v>232</v>
      </c>
      <c r="C28" s="383"/>
      <c r="D28" s="363" t="s">
        <v>236</v>
      </c>
      <c r="E28" s="363"/>
      <c r="F28" s="364"/>
      <c r="G28" s="365"/>
      <c r="H28" s="365"/>
      <c r="I28" s="363"/>
      <c r="J28" s="363"/>
      <c r="K28" s="363"/>
      <c r="L28" s="363"/>
      <c r="M28" s="366" t="s">
        <v>3</v>
      </c>
      <c r="N28" s="367"/>
      <c r="O28" s="363"/>
      <c r="P28" s="367"/>
      <c r="Q28" s="367"/>
      <c r="R28" s="367"/>
      <c r="S28" s="367"/>
      <c r="T28" s="368"/>
    </row>
    <row r="29" spans="2:20" ht="12.75">
      <c r="B29" s="371"/>
      <c r="C29" s="372"/>
      <c r="D29" s="372"/>
      <c r="E29" s="372"/>
      <c r="F29" s="372"/>
      <c r="G29" s="372"/>
      <c r="H29" s="372"/>
      <c r="I29" s="372"/>
      <c r="J29" s="372"/>
      <c r="K29" s="372"/>
      <c r="L29" s="372"/>
      <c r="M29" s="372"/>
      <c r="N29" s="372"/>
      <c r="O29" s="372"/>
      <c r="P29" s="372"/>
      <c r="Q29" s="372"/>
      <c r="R29" s="372"/>
      <c r="S29" s="372"/>
      <c r="T29" s="373"/>
    </row>
    <row r="30" spans="2:20" ht="12.75">
      <c r="B30" s="371"/>
      <c r="C30" s="372"/>
      <c r="D30" s="372"/>
      <c r="E30" s="372"/>
      <c r="F30" s="372"/>
      <c r="G30" s="372"/>
      <c r="H30" s="372"/>
      <c r="I30" s="372"/>
      <c r="J30" s="372"/>
      <c r="K30" s="372"/>
      <c r="L30" s="372"/>
      <c r="M30" s="372"/>
      <c r="N30" s="372"/>
      <c r="O30" s="372"/>
      <c r="P30" s="372"/>
      <c r="Q30" s="372"/>
      <c r="R30" s="372"/>
      <c r="S30" s="372"/>
      <c r="T30" s="373"/>
    </row>
    <row r="31" spans="2:20" ht="12.75">
      <c r="B31" s="371"/>
      <c r="C31" s="372"/>
      <c r="D31" s="372"/>
      <c r="E31" s="372"/>
      <c r="F31" s="372"/>
      <c r="G31" s="372"/>
      <c r="H31" s="372"/>
      <c r="I31" s="372"/>
      <c r="J31" s="372"/>
      <c r="K31" s="372"/>
      <c r="L31" s="372"/>
      <c r="M31" s="372"/>
      <c r="N31" s="372"/>
      <c r="O31" s="372"/>
      <c r="P31" s="372"/>
      <c r="Q31" s="372"/>
      <c r="R31" s="372"/>
      <c r="S31" s="372"/>
      <c r="T31" s="373"/>
    </row>
    <row r="32" spans="2:20" ht="12.75">
      <c r="B32" s="371"/>
      <c r="C32" s="372"/>
      <c r="D32" s="372"/>
      <c r="E32" s="372"/>
      <c r="F32" s="372"/>
      <c r="G32" s="372"/>
      <c r="H32" s="372"/>
      <c r="I32" s="372"/>
      <c r="J32" s="372"/>
      <c r="K32" s="372"/>
      <c r="L32" s="372"/>
      <c r="M32" s="372"/>
      <c r="N32" s="372"/>
      <c r="O32" s="372"/>
      <c r="P32" s="372"/>
      <c r="Q32" s="372"/>
      <c r="R32" s="372"/>
      <c r="S32" s="372"/>
      <c r="T32" s="373"/>
    </row>
    <row r="33" spans="2:20" ht="12.75">
      <c r="B33" s="371"/>
      <c r="C33" s="372"/>
      <c r="D33" s="372"/>
      <c r="E33" s="372"/>
      <c r="F33" s="372"/>
      <c r="G33" s="372"/>
      <c r="H33" s="372"/>
      <c r="I33" s="372"/>
      <c r="J33" s="372"/>
      <c r="K33" s="372"/>
      <c r="L33" s="372"/>
      <c r="M33" s="372"/>
      <c r="N33" s="372"/>
      <c r="O33" s="372"/>
      <c r="P33" s="372"/>
      <c r="Q33" s="372"/>
      <c r="R33" s="372"/>
      <c r="S33" s="372"/>
      <c r="T33" s="373"/>
    </row>
    <row r="34" spans="2:20" ht="13.5" thickBot="1">
      <c r="B34" s="374"/>
      <c r="C34" s="375"/>
      <c r="D34" s="375"/>
      <c r="E34" s="375"/>
      <c r="F34" s="375"/>
      <c r="G34" s="375"/>
      <c r="H34" s="375"/>
      <c r="I34" s="375"/>
      <c r="J34" s="375"/>
      <c r="K34" s="375"/>
      <c r="L34" s="375"/>
      <c r="M34" s="375"/>
      <c r="N34" s="375"/>
      <c r="O34" s="375"/>
      <c r="P34" s="375"/>
      <c r="Q34" s="375"/>
      <c r="R34" s="375"/>
      <c r="S34" s="375"/>
      <c r="T34" s="376"/>
    </row>
    <row r="35" ht="12.75"/>
    <row r="36" ht="12.75"/>
    <row r="37" ht="12.75"/>
    <row r="38" ht="12.75"/>
    <row r="39" ht="12.75"/>
    <row r="40" ht="12.75"/>
  </sheetData>
  <sheetProtection sheet="1" objects="1" scenarios="1"/>
  <mergeCells count="28">
    <mergeCell ref="I3:K3"/>
    <mergeCell ref="I4:K4"/>
    <mergeCell ref="I5:K5"/>
    <mergeCell ref="I6:K6"/>
    <mergeCell ref="I7:K7"/>
    <mergeCell ref="I8:K8"/>
    <mergeCell ref="I11:K11"/>
    <mergeCell ref="I12:K12"/>
    <mergeCell ref="I13:K13"/>
    <mergeCell ref="I14:K14"/>
    <mergeCell ref="I15:K15"/>
    <mergeCell ref="F16:F17"/>
    <mergeCell ref="I16:K16"/>
    <mergeCell ref="I17:K17"/>
    <mergeCell ref="I20:K20"/>
    <mergeCell ref="I21:K21"/>
    <mergeCell ref="I24:K24"/>
    <mergeCell ref="N24:O24"/>
    <mergeCell ref="R26:S26"/>
    <mergeCell ref="R24:S24"/>
    <mergeCell ref="B25:C25"/>
    <mergeCell ref="I25:K25"/>
    <mergeCell ref="N25:O25"/>
    <mergeCell ref="R25:S25"/>
    <mergeCell ref="B28:C28"/>
    <mergeCell ref="B26:C26"/>
    <mergeCell ref="I26:K26"/>
    <mergeCell ref="N26:O26"/>
  </mergeCells>
  <conditionalFormatting sqref="G18">
    <cfRule type="expression" priority="1" dxfId="1" stopIfTrue="1">
      <formula>AND($C17&gt;1,$C17&lt;9)</formula>
    </cfRule>
  </conditionalFormatting>
  <conditionalFormatting sqref="E16">
    <cfRule type="expression" priority="2" dxfId="0" stopIfTrue="1">
      <formula>C17&lt;&gt;1</formula>
    </cfRule>
  </conditionalFormatting>
  <printOptions horizontalCentered="1"/>
  <pageMargins left="0.19652777777777777" right="0.19652777777777777" top="0.22013888888888888" bottom="0.19652777777777777" header="0.5118055555555555" footer="0.5118055555555555"/>
  <pageSetup fitToHeight="1" fitToWidth="1" horizontalDpi="300" verticalDpi="3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28"/>
  <sheetViews>
    <sheetView showGridLines="0" showRowColHeaders="0" zoomScale="75" zoomScaleNormal="75" zoomScalePageLayoutView="0" workbookViewId="0" topLeftCell="A1">
      <selection activeCell="J14" sqref="J14"/>
    </sheetView>
  </sheetViews>
  <sheetFormatPr defaultColWidth="11.421875" defaultRowHeight="12.75"/>
  <cols>
    <col min="1" max="1" width="2.421875" style="0" customWidth="1"/>
    <col min="2" max="2" width="22.7109375" style="0" customWidth="1"/>
    <col min="3" max="3" width="8.7109375" style="0" customWidth="1"/>
    <col min="4" max="4" width="20.7109375" style="0" customWidth="1"/>
    <col min="5" max="5" width="8.7109375" style="0" customWidth="1"/>
    <col min="6" max="6" width="20.7109375" style="0" customWidth="1"/>
    <col min="7" max="7" width="8.7109375" style="0" customWidth="1"/>
    <col min="8" max="8" width="20.7109375" style="0" customWidth="1"/>
    <col min="9" max="9" width="8.7109375" style="0" customWidth="1"/>
    <col min="10" max="10" width="2.7109375" style="0" customWidth="1"/>
    <col min="11" max="11" width="22.7109375" style="0" customWidth="1"/>
    <col min="12" max="12" width="8.7109375" style="0" customWidth="1"/>
  </cols>
  <sheetData>
    <row r="1" spans="1:12" ht="12" customHeight="1">
      <c r="A1" s="94"/>
      <c r="B1" s="95"/>
      <c r="C1" s="95"/>
      <c r="D1" s="95"/>
      <c r="E1" s="95"/>
      <c r="F1" s="95"/>
      <c r="G1" s="95"/>
      <c r="H1" s="95"/>
      <c r="I1" s="95"/>
      <c r="J1" s="94"/>
      <c r="K1" s="94"/>
      <c r="L1" s="94"/>
    </row>
    <row r="2" spans="1:12" ht="24.75" customHeight="1">
      <c r="A2" s="94"/>
      <c r="B2" s="401" t="s">
        <v>48</v>
      </c>
      <c r="C2" s="401"/>
      <c r="D2" s="402"/>
      <c r="E2" s="402"/>
      <c r="F2" s="402"/>
      <c r="G2" s="402"/>
      <c r="H2" s="402"/>
      <c r="I2" s="402"/>
      <c r="J2" s="94"/>
      <c r="K2" s="403" t="s">
        <v>49</v>
      </c>
      <c r="L2" s="403"/>
    </row>
    <row r="3" spans="1:12" ht="154.5" customHeight="1">
      <c r="A3" s="94"/>
      <c r="B3" s="404"/>
      <c r="C3" s="404"/>
      <c r="D3" s="402"/>
      <c r="E3" s="402"/>
      <c r="F3" s="402"/>
      <c r="G3" s="402"/>
      <c r="H3" s="402"/>
      <c r="I3" s="402"/>
      <c r="J3" s="94"/>
      <c r="K3" s="96"/>
      <c r="L3" s="97"/>
    </row>
    <row r="4" spans="1:12" ht="12.75">
      <c r="A4" s="94"/>
      <c r="B4" s="98" t="s">
        <v>50</v>
      </c>
      <c r="C4" s="99">
        <v>80</v>
      </c>
      <c r="D4" s="100"/>
      <c r="E4" s="100"/>
      <c r="F4" s="100"/>
      <c r="G4" s="100"/>
      <c r="H4" s="100"/>
      <c r="I4" s="101"/>
      <c r="J4" s="102"/>
      <c r="K4" s="98" t="s">
        <v>50</v>
      </c>
      <c r="L4" s="103">
        <v>80</v>
      </c>
    </row>
    <row r="5" spans="1:12" ht="18" customHeight="1">
      <c r="A5" s="94"/>
      <c r="B5" s="398" t="s">
        <v>51</v>
      </c>
      <c r="C5" s="398"/>
      <c r="D5" s="399" t="s">
        <v>52</v>
      </c>
      <c r="E5" s="399"/>
      <c r="F5" s="399" t="s">
        <v>53</v>
      </c>
      <c r="G5" s="399"/>
      <c r="H5" s="400" t="s">
        <v>54</v>
      </c>
      <c r="I5" s="400"/>
      <c r="J5" s="102"/>
      <c r="K5" s="405"/>
      <c r="L5" s="405"/>
    </row>
    <row r="6" spans="1:12" ht="12.75">
      <c r="A6" s="94"/>
      <c r="B6" s="22" t="s">
        <v>55</v>
      </c>
      <c r="C6" s="51">
        <v>60</v>
      </c>
      <c r="D6" s="104" t="s">
        <v>55</v>
      </c>
      <c r="E6" s="51">
        <v>80</v>
      </c>
      <c r="F6" s="104" t="s">
        <v>55</v>
      </c>
      <c r="G6" s="51">
        <v>40</v>
      </c>
      <c r="H6" s="104" t="s">
        <v>55</v>
      </c>
      <c r="I6" s="29">
        <v>40</v>
      </c>
      <c r="J6" s="102"/>
      <c r="K6" s="26" t="s">
        <v>56</v>
      </c>
      <c r="L6" s="105">
        <f>Calculs!N16</f>
        <v>88.27272727272727</v>
      </c>
    </row>
    <row r="7" spans="1:12" ht="12.75">
      <c r="A7" s="94"/>
      <c r="B7" s="22" t="s">
        <v>57</v>
      </c>
      <c r="C7" s="51">
        <v>60</v>
      </c>
      <c r="D7" s="104" t="s">
        <v>57</v>
      </c>
      <c r="E7" s="51">
        <v>40</v>
      </c>
      <c r="F7" s="104" t="s">
        <v>57</v>
      </c>
      <c r="G7" s="51">
        <v>30</v>
      </c>
      <c r="H7" s="104" t="s">
        <v>57</v>
      </c>
      <c r="I7" s="29">
        <v>40</v>
      </c>
      <c r="J7" s="102"/>
      <c r="K7" s="26" t="s">
        <v>58</v>
      </c>
      <c r="L7" s="106">
        <v>0.05</v>
      </c>
    </row>
    <row r="8" spans="1:12" ht="12.75">
      <c r="A8" s="94"/>
      <c r="B8" s="26" t="s">
        <v>59</v>
      </c>
      <c r="C8" s="30">
        <v>200</v>
      </c>
      <c r="D8" s="107" t="s">
        <v>59</v>
      </c>
      <c r="E8" s="108">
        <v>150</v>
      </c>
      <c r="F8" s="100" t="s">
        <v>59</v>
      </c>
      <c r="G8" s="108">
        <v>475</v>
      </c>
      <c r="H8" s="100" t="s">
        <v>59</v>
      </c>
      <c r="I8" s="37">
        <v>300</v>
      </c>
      <c r="J8" s="102"/>
      <c r="K8" s="26" t="s">
        <v>60</v>
      </c>
      <c r="L8" s="105">
        <f>L6-L7*Calculs!N14</f>
        <v>74.39999999999999</v>
      </c>
    </row>
    <row r="9" spans="1:12" ht="12.75">
      <c r="A9" s="94"/>
      <c r="B9" s="109" t="s">
        <v>61</v>
      </c>
      <c r="C9" s="110">
        <v>10</v>
      </c>
      <c r="D9" s="111" t="s">
        <v>61</v>
      </c>
      <c r="E9" s="112">
        <v>30</v>
      </c>
      <c r="F9" s="113" t="s">
        <v>61</v>
      </c>
      <c r="G9" s="112">
        <v>15</v>
      </c>
      <c r="H9" s="113" t="s">
        <v>61</v>
      </c>
      <c r="I9" s="114">
        <v>30</v>
      </c>
      <c r="J9" s="102"/>
      <c r="K9" s="109" t="s">
        <v>61</v>
      </c>
      <c r="L9" s="114">
        <v>8</v>
      </c>
    </row>
    <row r="10" spans="1:12" ht="12.75">
      <c r="A10" s="94"/>
      <c r="B10" s="115" t="s">
        <v>62</v>
      </c>
      <c r="C10" s="116">
        <f>C6*SIN(C9*PI()/180)</f>
        <v>10.418890660015819</v>
      </c>
      <c r="D10" s="117" t="s">
        <v>62</v>
      </c>
      <c r="E10" s="116">
        <f>E6*SIN(E9*PI()/180)</f>
        <v>39.99999999999999</v>
      </c>
      <c r="F10" s="117" t="s">
        <v>62</v>
      </c>
      <c r="G10" s="116">
        <f>G6*SIN(G9*PI()/180)</f>
        <v>10.35276180410083</v>
      </c>
      <c r="H10" s="117" t="s">
        <v>62</v>
      </c>
      <c r="I10" s="118">
        <f>I6*SIN(I9*PI()/180)</f>
        <v>19.999999999999996</v>
      </c>
      <c r="J10" s="119"/>
      <c r="K10" s="120" t="s">
        <v>62</v>
      </c>
      <c r="L10" s="118">
        <f>(Geometrie!C12-L8)*SIN(L9*PI()/180)</f>
        <v>34.18091359579208</v>
      </c>
    </row>
    <row r="11" spans="1:12" ht="12.75">
      <c r="A11" s="94"/>
      <c r="B11" s="121" t="s">
        <v>63</v>
      </c>
      <c r="C11" s="122">
        <v>45</v>
      </c>
      <c r="D11" s="123" t="s">
        <v>63</v>
      </c>
      <c r="E11" s="124">
        <v>45</v>
      </c>
      <c r="F11" s="125" t="s">
        <v>63</v>
      </c>
      <c r="G11" s="124">
        <v>30</v>
      </c>
      <c r="H11" s="125" t="s">
        <v>63</v>
      </c>
      <c r="I11" s="126">
        <v>30</v>
      </c>
      <c r="J11" s="102"/>
      <c r="K11" s="121" t="s">
        <v>63</v>
      </c>
      <c r="L11" s="126">
        <v>45</v>
      </c>
    </row>
    <row r="12" spans="1:12" ht="12.75">
      <c r="A12" s="94"/>
      <c r="B12" s="26" t="s">
        <v>64</v>
      </c>
      <c r="C12" s="127">
        <f>Calculs!AB43</f>
        <v>4.072065659927794</v>
      </c>
      <c r="D12" s="100" t="s">
        <v>64</v>
      </c>
      <c r="E12" s="128">
        <f>Calculs!AB46</f>
        <v>1.4142135623730951</v>
      </c>
      <c r="F12" s="129" t="s">
        <v>64</v>
      </c>
      <c r="G12" s="127">
        <f>Calculs!AB49</f>
        <v>1.9318516525781366</v>
      </c>
      <c r="H12" s="100" t="s">
        <v>64</v>
      </c>
      <c r="I12" s="130">
        <f>Calculs!AB52</f>
        <v>1</v>
      </c>
      <c r="J12" s="102"/>
      <c r="K12" s="26" t="s">
        <v>64</v>
      </c>
      <c r="L12" s="130">
        <f>Calculs!AB60</f>
        <v>5.080771904259328</v>
      </c>
    </row>
    <row r="13" spans="1:12" ht="12.75">
      <c r="A13" s="94"/>
      <c r="B13" s="58" t="s">
        <v>65</v>
      </c>
      <c r="C13" s="131">
        <f>MAX(Calculs!U44:Z44)</f>
        <v>0.056176167607770514</v>
      </c>
      <c r="D13" s="132" t="s">
        <v>65</v>
      </c>
      <c r="E13" s="131">
        <f>MAX(Calculs!U47:Z47)</f>
        <v>0.3696684451100219</v>
      </c>
      <c r="F13" s="132" t="s">
        <v>65</v>
      </c>
      <c r="G13" s="131">
        <f>MAX(Calculs!U50:Z50)</f>
        <v>0.16574798321540646</v>
      </c>
      <c r="H13" s="132" t="s">
        <v>65</v>
      </c>
      <c r="I13" s="133">
        <f>MAX(Calculs!U53:Z53)</f>
        <v>0.5691418034538174</v>
      </c>
      <c r="J13" s="102"/>
      <c r="K13" s="58" t="s">
        <v>65</v>
      </c>
      <c r="L13" s="133">
        <f>MAX(Calculs!U58:Z58)</f>
        <v>1.1989818589636487</v>
      </c>
    </row>
    <row r="14" spans="1:12" s="136" customFormat="1" ht="12.75">
      <c r="A14" s="102"/>
      <c r="B14" s="134"/>
      <c r="C14" s="135"/>
      <c r="D14" s="134"/>
      <c r="E14" s="135"/>
      <c r="F14" s="134"/>
      <c r="G14" s="135"/>
      <c r="H14" s="134"/>
      <c r="I14" s="135"/>
      <c r="J14" s="102"/>
      <c r="K14" s="102"/>
      <c r="L14" s="102"/>
    </row>
    <row r="15" spans="1:12" s="136" customFormat="1" ht="24.75" customHeight="1">
      <c r="A15" s="102"/>
      <c r="B15" s="401" t="s">
        <v>66</v>
      </c>
      <c r="C15" s="401"/>
      <c r="D15" s="134"/>
      <c r="E15" s="135"/>
      <c r="F15" s="134"/>
      <c r="G15" s="135"/>
      <c r="H15" s="134"/>
      <c r="I15" s="137"/>
      <c r="J15" s="102"/>
      <c r="K15" s="102"/>
      <c r="L15" s="102"/>
    </row>
    <row r="16" spans="1:12" ht="165" customHeight="1">
      <c r="A16" s="94"/>
      <c r="B16" s="397"/>
      <c r="C16" s="397"/>
      <c r="D16" s="138"/>
      <c r="E16" s="139"/>
      <c r="F16" s="138"/>
      <c r="G16" s="139"/>
      <c r="H16" s="138"/>
      <c r="I16" s="140"/>
      <c r="J16" s="94"/>
      <c r="K16" s="94"/>
      <c r="L16" s="94"/>
    </row>
    <row r="17" spans="1:12" ht="12.75">
      <c r="A17" s="94"/>
      <c r="B17" s="98" t="s">
        <v>50</v>
      </c>
      <c r="C17" s="99">
        <v>80</v>
      </c>
      <c r="D17" s="138"/>
      <c r="E17" s="139"/>
      <c r="F17" s="138"/>
      <c r="G17" s="139"/>
      <c r="H17" s="138"/>
      <c r="I17" s="140"/>
      <c r="J17" s="94"/>
      <c r="K17" s="94"/>
      <c r="L17" s="94"/>
    </row>
    <row r="18" spans="1:12" ht="12.75">
      <c r="A18" s="94"/>
      <c r="B18" s="109" t="s">
        <v>67</v>
      </c>
      <c r="C18" s="112">
        <v>8.5</v>
      </c>
      <c r="D18" s="138"/>
      <c r="E18" s="138"/>
      <c r="F18" s="138"/>
      <c r="G18" s="138"/>
      <c r="H18" s="138"/>
      <c r="I18" s="141"/>
      <c r="J18" s="94"/>
      <c r="K18" s="94"/>
      <c r="L18" s="94"/>
    </row>
    <row r="19" spans="1:12" ht="12.75">
      <c r="A19" s="94"/>
      <c r="B19" s="22" t="s">
        <v>68</v>
      </c>
      <c r="C19" s="142">
        <f>Geometrie!D26</f>
        <v>151.2369170787594</v>
      </c>
      <c r="D19" s="138"/>
      <c r="E19" s="138"/>
      <c r="F19" s="138"/>
      <c r="G19" s="138"/>
      <c r="H19" s="138"/>
      <c r="I19" s="141"/>
      <c r="J19" s="94"/>
      <c r="K19" s="94"/>
      <c r="L19" s="94"/>
    </row>
    <row r="20" spans="1:12" ht="12.75">
      <c r="A20" s="94"/>
      <c r="B20" s="26" t="s">
        <v>69</v>
      </c>
      <c r="C20" s="143">
        <f>Calculs!AC62</f>
        <v>247.5922155688623</v>
      </c>
      <c r="D20" s="138"/>
      <c r="E20" s="138"/>
      <c r="F20" s="138"/>
      <c r="G20" s="138"/>
      <c r="H20" s="138"/>
      <c r="I20" s="141"/>
      <c r="J20" s="94"/>
      <c r="K20" s="94"/>
      <c r="L20" s="94"/>
    </row>
    <row r="21" spans="1:12" ht="12.75">
      <c r="A21" s="94"/>
      <c r="B21" s="109" t="s">
        <v>70</v>
      </c>
      <c r="C21" s="144" t="s">
        <v>71</v>
      </c>
      <c r="D21" s="138"/>
      <c r="E21" s="138"/>
      <c r="F21" s="138"/>
      <c r="G21" s="138"/>
      <c r="H21" s="138"/>
      <c r="I21" s="141"/>
      <c r="J21" s="94"/>
      <c r="K21" s="94"/>
      <c r="L21" s="94"/>
    </row>
    <row r="22" spans="1:12" ht="12.75">
      <c r="A22" s="94"/>
      <c r="B22" s="115" t="s">
        <v>62</v>
      </c>
      <c r="C22" s="145">
        <f>(Geometrie!C4-C20)*SIN(6*PI()/180)</f>
        <v>32.655505619439175</v>
      </c>
      <c r="D22" s="138"/>
      <c r="E22" s="138"/>
      <c r="F22" s="138"/>
      <c r="G22" s="138"/>
      <c r="H22" s="138"/>
      <c r="I22" s="141"/>
      <c r="J22" s="94"/>
      <c r="K22" s="94"/>
      <c r="L22" s="94"/>
    </row>
    <row r="23" spans="1:12" ht="12.75">
      <c r="A23" s="94"/>
      <c r="B23" s="146" t="s">
        <v>72</v>
      </c>
      <c r="C23" s="147" t="s">
        <v>73</v>
      </c>
      <c r="D23" s="138"/>
      <c r="E23" s="138"/>
      <c r="F23" s="138"/>
      <c r="G23" s="138"/>
      <c r="H23" s="138"/>
      <c r="I23" s="141"/>
      <c r="J23" s="94"/>
      <c r="K23" s="94"/>
      <c r="L23" s="94"/>
    </row>
    <row r="24" spans="1:12" ht="12.75">
      <c r="A24" s="94"/>
      <c r="B24" s="148" t="s">
        <v>62</v>
      </c>
      <c r="C24" s="149">
        <f>(Geometrie!C4-C20)*SIN(3.5*PI()/180)</f>
        <v>19.072038978841356</v>
      </c>
      <c r="D24" s="138"/>
      <c r="E24" s="138"/>
      <c r="F24" s="138"/>
      <c r="G24" s="138"/>
      <c r="H24" s="138"/>
      <c r="I24" s="141"/>
      <c r="J24" s="94"/>
      <c r="K24" s="94"/>
      <c r="L24" s="94"/>
    </row>
    <row r="25" spans="1:12" ht="12.75">
      <c r="A25" s="94"/>
      <c r="B25" s="26" t="s">
        <v>74</v>
      </c>
      <c r="C25" s="143">
        <f>-3*Calculs!N8*Calculs!AB55</f>
        <v>91.07964071856289</v>
      </c>
      <c r="D25" s="138"/>
      <c r="E25" s="138"/>
      <c r="F25" s="138"/>
      <c r="G25" s="138"/>
      <c r="H25" s="138"/>
      <c r="I25" s="141"/>
      <c r="J25" s="94"/>
      <c r="K25" s="94"/>
      <c r="L25" s="94"/>
    </row>
    <row r="26" spans="1:12" ht="12.75">
      <c r="A26" s="94"/>
      <c r="B26" s="22" t="s">
        <v>75</v>
      </c>
      <c r="C26" s="150">
        <f>C18*6</f>
        <v>51</v>
      </c>
      <c r="D26" s="138"/>
      <c r="E26" s="138"/>
      <c r="F26" s="138"/>
      <c r="G26" s="138"/>
      <c r="H26" s="138"/>
      <c r="I26" s="141"/>
      <c r="J26" s="94"/>
      <c r="K26" s="94"/>
      <c r="L26" s="94"/>
    </row>
    <row r="27" spans="1:12" ht="12.75">
      <c r="A27" s="94"/>
      <c r="B27" s="22" t="s">
        <v>76</v>
      </c>
      <c r="C27" s="150">
        <f>C26/2</f>
        <v>25.5</v>
      </c>
      <c r="D27" s="138"/>
      <c r="E27" s="138"/>
      <c r="F27" s="138"/>
      <c r="G27" s="138"/>
      <c r="H27" s="138"/>
      <c r="I27" s="141"/>
      <c r="J27" s="94"/>
      <c r="K27" s="94"/>
      <c r="L27" s="94"/>
    </row>
    <row r="28" spans="1:12" ht="12.75">
      <c r="A28" s="94"/>
      <c r="B28" s="58" t="s">
        <v>65</v>
      </c>
      <c r="C28" s="151">
        <f>MAX(Calculs!U63:Z63)</f>
        <v>16.634042592039172</v>
      </c>
      <c r="D28" s="152"/>
      <c r="E28" s="152"/>
      <c r="F28" s="152"/>
      <c r="G28" s="152"/>
      <c r="H28" s="152"/>
      <c r="I28" s="153" t="s">
        <v>3</v>
      </c>
      <c r="J28" s="94"/>
      <c r="K28" s="94"/>
      <c r="L28" s="154" t="s">
        <v>3</v>
      </c>
    </row>
  </sheetData>
  <sheetProtection sheet="1" objects="1" scenarios="1"/>
  <mergeCells count="11">
    <mergeCell ref="K2:L2"/>
    <mergeCell ref="B3:C3"/>
    <mergeCell ref="K5:L5"/>
    <mergeCell ref="B15:C15"/>
    <mergeCell ref="B16:C16"/>
    <mergeCell ref="B5:C5"/>
    <mergeCell ref="D5:E5"/>
    <mergeCell ref="F5:G5"/>
    <mergeCell ref="H5:I5"/>
    <mergeCell ref="B2:C2"/>
    <mergeCell ref="D2:I3"/>
  </mergeCells>
  <printOptions horizontalCentered="1"/>
  <pageMargins left="0.19652777777777777" right="0.39375" top="0.5902777777777778" bottom="0.9840277777777777" header="0.5118055555555555" footer="0.5118055555555555"/>
  <pageSetup fitToHeight="1" fitToWidth="1" horizontalDpi="300" verticalDpi="300" orientation="portrait"/>
  <drawing r:id="rId3"/>
  <legacyDrawing r:id="rId2"/>
</worksheet>
</file>

<file path=xl/worksheets/sheet4.xml><?xml version="1.0" encoding="utf-8"?>
<worksheet xmlns="http://schemas.openxmlformats.org/spreadsheetml/2006/main" xmlns:r="http://schemas.openxmlformats.org/officeDocument/2006/relationships">
  <dimension ref="A1:AD63"/>
  <sheetViews>
    <sheetView zoomScale="75" zoomScaleNormal="75" zoomScaleSheetLayoutView="40" zoomScalePageLayoutView="0" workbookViewId="0" topLeftCell="A1">
      <selection activeCell="B8" sqref="B8"/>
    </sheetView>
  </sheetViews>
  <sheetFormatPr defaultColWidth="11.421875" defaultRowHeight="12.75"/>
  <cols>
    <col min="1" max="30" width="11.7109375" style="5" customWidth="1"/>
    <col min="31" max="16384" width="11.421875" style="5" customWidth="1"/>
  </cols>
  <sheetData>
    <row r="1" spans="1:18" ht="12.75">
      <c r="A1" s="155"/>
      <c r="B1" s="155"/>
      <c r="C1" s="155"/>
      <c r="D1" s="155"/>
      <c r="E1" s="155"/>
      <c r="F1" s="155"/>
      <c r="G1" s="155"/>
      <c r="H1" s="155"/>
      <c r="I1" s="155"/>
      <c r="J1" s="155"/>
      <c r="K1" s="155"/>
      <c r="L1" s="155"/>
      <c r="M1" s="155"/>
      <c r="R1" s="12" t="s">
        <v>77</v>
      </c>
    </row>
    <row r="2" spans="1:30" ht="12.75">
      <c r="A2" s="155"/>
      <c r="B2" s="155"/>
      <c r="C2" s="155"/>
      <c r="D2" s="155"/>
      <c r="E2" s="155"/>
      <c r="F2" s="155"/>
      <c r="G2" s="155"/>
      <c r="H2" s="155"/>
      <c r="I2" s="155"/>
      <c r="J2" s="155"/>
      <c r="K2" s="155"/>
      <c r="L2" s="155"/>
      <c r="M2" s="155"/>
      <c r="R2" s="156" t="s">
        <v>78</v>
      </c>
      <c r="S2" s="157">
        <f>-AD2</f>
        <v>-1130</v>
      </c>
      <c r="T2" s="157">
        <f>-AC2</f>
        <v>-1130</v>
      </c>
      <c r="U2" s="157">
        <f>-AB2</f>
        <v>-1130</v>
      </c>
      <c r="V2" s="157">
        <f>-AA2</f>
        <v>-1130</v>
      </c>
      <c r="W2" s="157">
        <f>-Z2</f>
        <v>-1130</v>
      </c>
      <c r="X2" s="157">
        <f>-Y2</f>
        <v>-115</v>
      </c>
      <c r="Y2" s="157">
        <f>X37</f>
        <v>115</v>
      </c>
      <c r="Z2" s="158">
        <f>Y2+COS(Geometrie!C9*PI()/180)*Geometrie!C6</f>
        <v>1130</v>
      </c>
      <c r="AA2" s="158">
        <f>IF(Geometrie!D5,Z2+COS(Geometrie!D9*PI()/180)*Geometrie!D6,Z2)</f>
        <v>1130</v>
      </c>
      <c r="AB2" s="158">
        <f>IF(Geometrie!E5,AA2+COS(Geometrie!E9*PI()/180)*Geometrie!E6,AA2)</f>
        <v>1130</v>
      </c>
      <c r="AC2" s="158">
        <f>IF(Geometrie!F5,AB2+COS(Geometrie!F9*PI()/180)*Geometrie!F6,AB2)</f>
        <v>1130</v>
      </c>
      <c r="AD2" s="159">
        <f>IF(Geometrie!G5,(AC2+COS(Geometrie!G9*PI()/180)*Geometrie!G6),AC2)</f>
        <v>1130</v>
      </c>
    </row>
    <row r="3" spans="1:30" ht="12.75">
      <c r="A3" s="155"/>
      <c r="B3" s="155"/>
      <c r="C3" s="155"/>
      <c r="D3" s="155"/>
      <c r="E3" s="155"/>
      <c r="F3" s="155"/>
      <c r="G3" s="155"/>
      <c r="H3" s="155"/>
      <c r="I3" s="155"/>
      <c r="J3" s="155"/>
      <c r="K3" s="155"/>
      <c r="L3" s="155"/>
      <c r="M3" s="155"/>
      <c r="R3" s="160" t="s">
        <v>79</v>
      </c>
      <c r="S3" s="161">
        <f>-AD3</f>
        <v>-1130</v>
      </c>
      <c r="T3" s="161">
        <f>-AC3</f>
        <v>-1130</v>
      </c>
      <c r="U3" s="161">
        <f>-AB3</f>
        <v>-1130</v>
      </c>
      <c r="V3" s="161">
        <f>-AA3</f>
        <v>-1130</v>
      </c>
      <c r="W3" s="161">
        <f>-Z3</f>
        <v>-1130</v>
      </c>
      <c r="X3" s="161">
        <f>-Y3</f>
        <v>-115</v>
      </c>
      <c r="Y3" s="161">
        <f>X37</f>
        <v>115</v>
      </c>
      <c r="Z3" s="155">
        <f>Z2</f>
        <v>1130</v>
      </c>
      <c r="AA3" s="155">
        <f>AA2</f>
        <v>1130</v>
      </c>
      <c r="AB3" s="155">
        <f>AB2</f>
        <v>1130</v>
      </c>
      <c r="AC3" s="155">
        <f>AC2</f>
        <v>1130</v>
      </c>
      <c r="AD3" s="162">
        <f>AD2</f>
        <v>1130</v>
      </c>
    </row>
    <row r="4" spans="1:30" ht="12.75">
      <c r="A4" s="155"/>
      <c r="B4" s="155"/>
      <c r="C4" s="155"/>
      <c r="D4" s="155"/>
      <c r="E4" s="155"/>
      <c r="F4" s="155"/>
      <c r="G4" s="155"/>
      <c r="H4" s="155"/>
      <c r="I4" s="155"/>
      <c r="J4" s="155"/>
      <c r="K4" s="155"/>
      <c r="L4" s="155"/>
      <c r="M4" s="155"/>
      <c r="R4" s="163" t="s">
        <v>80</v>
      </c>
      <c r="S4" s="161">
        <f>AD4</f>
        <v>40</v>
      </c>
      <c r="T4" s="161">
        <f>AC4</f>
        <v>40</v>
      </c>
      <c r="U4" s="161">
        <f>AB4</f>
        <v>40</v>
      </c>
      <c r="V4" s="161">
        <f>AA4</f>
        <v>40</v>
      </c>
      <c r="W4" s="161">
        <f>Z4</f>
        <v>40</v>
      </c>
      <c r="X4" s="161">
        <f>Y4</f>
        <v>0</v>
      </c>
      <c r="Y4" s="161">
        <v>0</v>
      </c>
      <c r="Z4" s="161">
        <f>X4+Geometrie!C7</f>
        <v>40</v>
      </c>
      <c r="AA4" s="161">
        <f>IF(Geometrie!D5,X4+Geometrie!D7,Z4)</f>
        <v>40</v>
      </c>
      <c r="AB4" s="161">
        <f>IF(Geometrie!E5,X4+Geometrie!E7,AA4)</f>
        <v>40</v>
      </c>
      <c r="AC4" s="161">
        <f>IF(Geometrie!F5,X4+Geometrie!F7,AB4)</f>
        <v>40</v>
      </c>
      <c r="AD4" s="164">
        <f>IF(Geometrie!G5,X4+Geometrie!G7,AC4)</f>
        <v>40</v>
      </c>
    </row>
    <row r="5" spans="1:30" ht="12.75">
      <c r="A5" s="165"/>
      <c r="B5" s="165"/>
      <c r="C5" s="165"/>
      <c r="D5" s="165"/>
      <c r="E5" s="165"/>
      <c r="J5" s="165"/>
      <c r="O5" s="44"/>
      <c r="P5" s="44"/>
      <c r="Q5" s="155"/>
      <c r="R5" s="166" t="s">
        <v>81</v>
      </c>
      <c r="S5" s="167">
        <f>AD5</f>
        <v>315</v>
      </c>
      <c r="T5" s="167">
        <f>AC5</f>
        <v>315</v>
      </c>
      <c r="U5" s="167">
        <f>AB5</f>
        <v>315</v>
      </c>
      <c r="V5" s="167">
        <f>AA5</f>
        <v>315</v>
      </c>
      <c r="W5" s="167">
        <f>Z5</f>
        <v>315</v>
      </c>
      <c r="X5" s="167">
        <f>Y5</f>
        <v>560</v>
      </c>
      <c r="Y5" s="167">
        <f>Geometrie!C4</f>
        <v>560</v>
      </c>
      <c r="Z5" s="167">
        <f>Z4+Geometrie!C5</f>
        <v>315</v>
      </c>
      <c r="AA5" s="167">
        <f>IF(Geometrie!D5,AA4+Geometrie!D5,Z5)</f>
        <v>315</v>
      </c>
      <c r="AB5" s="167">
        <f>IF(Geometrie!E5,AB4+Geometrie!E5,AA5)</f>
        <v>315</v>
      </c>
      <c r="AC5" s="167">
        <f>IF(Geometrie!F5,AC4+Geometrie!F5,AB5)</f>
        <v>315</v>
      </c>
      <c r="AD5" s="168">
        <f>IF(Geometrie!G5,AD4+Geometrie!G5,AC5)</f>
        <v>315</v>
      </c>
    </row>
    <row r="6" spans="1:16" ht="12.75">
      <c r="A6" s="169" t="s">
        <v>82</v>
      </c>
      <c r="B6" s="170"/>
      <c r="C6" s="170"/>
      <c r="D6" s="170"/>
      <c r="E6" s="171"/>
      <c r="F6" s="172"/>
      <c r="G6" s="12" t="s">
        <v>83</v>
      </c>
      <c r="I6" s="172"/>
      <c r="J6" s="173"/>
      <c r="K6" s="174" t="s">
        <v>84</v>
      </c>
      <c r="L6" s="175">
        <f>IF(Geometrie!D5&lt;&gt;1,N9,MAX(Geometrie!C6,ABS(Geometrie!G6))*2)+IF(Geometrie!C22&lt;&gt;1,MAX(W25:W34)*2,0)</f>
        <v>2260</v>
      </c>
      <c r="M6" s="173" t="s">
        <v>85</v>
      </c>
      <c r="N6" s="176" t="e">
        <f>(H12*H8+L12*L8)/(H8+L8)</f>
        <v>#DIV/0!</v>
      </c>
      <c r="O6" s="172"/>
      <c r="P6" s="177"/>
    </row>
    <row r="7" spans="1:18" ht="12.75">
      <c r="A7" s="178" t="s">
        <v>86</v>
      </c>
      <c r="B7" s="179">
        <f>Geometrie!T24/1000</f>
        <v>8.2</v>
      </c>
      <c r="C7" s="180" t="s">
        <v>87</v>
      </c>
      <c r="D7" s="179">
        <f>B7/B12*10</f>
        <v>96.75230819149877</v>
      </c>
      <c r="E7" s="181">
        <v>180</v>
      </c>
      <c r="F7" s="182"/>
      <c r="G7" s="183"/>
      <c r="H7" s="184" t="s">
        <v>7</v>
      </c>
      <c r="I7" s="184" t="s">
        <v>8</v>
      </c>
      <c r="J7" s="184" t="s">
        <v>9</v>
      </c>
      <c r="K7" s="184" t="s">
        <v>88</v>
      </c>
      <c r="L7" s="184" t="s">
        <v>89</v>
      </c>
      <c r="M7" s="184" t="s">
        <v>90</v>
      </c>
      <c r="N7" s="185">
        <f>SUM(H8:L8)</f>
        <v>84.7525</v>
      </c>
      <c r="O7" s="186" t="s">
        <v>91</v>
      </c>
      <c r="P7" s="187">
        <f>N10+0.25*N8-Geometrie!C4/2</f>
        <v>-45.41916167664672</v>
      </c>
      <c r="R7" s="12" t="s">
        <v>92</v>
      </c>
    </row>
    <row r="8" spans="1:30" ht="12.75">
      <c r="A8" s="178" t="s">
        <v>93</v>
      </c>
      <c r="B8" s="188">
        <f>(2*B7*9.81/(1.2*B12*N24*1))^0.5*3.6</f>
        <v>56.279615408662465</v>
      </c>
      <c r="C8" s="180" t="s">
        <v>94</v>
      </c>
      <c r="D8" s="188">
        <f>(2*B7*9.81/(1.2*B12*I22))^0.5*3.6</f>
        <v>82.6668557051854</v>
      </c>
      <c r="E8" s="181">
        <v>120</v>
      </c>
      <c r="F8" s="182"/>
      <c r="G8" s="189" t="s">
        <v>95</v>
      </c>
      <c r="H8" s="190">
        <f>(Geometrie!C4+Geometrie!C5)*ABS(Geometrie!C6)/10000</f>
        <v>84.7525</v>
      </c>
      <c r="I8" s="190">
        <f>IF(Geometrie!D4&lt;&gt;"-",(Geometrie!D4+Geometrie!D5)*ABS(Geometrie!D6)/10000,0)</f>
        <v>0</v>
      </c>
      <c r="J8" s="190">
        <f>IF(Geometrie!E4&lt;&gt;"-",(Geometrie!E4+Geometrie!E5)*ABS(Geometrie!E6)/10000,0)</f>
        <v>0</v>
      </c>
      <c r="K8" s="190">
        <f>IF(Geometrie!D5&lt;&gt;1,(Geometrie!F4+Geometrie!F5)*ABS(Geometrie!F6)/10000,0)</f>
        <v>0</v>
      </c>
      <c r="L8" s="190">
        <f>(Geometrie!G4+Geometrie!G5)*ABS(Geometrie!G6)/10000</f>
        <v>0</v>
      </c>
      <c r="M8" s="191" t="s">
        <v>96</v>
      </c>
      <c r="N8" s="192">
        <f>(H9*H8+I9*I8+J9*J8+K9*K8+L9*L8)/(H8+I8+J8+K8+L8)</f>
        <v>433.7125748502994</v>
      </c>
      <c r="O8" s="186" t="s">
        <v>97</v>
      </c>
      <c r="P8" s="187">
        <f>ATAN(P7/(0.5*N9*0.53))*180/PI()</f>
        <v>-4.82604160027569</v>
      </c>
      <c r="R8" s="156" t="s">
        <v>78</v>
      </c>
      <c r="S8" s="157">
        <f>-AD8</f>
        <v>-400</v>
      </c>
      <c r="T8" s="157">
        <f>-AC8</f>
        <v>-400</v>
      </c>
      <c r="U8" s="157">
        <f>-AB8</f>
        <v>-400</v>
      </c>
      <c r="V8" s="157">
        <f>-AA8</f>
        <v>-400</v>
      </c>
      <c r="W8" s="157">
        <f>-Z8</f>
        <v>-400</v>
      </c>
      <c r="X8" s="157">
        <f>-Y8</f>
        <v>-10</v>
      </c>
      <c r="Y8" s="157">
        <f>Z37</f>
        <v>10</v>
      </c>
      <c r="Z8" s="157">
        <f>Geometrie!C14*$AA$38+Z37</f>
        <v>400</v>
      </c>
      <c r="AA8" s="157">
        <f>IF(Geometrie!D13,Z8+Geometrie!D14*$AA$38,Z8)</f>
        <v>400</v>
      </c>
      <c r="AB8" s="157">
        <f>IF(Geometrie!E13,AA8+Geometrie!E14*$AA$38,AA8)</f>
        <v>400</v>
      </c>
      <c r="AC8" s="157">
        <f>IF(Geometrie!F13,AB8+Geometrie!F14*$AA$38,AB8)</f>
        <v>400</v>
      </c>
      <c r="AD8" s="193">
        <f>IF(Geometrie!G13,AC8+Geometrie!G14*$AA$38,AC8)</f>
        <v>400</v>
      </c>
    </row>
    <row r="9" spans="1:30" ht="12.75" customHeight="1">
      <c r="A9" s="194"/>
      <c r="B9" s="195"/>
      <c r="C9" s="44"/>
      <c r="D9" s="44"/>
      <c r="E9" s="181">
        <v>115</v>
      </c>
      <c r="F9" s="182"/>
      <c r="G9" s="189" t="s">
        <v>98</v>
      </c>
      <c r="H9" s="190">
        <f>Geometrie!C5+(2*Geometrie!C4+Geometrie!C5)*(Geometrie!C4-Geometrie!C5)/((Geometrie!C4+Geometrie!C5)*3)</f>
        <v>433.7125748502994</v>
      </c>
      <c r="I9" s="190">
        <f>IF(I8,Geometrie!D5+(2*Geometrie!D4+Geometrie!D5)*(Geometrie!D4-Geometrie!D5)/((Geometrie!D4+Geometrie!D5)*3),0)</f>
        <v>0</v>
      </c>
      <c r="J9" s="190">
        <f>IF(J8,Geometrie!E5+(2*Geometrie!E4+Geometrie!E5)*(Geometrie!E4-Geometrie!E5)/((Geometrie!E4+Geometrie!E5)*3),0)</f>
        <v>0</v>
      </c>
      <c r="K9" s="190">
        <f>IF(K8,Geometrie!F5+(2*Geometrie!F4+Geometrie!F5)*(Geometrie!F4-Geometrie!F5)/((Geometrie!F4+Geometrie!F5)*3),0)</f>
        <v>0</v>
      </c>
      <c r="L9" s="190">
        <f>IF(L8,Geometrie!G5+(2*Geometrie!G4+Geometrie!G5)*(Geometrie!G4-Geometrie!G5)/((Geometrie!G4+Geometrie!G5)*3),0)</f>
        <v>0</v>
      </c>
      <c r="M9" s="191" t="s">
        <v>99</v>
      </c>
      <c r="N9" s="192">
        <f>IF(Geometrie!D5&lt;&gt;1,SUM(Geometrie!C6:G6)*2,(N6*N7)^0.5*100)</f>
        <v>2030</v>
      </c>
      <c r="O9" s="179"/>
      <c r="P9" s="172"/>
      <c r="Q9" s="172"/>
      <c r="R9" s="160" t="s">
        <v>79</v>
      </c>
      <c r="S9" s="161">
        <f>-AD9</f>
        <v>-400</v>
      </c>
      <c r="T9" s="161">
        <f>-AC9</f>
        <v>-400</v>
      </c>
      <c r="U9" s="161">
        <f>-AB9</f>
        <v>-400</v>
      </c>
      <c r="V9" s="161">
        <f>-AA9</f>
        <v>-400</v>
      </c>
      <c r="W9" s="161">
        <f>-Z9</f>
        <v>-400</v>
      </c>
      <c r="X9" s="161">
        <f>-Y9</f>
        <v>-10</v>
      </c>
      <c r="Y9" s="161">
        <f>Z37</f>
        <v>10</v>
      </c>
      <c r="Z9" s="161">
        <f>Z8</f>
        <v>400</v>
      </c>
      <c r="AA9" s="161">
        <f>AA8</f>
        <v>400</v>
      </c>
      <c r="AB9" s="161">
        <f>AB8</f>
        <v>400</v>
      </c>
      <c r="AC9" s="161">
        <f>AC8</f>
        <v>400</v>
      </c>
      <c r="AD9" s="164">
        <f>AD8</f>
        <v>400</v>
      </c>
    </row>
    <row r="10" spans="1:30" ht="12.75" customHeight="1">
      <c r="A10" s="196" t="s">
        <v>4</v>
      </c>
      <c r="B10" s="180"/>
      <c r="C10" s="44"/>
      <c r="D10" s="44"/>
      <c r="E10" s="181">
        <v>110</v>
      </c>
      <c r="G10" s="189" t="s">
        <v>100</v>
      </c>
      <c r="H10" s="190">
        <f>Geometrie!C7*(Geometrie!C4+2*Geometrie!C5)/(3*(Geometrie!C4+Geometrie!C5))</f>
        <v>17.724550898203592</v>
      </c>
      <c r="I10" s="190">
        <f>IF(I8,(Geometrie!D7-Geometrie!C7)*(Geometrie!D4+2*Geometrie!D5)/(3*(Geometrie!D4+Geometrie!D5)),0)</f>
        <v>0</v>
      </c>
      <c r="J10" s="190">
        <f>IF(J8,(Geometrie!E7-Geometrie!D7)*(Geometrie!E4+2*Geometrie!E5)/(3*(Geometrie!E4+Geometrie!E5)),0)</f>
        <v>0</v>
      </c>
      <c r="K10" s="190">
        <f>IF(K8,(Geometrie!F7-Geometrie!E7)*(Geometrie!F4+2*Geometrie!F5)/(3*(Geometrie!F4+Geometrie!F5)),0)</f>
        <v>0</v>
      </c>
      <c r="L10" s="190">
        <f>IF(L8,(Geometrie!G7-Geometrie!F7)*(Geometrie!G4+2*Geometrie!G5)/(3*(Geometrie!G4+Geometrie!G5)),0)</f>
        <v>0</v>
      </c>
      <c r="M10" s="191" t="s">
        <v>101</v>
      </c>
      <c r="N10" s="192">
        <f>(H8*H11+I8*I11+J8*J11+K8*K11+L8*L11)/(H8+I8+J8+K8+L8)</f>
        <v>126.15269461077843</v>
      </c>
      <c r="O10" s="197" t="s">
        <v>102</v>
      </c>
      <c r="P10" s="187">
        <f>(Geometrie!C8/2*H8+Geometrie!D8/2*I8+Geometrie!E8/2*J8+Geometrie!F8/2*K8+Geometrie!G8/2*L8)/N7</f>
        <v>0</v>
      </c>
      <c r="Q10" s="172"/>
      <c r="R10" s="163" t="s">
        <v>80</v>
      </c>
      <c r="S10" s="161">
        <f>AD10</f>
        <v>1160</v>
      </c>
      <c r="T10" s="161">
        <f>AC10</f>
        <v>1160</v>
      </c>
      <c r="U10" s="161">
        <f>AB10</f>
        <v>1160</v>
      </c>
      <c r="V10" s="161">
        <f>AA10</f>
        <v>1160</v>
      </c>
      <c r="W10" s="161">
        <f>Z10</f>
        <v>1160</v>
      </c>
      <c r="X10" s="161">
        <f>Y10</f>
        <v>1120</v>
      </c>
      <c r="Y10" s="161">
        <f>K18</f>
        <v>1120</v>
      </c>
      <c r="Z10" s="161">
        <f>X10+Geometrie!C15</f>
        <v>1160</v>
      </c>
      <c r="AA10" s="161">
        <f>IF(Geometrie!D13,X10+Geometrie!D15,Z10)</f>
        <v>1160</v>
      </c>
      <c r="AB10" s="161">
        <f>IF(Geometrie!E13,X10+Geometrie!E15,AA10)</f>
        <v>1160</v>
      </c>
      <c r="AC10" s="161">
        <f>IF(Geometrie!F13,X10+Geometrie!F15,AB10)</f>
        <v>1160</v>
      </c>
      <c r="AD10" s="164">
        <f>IF(Geometrie!G13,X10+Geometrie!G15,AC10)</f>
        <v>1160</v>
      </c>
    </row>
    <row r="11" spans="1:30" ht="12.75" customHeight="1">
      <c r="A11" s="178" t="s">
        <v>103</v>
      </c>
      <c r="B11" s="179">
        <f>N9/1000</f>
        <v>2.03</v>
      </c>
      <c r="C11" s="180"/>
      <c r="D11" s="44"/>
      <c r="E11" s="181">
        <v>105</v>
      </c>
      <c r="G11" s="198" t="s">
        <v>104</v>
      </c>
      <c r="H11" s="199">
        <f>H10+H9*0.25</f>
        <v>126.15269461077844</v>
      </c>
      <c r="I11" s="199">
        <f>IF(I8,Geometrie!C7+I10+I9*0.25,0)</f>
        <v>0</v>
      </c>
      <c r="J11" s="199">
        <f>IF(J8,Geometrie!D7+J10+J9*0.25,0)</f>
        <v>0</v>
      </c>
      <c r="K11" s="199">
        <f>IF(K8,Geometrie!E7+K10+K9*0.25,0)</f>
        <v>0</v>
      </c>
      <c r="L11" s="199">
        <f>IF(L8,Geometrie!F7+L10+L9*0.25,0)</f>
        <v>0</v>
      </c>
      <c r="M11" s="191" t="s">
        <v>15</v>
      </c>
      <c r="N11" s="192">
        <f>IF(Geometrie!D5&lt;&gt;1,N9^2/N7/10000,N6)</f>
        <v>4.862275449101796</v>
      </c>
      <c r="O11" s="179"/>
      <c r="P11" s="172"/>
      <c r="R11" s="166" t="s">
        <v>81</v>
      </c>
      <c r="S11" s="167">
        <f>AD11</f>
        <v>1390</v>
      </c>
      <c r="T11" s="167">
        <f>AC11</f>
        <v>1390</v>
      </c>
      <c r="U11" s="167">
        <f>AB11</f>
        <v>1390</v>
      </c>
      <c r="V11" s="167">
        <f>AA11</f>
        <v>1390</v>
      </c>
      <c r="W11" s="167">
        <f>Z11</f>
        <v>1390</v>
      </c>
      <c r="X11" s="167">
        <f>Y11</f>
        <v>1440</v>
      </c>
      <c r="Y11" s="167">
        <f>Geometrie!C12+K18</f>
        <v>1440</v>
      </c>
      <c r="Z11" s="167">
        <f>Z10+Geometrie!C13</f>
        <v>1390</v>
      </c>
      <c r="AA11" s="167">
        <f>IF(Geometrie!D13,AA10+Geometrie!D13,Z11)</f>
        <v>1390</v>
      </c>
      <c r="AB11" s="167">
        <f>IF(Geometrie!E13,AB10+Geometrie!E13,AA11)</f>
        <v>1390</v>
      </c>
      <c r="AC11" s="167">
        <f>IF(Geometrie!F13,AC10+Geometrie!F13,AB11)</f>
        <v>1390</v>
      </c>
      <c r="AD11" s="168">
        <f>IF(Geometrie!G13,AD10+Geometrie!G13,AC11)</f>
        <v>1390</v>
      </c>
    </row>
    <row r="12" spans="1:17" ht="12.75" customHeight="1">
      <c r="A12" s="178" t="s">
        <v>95</v>
      </c>
      <c r="B12" s="179">
        <f>N7/100</f>
        <v>0.847525</v>
      </c>
      <c r="C12" s="180"/>
      <c r="D12" s="180"/>
      <c r="E12" s="200">
        <v>100</v>
      </c>
      <c r="G12" s="178" t="s">
        <v>85</v>
      </c>
      <c r="H12" s="172">
        <f>(Geometrie!C6*2/100)^2/H8</f>
        <v>4.862275449101797</v>
      </c>
      <c r="I12" s="179"/>
      <c r="J12" s="179"/>
      <c r="K12" s="179"/>
      <c r="L12" s="172" t="e">
        <f>(Geometrie!G6*2/100)^2/L8</f>
        <v>#DIV/0!</v>
      </c>
      <c r="M12" s="201" t="s">
        <v>105</v>
      </c>
      <c r="N12" s="202">
        <f>1.27*N9/Geometrie!C4</f>
        <v>4.60375</v>
      </c>
      <c r="O12" s="179"/>
      <c r="P12" s="172"/>
      <c r="Q12" s="203"/>
    </row>
    <row r="13" spans="1:26" ht="12.75" customHeight="1">
      <c r="A13" s="194"/>
      <c r="B13" s="44"/>
      <c r="C13" s="44"/>
      <c r="D13" s="44"/>
      <c r="E13" s="200">
        <v>95</v>
      </c>
      <c r="G13" s="183"/>
      <c r="H13" s="184" t="s">
        <v>7</v>
      </c>
      <c r="I13" s="184" t="s">
        <v>8</v>
      </c>
      <c r="J13" s="184" t="s">
        <v>9</v>
      </c>
      <c r="K13" s="184" t="s">
        <v>88</v>
      </c>
      <c r="L13" s="184" t="s">
        <v>89</v>
      </c>
      <c r="M13" s="184" t="s">
        <v>90</v>
      </c>
      <c r="N13" s="185">
        <f>SUM(H14:L14)</f>
        <v>21.45</v>
      </c>
      <c r="O13" s="186" t="s">
        <v>91</v>
      </c>
      <c r="P13" s="187">
        <f>N16+0.25*N14-Geometrie!C12/2</f>
        <v>-2.363636363636374</v>
      </c>
      <c r="Q13" s="172"/>
      <c r="U13" s="12" t="s">
        <v>106</v>
      </c>
      <c r="Z13" s="204"/>
    </row>
    <row r="14" spans="1:25" ht="12.75" customHeight="1">
      <c r="A14" s="196" t="s">
        <v>107</v>
      </c>
      <c r="B14" s="44"/>
      <c r="C14" s="180"/>
      <c r="D14" s="180"/>
      <c r="E14" s="200">
        <v>90</v>
      </c>
      <c r="G14" s="189" t="s">
        <v>95</v>
      </c>
      <c r="H14" s="190">
        <f>(Geometrie!C12+Geometrie!C13)*Geometrie!C14/10000</f>
        <v>21.45</v>
      </c>
      <c r="I14" s="190">
        <f>IF(Geometrie!D12&lt;&gt;"-",(Geometrie!D12+Geometrie!D13)*Geometrie!D14/10000,0)</f>
        <v>0</v>
      </c>
      <c r="J14" s="190">
        <f>IF(Geometrie!E12&lt;&gt;"-",(Geometrie!E12+Geometrie!E13)*Geometrie!E14/10000,0)</f>
        <v>0</v>
      </c>
      <c r="K14" s="190">
        <f>(Geometrie!F12+Geometrie!F13)*Geometrie!F14/10000</f>
        <v>0</v>
      </c>
      <c r="L14" s="190">
        <f>(Geometrie!G12+Geometrie!G13)*Geometrie!G14/10000</f>
        <v>0</v>
      </c>
      <c r="M14" s="191" t="s">
        <v>96</v>
      </c>
      <c r="N14" s="192">
        <f>IF(N13&gt;0,(H15*H14+I15*I14+J15*J14+K15*K14+L15*L14)/(H14+I14+J14+K14+L14),0)</f>
        <v>277.45454545454544</v>
      </c>
      <c r="O14" s="186" t="s">
        <v>97</v>
      </c>
      <c r="P14" s="187">
        <f>IF(N13&gt;0,ATAN(P13/(0.5*N15*0.53))*180/PI(),0)</f>
        <v>-0.6551547438028271</v>
      </c>
      <c r="Q14" s="177"/>
      <c r="U14" s="205"/>
      <c r="V14" s="206" t="s">
        <v>4</v>
      </c>
      <c r="W14" s="157" t="s">
        <v>35</v>
      </c>
      <c r="X14" s="157" t="s">
        <v>26</v>
      </c>
      <c r="Y14" s="207" t="s">
        <v>107</v>
      </c>
    </row>
    <row r="15" spans="1:25" ht="12.75" customHeight="1">
      <c r="A15" s="196" t="s">
        <v>108</v>
      </c>
      <c r="B15" s="208">
        <f>N19/100</f>
        <v>0.2145</v>
      </c>
      <c r="C15" s="195"/>
      <c r="D15" s="180"/>
      <c r="E15" s="200">
        <v>-90</v>
      </c>
      <c r="G15" s="189" t="s">
        <v>98</v>
      </c>
      <c r="H15" s="190">
        <f>IF(H14,Geometrie!C13+(2*Geometrie!C12+Geometrie!C13)*(Geometrie!C12-Geometrie!C13)/((Geometrie!C12+Geometrie!C13)*3),0)</f>
        <v>277.45454545454544</v>
      </c>
      <c r="I15" s="190">
        <f>IF(I14,Geometrie!D13+(2*Geometrie!D12+Geometrie!D13)*(Geometrie!D12-Geometrie!D13)/((Geometrie!D12+Geometrie!D13)*3),0)</f>
        <v>0</v>
      </c>
      <c r="J15" s="190">
        <f>IF(J14,Geometrie!E13+(2*Geometrie!E12+Geometrie!E13)*(Geometrie!E12-Geometrie!E13)/((Geometrie!E12+Geometrie!E13)*3),0)</f>
        <v>0</v>
      </c>
      <c r="K15" s="190">
        <f>IF(K14,Geometrie!F13+(2*Geometrie!F12+Geometrie!F13)*(Geometrie!F12-Geometrie!F13)/((Geometrie!F12+Geometrie!F13)*3),0)</f>
        <v>0</v>
      </c>
      <c r="L15" s="190">
        <f>IF(L14,Geometrie!G13+(2*Geometrie!G12+Geometrie!G13)*(Geometrie!G12-Geometrie!G13)/((Geometrie!G12+Geometrie!G13)*3),0)</f>
        <v>0</v>
      </c>
      <c r="M15" s="191" t="s">
        <v>99</v>
      </c>
      <c r="N15" s="190">
        <f>SUM(Geometrie!C14:G14)*2</f>
        <v>780</v>
      </c>
      <c r="O15" s="186" t="s">
        <v>109</v>
      </c>
      <c r="P15" s="187">
        <f>N15*SIN(B18/2*PI()/180)</f>
        <v>780</v>
      </c>
      <c r="U15" s="163" t="s">
        <v>110</v>
      </c>
      <c r="V15" s="161">
        <v>0</v>
      </c>
      <c r="W15" s="161">
        <v>0</v>
      </c>
      <c r="X15" s="161">
        <v>0</v>
      </c>
      <c r="Y15" s="164">
        <v>0</v>
      </c>
    </row>
    <row r="16" spans="1:26" ht="12.75" customHeight="1">
      <c r="A16" s="178" t="s">
        <v>111</v>
      </c>
      <c r="B16" s="208">
        <f>N13/100</f>
        <v>0.2145</v>
      </c>
      <c r="C16" s="44"/>
      <c r="D16" s="180"/>
      <c r="E16" s="200">
        <v>-95</v>
      </c>
      <c r="G16" s="189" t="s">
        <v>100</v>
      </c>
      <c r="H16" s="190">
        <f>IF(H14,Geometrie!C15*(Geometrie!C12+2*Geometrie!C13)/(3*(Geometrie!C12+Geometrie!C13)),0)</f>
        <v>18.90909090909091</v>
      </c>
      <c r="I16" s="190">
        <f>IF(I14,(Geometrie!D15-Geometrie!C15)*(Geometrie!D12+2*Geometrie!D13)/(3*(Geometrie!D12+Geometrie!D13)),0)</f>
        <v>0</v>
      </c>
      <c r="J16" s="190">
        <f>IF(J14,(Geometrie!E15-Geometrie!D15)*(Geometrie!E12+2*Geometrie!E13)/(3*(Geometrie!E12+Geometrie!E13)),0)</f>
        <v>0</v>
      </c>
      <c r="K16" s="190">
        <f>IF(K14,(Geometrie!F15-Geometrie!E15)*(Geometrie!F12+2*Geometrie!F13)/(3*(Geometrie!F12+Geometrie!F13)),0)</f>
        <v>0</v>
      </c>
      <c r="L16" s="190">
        <f>IF(L14,(Geometrie!G15-Geometrie!F15)*(Geometrie!G12+2*Geometrie!G13)/(3*(Geometrie!G12+Geometrie!G13)),0)</f>
        <v>0</v>
      </c>
      <c r="M16" s="191" t="s">
        <v>112</v>
      </c>
      <c r="N16" s="192">
        <f>IF(N13&gt;0,(H17*H14+I17*I14+J17*J14+K17*K14+L17*L14)/(H14+I14+J14+K14+L14),0)</f>
        <v>88.27272727272727</v>
      </c>
      <c r="O16" s="179"/>
      <c r="P16" s="172"/>
      <c r="Q16" s="172"/>
      <c r="R16" s="172"/>
      <c r="S16" s="172"/>
      <c r="U16" s="166" t="s">
        <v>113</v>
      </c>
      <c r="V16" s="167">
        <f>N10</f>
        <v>126.15269461077843</v>
      </c>
      <c r="W16" s="167">
        <f>Q26</f>
        <v>151.2369170787594</v>
      </c>
      <c r="X16" s="167">
        <f>-Geometrie!C21+I31*I30</f>
        <v>-12</v>
      </c>
      <c r="Y16" s="168">
        <f>K18+N16</f>
        <v>1208.2727272727273</v>
      </c>
      <c r="Z16" s="204"/>
    </row>
    <row r="17" spans="1:19" ht="12.75" customHeight="1">
      <c r="A17" s="178" t="s">
        <v>114</v>
      </c>
      <c r="B17" s="208">
        <f>IF(B19&lt;10,Geometrie!G18/100,0)</f>
        <v>0</v>
      </c>
      <c r="C17" s="180"/>
      <c r="D17" s="180"/>
      <c r="E17" s="200">
        <v>-100</v>
      </c>
      <c r="G17" s="198" t="s">
        <v>104</v>
      </c>
      <c r="H17" s="199">
        <f>H16+H15*0.25</f>
        <v>88.27272727272727</v>
      </c>
      <c r="I17" s="199">
        <f>IF(I14,Geometrie!C15+I16+I15*0.25,0)</f>
        <v>0</v>
      </c>
      <c r="J17" s="199">
        <f>IF(J14,Geometrie!D15+J16+J15*0.25,0)</f>
        <v>0</v>
      </c>
      <c r="K17" s="199">
        <f>IF(K14,Geometrie!E15+K16+K15*0.25,0)</f>
        <v>0</v>
      </c>
      <c r="L17" s="199">
        <f>IF(L14,Geometrie!F15+L16+L15*0.25,0)</f>
        <v>0</v>
      </c>
      <c r="M17" s="191" t="s">
        <v>15</v>
      </c>
      <c r="N17" s="192">
        <f>IF(N13&gt;0,N15^2/N13/10000,0)</f>
        <v>2.8363636363636364</v>
      </c>
      <c r="P17" s="209"/>
      <c r="Q17" s="209"/>
      <c r="R17" s="180"/>
      <c r="S17" s="180"/>
    </row>
    <row r="18" spans="1:21" ht="12.75" customHeight="1">
      <c r="A18" s="178" t="s">
        <v>115</v>
      </c>
      <c r="B18" s="188">
        <f>INDEX(E7:E21,C18)</f>
        <v>180</v>
      </c>
      <c r="C18" s="180">
        <f>Geometrie!C17</f>
        <v>1</v>
      </c>
      <c r="D18" s="180"/>
      <c r="E18" s="200">
        <v>-105</v>
      </c>
      <c r="G18" s="189"/>
      <c r="H18" s="191"/>
      <c r="I18" s="191"/>
      <c r="J18" s="210" t="s">
        <v>116</v>
      </c>
      <c r="K18" s="211">
        <f>Geometrie!C16</f>
        <v>1120</v>
      </c>
      <c r="L18" s="212"/>
      <c r="M18" s="213" t="s">
        <v>105</v>
      </c>
      <c r="N18" s="202">
        <f>IF(N13&gt;0,1.27*N15/Geometrie!C12,0)</f>
        <v>3.095625</v>
      </c>
      <c r="P18" s="214" t="s">
        <v>117</v>
      </c>
      <c r="Q18" s="187">
        <f>Q45</f>
        <v>-3</v>
      </c>
      <c r="R18" s="179"/>
      <c r="S18" s="179"/>
      <c r="U18" s="12" t="s">
        <v>118</v>
      </c>
    </row>
    <row r="19" spans="1:25" ht="12.75" customHeight="1">
      <c r="A19" s="178" t="s">
        <v>119</v>
      </c>
      <c r="B19" s="180">
        <f>(180-ABS(B18))/2*IF(B18&lt;0,-1,1)</f>
        <v>0</v>
      </c>
      <c r="C19" s="180"/>
      <c r="D19" s="180"/>
      <c r="E19" s="200">
        <v>-110</v>
      </c>
      <c r="G19" s="189"/>
      <c r="H19" s="191"/>
      <c r="I19" s="191"/>
      <c r="J19" s="215" t="s">
        <v>120</v>
      </c>
      <c r="K19" s="211">
        <f>IF(N13&gt;0,K18+N16-N10,0.001)</f>
        <v>1082.120032661949</v>
      </c>
      <c r="L19" s="216"/>
      <c r="M19" s="191" t="s">
        <v>121</v>
      </c>
      <c r="N19" s="192">
        <f>N13*SIN(B18/2*PI()/180)^2</f>
        <v>21.45</v>
      </c>
      <c r="P19" s="217" t="s">
        <v>122</v>
      </c>
      <c r="Q19" s="218">
        <f>R45</f>
        <v>-0.07</v>
      </c>
      <c r="R19" s="182"/>
      <c r="S19" s="182"/>
      <c r="U19" s="219" t="s">
        <v>123</v>
      </c>
      <c r="V19" s="220">
        <f>MAX(S2:AD3)</f>
        <v>1130</v>
      </c>
      <c r="W19" s="158" t="s">
        <v>110</v>
      </c>
      <c r="X19" s="220">
        <f>MAX(V19,1.5*V20,1.5*ABS(V21))</f>
        <v>2430</v>
      </c>
      <c r="Y19" s="221">
        <f>-X19</f>
        <v>-2430</v>
      </c>
    </row>
    <row r="20" spans="1:25" ht="12.75" customHeight="1">
      <c r="A20" s="165"/>
      <c r="B20" s="44"/>
      <c r="C20" s="44"/>
      <c r="D20" s="180"/>
      <c r="E20" s="200">
        <v>-115</v>
      </c>
      <c r="G20" s="198"/>
      <c r="H20" s="222"/>
      <c r="I20" s="222"/>
      <c r="J20" s="222" t="s">
        <v>21</v>
      </c>
      <c r="K20" s="223">
        <f>IF(ABS(B18)&gt;160,Geometrie!E16,(N15/2)*SIN(B19*PI()/180)/2.5-X38)</f>
        <v>0</v>
      </c>
      <c r="L20" s="222"/>
      <c r="M20" s="201" t="s">
        <v>124</v>
      </c>
      <c r="N20" s="202">
        <f>N19*K19/N7/N8</f>
        <v>0.6314634262290632</v>
      </c>
      <c r="P20" s="217" t="s">
        <v>125</v>
      </c>
      <c r="Q20" s="224">
        <f>Geometrie!P24</f>
        <v>1.3</v>
      </c>
      <c r="R20" s="179"/>
      <c r="S20" s="179"/>
      <c r="U20" s="178" t="s">
        <v>126</v>
      </c>
      <c r="V20" s="225">
        <f>MAX(S4:AD5,S10:AD11,V25:V34)</f>
        <v>1620</v>
      </c>
      <c r="W20" s="155" t="s">
        <v>113</v>
      </c>
      <c r="X20" s="225">
        <f>IF(V20&lt;ABS(V21),X19*2/3,X19)</f>
        <v>2430</v>
      </c>
      <c r="Y20" s="226">
        <f>IF(V20&lt;ABS(V21),-X19*2/3,-X19/3)</f>
        <v>-810</v>
      </c>
    </row>
    <row r="21" spans="1:25" ht="12.75" customHeight="1">
      <c r="A21" s="194"/>
      <c r="B21" s="44"/>
      <c r="C21" s="44"/>
      <c r="D21" s="180"/>
      <c r="E21" s="200">
        <v>-120</v>
      </c>
      <c r="P21" s="217" t="s">
        <v>127</v>
      </c>
      <c r="Q21" s="227">
        <f>0.11*$N$24*(Q20-Q18)</f>
        <v>0.3061561528707301</v>
      </c>
      <c r="R21" s="179"/>
      <c r="S21" s="179"/>
      <c r="U21" s="228" t="s">
        <v>128</v>
      </c>
      <c r="V21" s="229">
        <f>MIN(S4:AD5,S10:AD11,V25:V34)</f>
        <v>-420</v>
      </c>
      <c r="W21" s="230"/>
      <c r="X21" s="231"/>
      <c r="Y21" s="232"/>
    </row>
    <row r="22" spans="1:19" ht="12.75" customHeight="1">
      <c r="A22" s="194"/>
      <c r="B22" s="44"/>
      <c r="C22" s="44"/>
      <c r="D22" s="180"/>
      <c r="E22" s="233"/>
      <c r="H22" s="234" t="s">
        <v>129</v>
      </c>
      <c r="I22" s="235">
        <f>Geometrie!L24</f>
        <v>0.3</v>
      </c>
      <c r="M22" s="236" t="s">
        <v>130</v>
      </c>
      <c r="N22" s="237"/>
      <c r="P22" s="228" t="s">
        <v>131</v>
      </c>
      <c r="Q22" s="238">
        <f>$I$22/($N$24*0.11)+Q18</f>
        <v>1.2135360922982432</v>
      </c>
      <c r="R22" s="179"/>
      <c r="S22" s="179"/>
    </row>
    <row r="23" spans="1:30" ht="12.75" customHeight="1">
      <c r="A23" s="196" t="s">
        <v>26</v>
      </c>
      <c r="B23" s="195"/>
      <c r="C23" s="195"/>
      <c r="D23" s="239" t="s">
        <v>132</v>
      </c>
      <c r="E23" s="181" t="s">
        <v>133</v>
      </c>
      <c r="H23" s="240" t="s">
        <v>134</v>
      </c>
      <c r="I23" s="241">
        <f>Geometrie!C24</f>
        <v>0.075</v>
      </c>
      <c r="K23" s="242" t="s">
        <v>135</v>
      </c>
      <c r="L23" s="243">
        <f>IF(N20&lt;=-0.2,1/(2+N17)*(4.5-(-K19-5*K20)/(N17*N14)),0)</f>
        <v>0</v>
      </c>
      <c r="M23" s="244"/>
      <c r="N23" s="245">
        <v>1</v>
      </c>
      <c r="O23" s="246" t="s">
        <v>136</v>
      </c>
      <c r="P23" s="247">
        <f>-Q19/(P25-0.25)</f>
        <v>0.5269653804932829</v>
      </c>
      <c r="Q23" s="238">
        <f>-Q19/($Q$25-0.25)</f>
        <v>1.210317771590256</v>
      </c>
      <c r="R23" s="179"/>
      <c r="S23" s="179"/>
      <c r="U23" s="205" t="s">
        <v>26</v>
      </c>
      <c r="V23" s="248">
        <f>I31</f>
        <v>0.2</v>
      </c>
      <c r="W23" s="249">
        <f>Geometrie!C16</f>
        <v>1120</v>
      </c>
      <c r="X23" s="250">
        <f>IF(W23&lt;0,IF(V23&lt;0.45,2,1),1)</f>
        <v>1</v>
      </c>
      <c r="Y23" s="251" t="s">
        <v>137</v>
      </c>
      <c r="Z23" s="250"/>
      <c r="AA23" s="186" t="s">
        <v>138</v>
      </c>
      <c r="AB23" s="250"/>
      <c r="AC23" s="252"/>
      <c r="AD23" s="252"/>
    </row>
    <row r="24" spans="1:30" ht="12.75" customHeight="1">
      <c r="A24" s="253" t="s">
        <v>13</v>
      </c>
      <c r="B24" s="182">
        <f>Geometrie!C20/1000</f>
        <v>2.04</v>
      </c>
      <c r="C24" s="180"/>
      <c r="D24" s="254" t="s">
        <v>139</v>
      </c>
      <c r="E24" s="255" t="s">
        <v>140</v>
      </c>
      <c r="H24" s="256" t="s">
        <v>141</v>
      </c>
      <c r="I24" s="206"/>
      <c r="J24" s="206" t="s">
        <v>142</v>
      </c>
      <c r="K24" s="206" t="s">
        <v>143</v>
      </c>
      <c r="L24" s="206" t="s">
        <v>144</v>
      </c>
      <c r="M24" s="257" t="s">
        <v>145</v>
      </c>
      <c r="N24" s="258">
        <f>IF(N23=1,0.95*N11/(2*0.95+((N11/COS(P8*PI()/180))^2+4*0.95^2)^0.5),N11/(N11+2))</f>
        <v>0.6472645938070405</v>
      </c>
      <c r="O24" s="205" t="s">
        <v>146</v>
      </c>
      <c r="P24" s="206" t="s">
        <v>147</v>
      </c>
      <c r="Q24" s="207" t="s">
        <v>35</v>
      </c>
      <c r="R24" s="180"/>
      <c r="S24" s="180"/>
      <c r="U24" s="205" t="s">
        <v>148</v>
      </c>
      <c r="V24" s="252" t="s">
        <v>113</v>
      </c>
      <c r="W24" s="252" t="s">
        <v>110</v>
      </c>
      <c r="X24" s="259" t="s">
        <v>149</v>
      </c>
      <c r="Y24" s="180" t="s">
        <v>113</v>
      </c>
      <c r="Z24" s="260" t="s">
        <v>110</v>
      </c>
      <c r="AA24" s="214" t="s">
        <v>113</v>
      </c>
      <c r="AB24" s="171" t="s">
        <v>110</v>
      </c>
      <c r="AC24" s="180"/>
      <c r="AD24" s="180"/>
    </row>
    <row r="25" spans="1:30" ht="12.75" customHeight="1">
      <c r="A25" s="253" t="s">
        <v>150</v>
      </c>
      <c r="B25" s="182">
        <f>Geometrie!$E$20/1000</f>
        <v>0.23</v>
      </c>
      <c r="C25" s="180"/>
      <c r="D25" s="261" t="s">
        <v>151</v>
      </c>
      <c r="E25" s="255" t="s">
        <v>152</v>
      </c>
      <c r="H25" s="262"/>
      <c r="I25" s="9"/>
      <c r="J25" s="252">
        <f>2*K19/N9</f>
        <v>1.066128110996994</v>
      </c>
      <c r="K25" s="252">
        <f>2*K20/N9</f>
        <v>0</v>
      </c>
      <c r="L25" s="252">
        <f>SQRT(PI()^2/16+J25^2+K25^2)</f>
        <v>1.32419010120379</v>
      </c>
      <c r="M25" s="263" t="s">
        <v>153</v>
      </c>
      <c r="N25" s="264">
        <f>IF(N13&gt;0,IF(N23=1,0.95*N17/(2*0.95+((N17/COS(P14*PI()/180))^2+4*0.95^2)^0.5),N17/(N17+2)),0.000001)</f>
        <v>0.507056795333693</v>
      </c>
      <c r="O25" s="205" t="s">
        <v>154</v>
      </c>
      <c r="P25" s="265">
        <f>N30-N31-N32</f>
        <v>0.38283605069933485</v>
      </c>
      <c r="Q25" s="266">
        <f>P25-I23</f>
        <v>0.30783605069933484</v>
      </c>
      <c r="R25" s="267"/>
      <c r="S25" s="267"/>
      <c r="U25" s="268">
        <f aca="true" t="shared" si="0" ref="U25:U34">-W25</f>
        <v>0</v>
      </c>
      <c r="V25" s="155">
        <f aca="true" t="shared" si="1" ref="V25:V34">IF($X$23=1,Y25,AA25)</f>
        <v>-420</v>
      </c>
      <c r="W25" s="155">
        <f aca="true" t="shared" si="2" ref="W25:W34">IF($X$23=1,Z25,AB25)</f>
        <v>0</v>
      </c>
      <c r="X25" s="164">
        <f aca="true" t="shared" si="3" ref="X25:X30">W25</f>
        <v>0</v>
      </c>
      <c r="Y25" s="161">
        <f>-Geometrie!C21</f>
        <v>-420</v>
      </c>
      <c r="Z25" s="164">
        <v>0</v>
      </c>
      <c r="AA25" s="269">
        <f>-Geometrie!C21</f>
        <v>-420</v>
      </c>
      <c r="AB25" s="164">
        <f>AB29/10</f>
        <v>11.5</v>
      </c>
      <c r="AC25" s="161"/>
      <c r="AD25" s="270"/>
    </row>
    <row r="26" spans="1:30" ht="12.75" customHeight="1">
      <c r="A26" s="253" t="s">
        <v>155</v>
      </c>
      <c r="B26" s="182">
        <f>Geometrie!$E$21/1000</f>
        <v>0.34</v>
      </c>
      <c r="C26" s="44"/>
      <c r="D26" s="44"/>
      <c r="E26" s="181" t="s">
        <v>156</v>
      </c>
      <c r="H26" s="271" t="s">
        <v>157</v>
      </c>
      <c r="I26" s="272" t="s">
        <v>158</v>
      </c>
      <c r="J26" s="272" t="s">
        <v>159</v>
      </c>
      <c r="K26" s="272" t="s">
        <v>160</v>
      </c>
      <c r="L26" s="272" t="s">
        <v>161</v>
      </c>
      <c r="M26" s="272" t="s">
        <v>162</v>
      </c>
      <c r="N26" s="272" t="s">
        <v>163</v>
      </c>
      <c r="O26" s="228" t="s">
        <v>164</v>
      </c>
      <c r="P26" s="167">
        <f>N10+(P25-0.25)*N8</f>
        <v>183.76536019253186</v>
      </c>
      <c r="Q26" s="168">
        <f>N10+(Q25-0.25)*N8</f>
        <v>151.2369170787594</v>
      </c>
      <c r="R26" s="155"/>
      <c r="S26" s="155"/>
      <c r="U26" s="268">
        <f t="shared" si="0"/>
        <v>-46</v>
      </c>
      <c r="V26" s="155">
        <f t="shared" si="1"/>
        <v>-378</v>
      </c>
      <c r="W26" s="155">
        <f t="shared" si="2"/>
        <v>46</v>
      </c>
      <c r="X26" s="164">
        <f t="shared" si="3"/>
        <v>46</v>
      </c>
      <c r="Y26" s="161">
        <f>Y$25*0.9</f>
        <v>-378</v>
      </c>
      <c r="Z26" s="164">
        <f>Z$30*0.4</f>
        <v>46</v>
      </c>
      <c r="AA26" s="269">
        <f>AA25*0.92</f>
        <v>-386.40000000000003</v>
      </c>
      <c r="AB26" s="164">
        <f>AB29*(0.55-V23)*1.5+AB25</f>
        <v>71.87500000000001</v>
      </c>
      <c r="AC26" s="161"/>
      <c r="AD26" s="270"/>
    </row>
    <row r="27" spans="1:30" ht="12.75" customHeight="1">
      <c r="A27" s="178" t="s">
        <v>165</v>
      </c>
      <c r="B27" s="182">
        <f>B24*B25*D27</f>
        <v>0.32844</v>
      </c>
      <c r="C27" s="44" t="s">
        <v>166</v>
      </c>
      <c r="D27" s="155">
        <f>IF(E27=1,0.55,IF(E27=2,0.7,IF(E27=3,0.85,1)))</f>
        <v>0.7</v>
      </c>
      <c r="E27" s="260">
        <f>Geometrie!C19</f>
        <v>2</v>
      </c>
      <c r="H27" s="271">
        <f>2/(PI()*(1+SQRT(1+N11^2/4)))</f>
        <v>0.17543680318981306</v>
      </c>
      <c r="I27" s="272">
        <f>1+J25/L25</f>
        <v>1.8051171127376666</v>
      </c>
      <c r="J27" s="272">
        <f>PI()/(4*(PI()^2/16+K25^2))</f>
        <v>1.2732395447351628</v>
      </c>
      <c r="K27" s="272">
        <f>PI()*J25/(4*L25)</f>
        <v>0.6323375016640197</v>
      </c>
      <c r="L27" s="272">
        <f>1/(J25^2+K25^2)</f>
        <v>0.8797944349999733</v>
      </c>
      <c r="M27" s="273">
        <f>H27*(I27*J27+K27*L27)</f>
        <v>0.5008147940119888</v>
      </c>
      <c r="N27" s="273">
        <f>4/(N11+2)</f>
        <v>0.5828970331588132</v>
      </c>
      <c r="O27" s="274" t="s">
        <v>167</v>
      </c>
      <c r="P27" s="161"/>
      <c r="Q27" s="164">
        <f>K19-N8*(P25-0.25)</f>
        <v>1024.5073670801955</v>
      </c>
      <c r="R27" s="155"/>
      <c r="S27" s="155"/>
      <c r="U27" s="268">
        <f t="shared" si="0"/>
        <v>-63.25000000000001</v>
      </c>
      <c r="V27" s="155">
        <f t="shared" si="1"/>
        <v>-336</v>
      </c>
      <c r="W27" s="155">
        <f t="shared" si="2"/>
        <v>63.25000000000001</v>
      </c>
      <c r="X27" s="164">
        <f t="shared" si="3"/>
        <v>63.25000000000001</v>
      </c>
      <c r="Y27" s="161">
        <f>Y$25*0.8</f>
        <v>-336</v>
      </c>
      <c r="Z27" s="164">
        <f>Z$30*0.55</f>
        <v>63.25000000000001</v>
      </c>
      <c r="AA27" s="269">
        <f>AA25/5+AA28</f>
        <v>-196</v>
      </c>
      <c r="AB27" s="164">
        <f>0.42*AB29*(1+5*(0.45-V23))</f>
        <v>108.675</v>
      </c>
      <c r="AC27" s="161"/>
      <c r="AD27" s="270"/>
    </row>
    <row r="28" spans="1:30" ht="12.75" customHeight="1">
      <c r="A28" s="178" t="s">
        <v>168</v>
      </c>
      <c r="B28" s="182">
        <f>B24*PI()*(B25+B26)/2*D27*D28</f>
        <v>2.557130756315948</v>
      </c>
      <c r="C28" s="44" t="s">
        <v>169</v>
      </c>
      <c r="D28" s="155">
        <f>IF(E28=1,1,IF(E28=2,1.5,2))</f>
        <v>2</v>
      </c>
      <c r="E28" s="275">
        <f>Geometrie!G20</f>
        <v>0</v>
      </c>
      <c r="F28" s="180"/>
      <c r="H28" s="276" t="s">
        <v>170</v>
      </c>
      <c r="I28" s="277">
        <f>M27*I22/(N24*0.11)</f>
        <v>2.110201210126425</v>
      </c>
      <c r="J28" s="278" t="s">
        <v>171</v>
      </c>
      <c r="K28" s="277">
        <f>N27*I22/(N24*0.11)</f>
        <v>2.4560576873082254</v>
      </c>
      <c r="L28" s="278" t="s">
        <v>172</v>
      </c>
      <c r="M28" s="279">
        <f>36.4*I22/N11</f>
        <v>2.2458620689655175</v>
      </c>
      <c r="N28" s="280">
        <f>1/(2+N11)*(4.5-(K19+5*K20)/(N11*N8))</f>
        <v>0.5809825616333723</v>
      </c>
      <c r="O28" s="163" t="s">
        <v>173</v>
      </c>
      <c r="P28" s="281">
        <f>N20*(1-(P25-0.25)*N8/K19)</f>
        <v>0.5978439661836281</v>
      </c>
      <c r="Q28" s="282">
        <f>$N20*(1-(Q25-0.25)*$N$8/$K$19)</f>
        <v>0.6168257071352224</v>
      </c>
      <c r="R28" s="182"/>
      <c r="S28" s="182"/>
      <c r="U28" s="268">
        <f t="shared" si="0"/>
        <v>-92</v>
      </c>
      <c r="V28" s="155">
        <f t="shared" si="1"/>
        <v>-252</v>
      </c>
      <c r="W28" s="155">
        <f t="shared" si="2"/>
        <v>92</v>
      </c>
      <c r="X28" s="164">
        <f t="shared" si="3"/>
        <v>92</v>
      </c>
      <c r="Y28" s="161">
        <f>Y$25*0.6</f>
        <v>-252</v>
      </c>
      <c r="Z28" s="164">
        <f>Z$30*0.8</f>
        <v>92</v>
      </c>
      <c r="AA28" s="269">
        <f>-Geometrie!C4/5</f>
        <v>-112</v>
      </c>
      <c r="AB28" s="164">
        <f>AB29*0.92</f>
        <v>105.80000000000001</v>
      </c>
      <c r="AC28" s="161"/>
      <c r="AD28" s="270"/>
    </row>
    <row r="29" spans="1:30" ht="12.75" customHeight="1">
      <c r="A29" s="253" t="s">
        <v>174</v>
      </c>
      <c r="B29" s="44"/>
      <c r="C29" s="17"/>
      <c r="D29" s="44"/>
      <c r="E29" s="233"/>
      <c r="H29" s="256" t="s">
        <v>175</v>
      </c>
      <c r="I29" s="206"/>
      <c r="J29" s="205"/>
      <c r="K29" s="206" t="s">
        <v>176</v>
      </c>
      <c r="L29" s="207" t="s">
        <v>177</v>
      </c>
      <c r="M29" s="252" t="s">
        <v>178</v>
      </c>
      <c r="N29" s="283">
        <f>0.11*(N24*N7+(1-M27)*N25*N19+L32*I33)</f>
        <v>7.981151585612707</v>
      </c>
      <c r="O29" s="163" t="s">
        <v>179</v>
      </c>
      <c r="P29" s="270">
        <f>(P25-I34)*L32*I33/(P28*N25*N7)</f>
        <v>0.21555443288020107</v>
      </c>
      <c r="Q29" s="284">
        <f>(Q25-I34)*L32*I33/(Q28*N25*N7)</f>
        <v>0.1742067104013262</v>
      </c>
      <c r="R29" s="179"/>
      <c r="S29" s="179"/>
      <c r="U29" s="268">
        <f t="shared" si="0"/>
        <v>-111.55</v>
      </c>
      <c r="V29" s="155">
        <f t="shared" si="1"/>
        <v>-126</v>
      </c>
      <c r="W29" s="155">
        <f t="shared" si="2"/>
        <v>111.55</v>
      </c>
      <c r="X29" s="164">
        <f t="shared" si="3"/>
        <v>111.55</v>
      </c>
      <c r="Y29" s="161">
        <f>Y$25*0.3</f>
        <v>-126</v>
      </c>
      <c r="Z29" s="164">
        <f>Z$30*0.97</f>
        <v>111.55</v>
      </c>
      <c r="AA29" s="269">
        <v>0</v>
      </c>
      <c r="AB29" s="164">
        <f>Geometrie!E20/2</f>
        <v>115</v>
      </c>
      <c r="AC29" s="161"/>
      <c r="AD29" s="270"/>
    </row>
    <row r="30" spans="1:30" ht="12.75" customHeight="1">
      <c r="A30" s="253" t="s">
        <v>180</v>
      </c>
      <c r="B30" s="44"/>
      <c r="C30" s="180"/>
      <c r="D30" s="180" t="s">
        <v>181</v>
      </c>
      <c r="E30" s="260">
        <f>Geometrie!G22</f>
        <v>0</v>
      </c>
      <c r="H30" s="285" t="s">
        <v>182</v>
      </c>
      <c r="I30" s="286">
        <f>Geometrie!C20</f>
        <v>2040</v>
      </c>
      <c r="J30" s="163" t="s">
        <v>183</v>
      </c>
      <c r="K30" s="182">
        <f>0.2*(1+N8/I35)*IF(N20&lt;10,N24,1)</f>
        <v>0.3735631740566122</v>
      </c>
      <c r="L30" s="287">
        <f>IF(K30&gt;1.2,1.2,IF(K30&lt;0.1,0.1,K30))</f>
        <v>0.3735631740566122</v>
      </c>
      <c r="M30" s="252" t="s">
        <v>184</v>
      </c>
      <c r="N30" s="283">
        <f>0.25+0.11*N25*K19*N19/(N8*N29)</f>
        <v>0.6240110663804521</v>
      </c>
      <c r="O30" s="166" t="s">
        <v>185</v>
      </c>
      <c r="P30" s="288">
        <v>0</v>
      </c>
      <c r="Q30" s="289">
        <f>1+(P25-0.25)*N8/Q27+(1+(P25-I34)*N8/Q27)*L32*I33/(N24*N7)</f>
        <v>1.3226304146026175</v>
      </c>
      <c r="R30" s="179"/>
      <c r="S30" s="179"/>
      <c r="U30" s="268">
        <f t="shared" si="0"/>
        <v>-115</v>
      </c>
      <c r="V30" s="155">
        <f t="shared" si="1"/>
        <v>0</v>
      </c>
      <c r="W30" s="155">
        <f t="shared" si="2"/>
        <v>115</v>
      </c>
      <c r="X30" s="164">
        <f t="shared" si="3"/>
        <v>115</v>
      </c>
      <c r="Y30" s="155">
        <f>IF(V23&lt;0.3,0,Y25*0.1)</f>
        <v>0</v>
      </c>
      <c r="Z30" s="164">
        <f>Geometrie!E20/2</f>
        <v>115</v>
      </c>
      <c r="AA30" s="269">
        <f>AA34*3/10</f>
        <v>486</v>
      </c>
      <c r="AB30" s="164">
        <f>AB29</f>
        <v>115</v>
      </c>
      <c r="AC30" s="161"/>
      <c r="AD30" s="270"/>
    </row>
    <row r="31" spans="1:30" ht="12.75" customHeight="1">
      <c r="A31" s="253" t="s">
        <v>186</v>
      </c>
      <c r="B31" s="44"/>
      <c r="C31" s="180"/>
      <c r="D31" s="180" t="s">
        <v>187</v>
      </c>
      <c r="E31" s="260">
        <f>IF(E30=1,0.2,IF(E30=2,0.6,1))</f>
        <v>1</v>
      </c>
      <c r="H31" s="285" t="s">
        <v>188</v>
      </c>
      <c r="I31" s="290">
        <f>IF(B27&gt;0,IF(K18&gt;=0,IF(E27=1,0.15,IF(E27=2,0.2,IF(E27=3,0.25,0.45))),IF(E27=1,0.449,IF(E27=2,0.35,IF(E27=3,0.25,0.45)))),0)</f>
        <v>0.2</v>
      </c>
      <c r="J31" s="178" t="s">
        <v>138</v>
      </c>
      <c r="K31" s="281">
        <f>0.2*N25*(1+N14/I35)</f>
        <v>0.2237463266049545</v>
      </c>
      <c r="L31" s="287">
        <f>IF(K31&gt;1.2,1.2,IF(K31&lt;0.1,0.1,K31))</f>
        <v>0.2237463266049545</v>
      </c>
      <c r="M31" s="252" t="s">
        <v>189</v>
      </c>
      <c r="N31" s="283">
        <f>M27*K19*0.11*N25*N19/(N8*N29)</f>
        <v>0.18731027516753038</v>
      </c>
      <c r="O31" s="163" t="s">
        <v>190</v>
      </c>
      <c r="P31" s="270">
        <f>-Q19/($P$28*0.11*$N$25)+Q18+$P$29*(Q20-Q18)-$Q$46</f>
        <v>0.02611828070797184</v>
      </c>
      <c r="Q31" s="291">
        <f>($Q$30*$I$23*$I$22-Q19)/($Q$28*0.11*$N$25)+Q18+$Q$29*(Q20-Q18)-$Q$46</f>
        <v>0.6487091561751859</v>
      </c>
      <c r="R31" s="179"/>
      <c r="S31" s="179"/>
      <c r="U31" s="268">
        <f t="shared" si="0"/>
        <v>-115</v>
      </c>
      <c r="V31" s="155">
        <f t="shared" si="1"/>
        <v>280</v>
      </c>
      <c r="W31" s="155">
        <f t="shared" si="2"/>
        <v>115</v>
      </c>
      <c r="X31" s="164">
        <f>IF($W$31&gt;$W$30,$X$30,W31)</f>
        <v>115</v>
      </c>
      <c r="Y31" s="161">
        <f>IF(V23&lt;0.3,0.5*Geometrie!C4,Y25*0.05)</f>
        <v>280</v>
      </c>
      <c r="Z31" s="164">
        <f>IF(V23&lt;0.3,Z30,0.95*Z30*(1+5*(V23-0.25)))</f>
        <v>115</v>
      </c>
      <c r="AA31" s="269">
        <f>AA34*6/10</f>
        <v>972</v>
      </c>
      <c r="AB31" s="164">
        <f>AB29*0.95</f>
        <v>109.25</v>
      </c>
      <c r="AC31" s="161"/>
      <c r="AD31" s="270"/>
    </row>
    <row r="32" spans="1:30" ht="12.75">
      <c r="A32" s="292" t="s">
        <v>191</v>
      </c>
      <c r="B32" s="293"/>
      <c r="C32" s="209"/>
      <c r="D32" s="209" t="s">
        <v>192</v>
      </c>
      <c r="E32" s="294">
        <f>E31*Geometrie!F22/100</f>
        <v>0</v>
      </c>
      <c r="H32" s="285" t="s">
        <v>193</v>
      </c>
      <c r="I32" s="295">
        <f>I30*I31-(Geometrie!C21+N10)</f>
        <v>-138.15269461077844</v>
      </c>
      <c r="J32" s="296"/>
      <c r="K32" s="297" t="s">
        <v>194</v>
      </c>
      <c r="L32" s="298">
        <f>IF(I33&gt;0,IF(N20&gt;0.2,L30,IF(N20&lt;-0.2,L31,0.1)),0)</f>
        <v>0.3735631740566122</v>
      </c>
      <c r="M32" s="231" t="s">
        <v>195</v>
      </c>
      <c r="N32" s="299">
        <f>-(0.11*I32/N8)*L32*I33/N29</f>
        <v>0.053864740513586876</v>
      </c>
      <c r="O32" s="228" t="s">
        <v>196</v>
      </c>
      <c r="P32" s="288">
        <f>$Q$20-P31</f>
        <v>1.2738817192920282</v>
      </c>
      <c r="Q32" s="289">
        <f>Q20-Q31</f>
        <v>0.6512908438248142</v>
      </c>
      <c r="R32" s="179"/>
      <c r="S32" s="179"/>
      <c r="U32" s="269">
        <f t="shared" si="0"/>
        <v>-81.9375</v>
      </c>
      <c r="V32" s="155">
        <f t="shared" si="1"/>
        <v>604</v>
      </c>
      <c r="W32" s="155">
        <f t="shared" si="2"/>
        <v>81.9375</v>
      </c>
      <c r="X32" s="164">
        <f>IF($W$31&gt;$W$30,0.95*$X$30,W32)</f>
        <v>81.9375</v>
      </c>
      <c r="Y32" s="161">
        <f>Y34/5+Y31</f>
        <v>604</v>
      </c>
      <c r="Z32" s="164">
        <f>0.95*Z30*(1+5*(V23-0.25))</f>
        <v>81.9375</v>
      </c>
      <c r="AA32" s="269">
        <f>AA34*8/10</f>
        <v>1296</v>
      </c>
      <c r="AB32" s="164">
        <f>AB29*0.9</f>
        <v>103.5</v>
      </c>
      <c r="AC32" s="161"/>
      <c r="AD32" s="270"/>
    </row>
    <row r="33" spans="1:30" ht="12.75">
      <c r="A33" s="165"/>
      <c r="B33" s="165"/>
      <c r="C33" s="44"/>
      <c r="D33" s="44"/>
      <c r="E33" s="44"/>
      <c r="H33" s="285" t="s">
        <v>197</v>
      </c>
      <c r="I33" s="300">
        <f>B27*100</f>
        <v>32.844</v>
      </c>
      <c r="L33" s="301"/>
      <c r="R33" s="44"/>
      <c r="S33" s="44"/>
      <c r="U33" s="269">
        <f t="shared" si="0"/>
        <v>-28.750000000000007</v>
      </c>
      <c r="V33" s="155">
        <f t="shared" si="1"/>
        <v>1587.6</v>
      </c>
      <c r="W33" s="155">
        <f t="shared" si="2"/>
        <v>28.750000000000007</v>
      </c>
      <c r="X33" s="164">
        <f>IF($W$31&gt;$W$30,0.9*$X$30,W33)</f>
        <v>28.750000000000007</v>
      </c>
      <c r="Y33" s="161">
        <f>Y34*0.98</f>
        <v>1587.6</v>
      </c>
      <c r="Z33" s="164">
        <f>Z30*(V23-0.15)*4+Z34</f>
        <v>28.750000000000007</v>
      </c>
      <c r="AA33" s="269">
        <f>AA34*9/10</f>
        <v>1458</v>
      </c>
      <c r="AB33" s="164">
        <f>AB29*0.8</f>
        <v>92</v>
      </c>
      <c r="AC33" s="161"/>
      <c r="AD33" s="270"/>
    </row>
    <row r="34" spans="8:30" ht="12.75">
      <c r="H34" s="302" t="s">
        <v>198</v>
      </c>
      <c r="I34" s="303">
        <f>I32/N8+0.25</f>
        <v>-0.06853513737401629</v>
      </c>
      <c r="K34" s="406" t="s">
        <v>199</v>
      </c>
      <c r="L34" s="304" t="s">
        <v>200</v>
      </c>
      <c r="M34" s="305">
        <f>0.25+(1-M27)*N20*N25/N24-0.1</f>
        <v>0.3969361448885833</v>
      </c>
      <c r="N34" s="306" t="s">
        <v>201</v>
      </c>
      <c r="O34" s="307" t="s">
        <v>196</v>
      </c>
      <c r="P34" s="308">
        <f>((P25-0.25)*0.11*N24*(Q22-Q18)+(P25-I34)*0.11*L32*I33/N7*(Q22-Q20)+Q19)/(P28*N25*0.11)+I28+Q46-(Q22-Q20)</f>
        <v>1.2738817192920286</v>
      </c>
      <c r="Q34" s="309">
        <f>(($Q$25-0.25)*0.11*$N$24*(Q22-Q18)+($Q$25-$I$34)*0.11*$L$32*$I$33/$N$7*(Q22-Q20)+Q19)/($Q$28*$N$25*0.11)+$I$28+$Q$46-(Q22-Q20)</f>
        <v>0.6512908438248148</v>
      </c>
      <c r="R34" s="179"/>
      <c r="S34" s="179"/>
      <c r="U34" s="310">
        <f t="shared" si="0"/>
        <v>-5.75</v>
      </c>
      <c r="V34" s="311">
        <f t="shared" si="1"/>
        <v>1620</v>
      </c>
      <c r="W34" s="311">
        <f t="shared" si="2"/>
        <v>5.75</v>
      </c>
      <c r="X34" s="168">
        <f>IF($W$31&gt;$W$30,0.8*$X$30,W34)</f>
        <v>5.75</v>
      </c>
      <c r="Y34" s="167">
        <f>Geometrie!C20+Y25</f>
        <v>1620</v>
      </c>
      <c r="Z34" s="168">
        <f>Z30/20</f>
        <v>5.75</v>
      </c>
      <c r="AA34" s="310">
        <f>Geometrie!C20+Y25</f>
        <v>1620</v>
      </c>
      <c r="AB34" s="168">
        <v>0</v>
      </c>
      <c r="AC34" s="161"/>
      <c r="AD34" s="270"/>
    </row>
    <row r="35" spans="8:30" ht="12.75">
      <c r="H35" s="292" t="s">
        <v>202</v>
      </c>
      <c r="I35" s="312">
        <f>Geometrie!E20</f>
        <v>230</v>
      </c>
      <c r="K35" s="406"/>
      <c r="L35" s="186" t="s">
        <v>203</v>
      </c>
      <c r="M35" s="313">
        <f>0.25+((1-M27)*K19/N8*N19*0.11*N25-(-I34+0.25)*0.11*L32*I33)/(N7*0.11*N24+N19*(1-M27)*0.11*N25+0.11*L32*I33)</f>
        <v>0.3828360506993348</v>
      </c>
      <c r="N35" s="203"/>
      <c r="O35" s="314" t="s">
        <v>190</v>
      </c>
      <c r="P35" s="315">
        <f>Q20-P34</f>
        <v>0.026118280707971397</v>
      </c>
      <c r="Q35" s="316">
        <f>Q20-Q34</f>
        <v>0.6487091561751852</v>
      </c>
      <c r="R35" s="179"/>
      <c r="S35" s="179"/>
      <c r="AD35" s="9"/>
    </row>
    <row r="36" spans="9:30" ht="12.75">
      <c r="I36" s="317"/>
      <c r="J36" s="318"/>
      <c r="K36" s="406"/>
      <c r="L36" s="319" t="s">
        <v>204</v>
      </c>
      <c r="M36" s="320">
        <f>1-(0.11*((P25-0.25)*N24+(P25-I34)*L32*I33/N7))/(P28*0.11*N25)-M27</f>
        <v>0</v>
      </c>
      <c r="N36" s="306" t="s">
        <v>205</v>
      </c>
      <c r="O36" s="321" t="s">
        <v>206</v>
      </c>
      <c r="P36" s="322">
        <f>N7*N8*(I22*(P25-0.25)+Q19+(P25-I34)*0.11*L32*(Q22-Q20)*I33/N7)/(N19*(K19-N8*(P25-0.25)))</f>
        <v>-0.05146939521337634</v>
      </c>
      <c r="Q36" s="323">
        <f>N7*N8*(I22*(Q25-0.25)+Q19+(Q25-I34)*0.11*L32*(Q22-Q20)*I33/N7)/(N19*(K19-N8*(Q25-0.25)))</f>
        <v>-0.08619517796640076</v>
      </c>
      <c r="U36" s="12" t="s">
        <v>207</v>
      </c>
      <c r="AD36" s="9"/>
    </row>
    <row r="37" spans="1:30" ht="12.75">
      <c r="A37" s="44"/>
      <c r="B37" s="44"/>
      <c r="C37" s="44"/>
      <c r="D37" s="44"/>
      <c r="E37" s="180"/>
      <c r="F37" s="44"/>
      <c r="G37" s="44"/>
      <c r="H37" s="44"/>
      <c r="I37" s="44"/>
      <c r="J37" s="44"/>
      <c r="K37" s="406"/>
      <c r="L37" s="166" t="s">
        <v>208</v>
      </c>
      <c r="M37" s="324">
        <f>0.25+((K19*N19*N25*(1-M27)+I32*I33*L32))/(N8*(N7*N24+I33*L32+N19*N25*(1-M27)))</f>
        <v>0.3828360506993348</v>
      </c>
      <c r="O37" s="321" t="s">
        <v>196</v>
      </c>
      <c r="P37" s="325">
        <f>9.1*(M27*I22/N24+P36/N25)+Q46-(Q22-Q20)</f>
        <v>1.2750691371036194</v>
      </c>
      <c r="Q37" s="326">
        <f>(M27*I22/N24+Q36/N25)/0.11+Q46-(Q22-Q20)</f>
        <v>0.6512908438248151</v>
      </c>
      <c r="U37" s="214" t="s">
        <v>209</v>
      </c>
      <c r="V37" s="327">
        <f>Geometrie!C22</f>
        <v>0</v>
      </c>
      <c r="W37" s="328" t="s">
        <v>210</v>
      </c>
      <c r="X37" s="159">
        <f>IF(V37&lt;&gt;1,MAX(W25:W34),0)</f>
        <v>115</v>
      </c>
      <c r="Y37" s="328" t="s">
        <v>211</v>
      </c>
      <c r="Z37" s="327">
        <f>Geometrie!E17</f>
        <v>10</v>
      </c>
      <c r="AA37" s="329"/>
      <c r="AD37" s="9"/>
    </row>
    <row r="38" spans="1:30" ht="12.75">
      <c r="A38" s="180"/>
      <c r="B38" s="180"/>
      <c r="C38" s="44"/>
      <c r="D38" s="44"/>
      <c r="E38" s="180"/>
      <c r="F38" s="44"/>
      <c r="G38" s="44"/>
      <c r="H38" s="44"/>
      <c r="I38" s="44"/>
      <c r="J38" s="44"/>
      <c r="O38" s="330" t="s">
        <v>190</v>
      </c>
      <c r="P38" s="331">
        <f>$Q$20-P37</f>
        <v>0.02493086289638069</v>
      </c>
      <c r="Q38" s="332">
        <f>$Q$20-Q37</f>
        <v>0.648709156175185</v>
      </c>
      <c r="U38" s="228"/>
      <c r="V38" s="293"/>
      <c r="W38" s="333" t="s">
        <v>212</v>
      </c>
      <c r="X38" s="334">
        <f>B26*1000*0.75/2*IF(V37=1,3,IF(V37=2,1,IF(V37=3,0,IF(V37=4,-1,0))))</f>
        <v>0</v>
      </c>
      <c r="Y38" s="209" t="s">
        <v>213</v>
      </c>
      <c r="Z38" s="335" t="b">
        <f>FALSE</f>
        <v>0</v>
      </c>
      <c r="AA38" s="238">
        <f>IF(Z38=TRUE,1,COS(B19*PI()/180))</f>
        <v>1</v>
      </c>
      <c r="AD38" s="9"/>
    </row>
    <row r="39" spans="1:30" ht="12.75">
      <c r="A39" s="180"/>
      <c r="B39" s="180"/>
      <c r="C39" s="44"/>
      <c r="D39" s="44"/>
      <c r="E39" s="180"/>
      <c r="F39" s="44"/>
      <c r="G39" s="44"/>
      <c r="H39" s="44"/>
      <c r="I39" s="44"/>
      <c r="J39" s="44"/>
      <c r="Q39" s="336"/>
      <c r="W39" s="337"/>
      <c r="AD39" s="9"/>
    </row>
    <row r="40" spans="1:30" ht="12.75">
      <c r="A40" s="44"/>
      <c r="B40" s="44"/>
      <c r="C40" s="44"/>
      <c r="D40" s="44"/>
      <c r="E40" s="44"/>
      <c r="F40" s="44"/>
      <c r="G40" s="44"/>
      <c r="H40" s="44"/>
      <c r="I40" s="44"/>
      <c r="J40" s="44"/>
      <c r="AD40" s="9"/>
    </row>
    <row r="41" spans="1:30" ht="12.75">
      <c r="A41" s="338"/>
      <c r="B41" s="338"/>
      <c r="C41" s="338"/>
      <c r="D41" s="338"/>
      <c r="E41" s="338"/>
      <c r="F41" s="338"/>
      <c r="G41" s="338"/>
      <c r="H41" s="338"/>
      <c r="I41" s="338"/>
      <c r="J41" s="338"/>
      <c r="O41" s="214" t="s">
        <v>214</v>
      </c>
      <c r="P41" s="170"/>
      <c r="Q41" s="170" t="s">
        <v>215</v>
      </c>
      <c r="R41" s="171" t="s">
        <v>216</v>
      </c>
      <c r="U41" s="5" t="s">
        <v>217</v>
      </c>
      <c r="V41" s="339"/>
      <c r="W41" s="186" t="s">
        <v>218</v>
      </c>
      <c r="X41" s="250">
        <f>Servos!C4</f>
        <v>80</v>
      </c>
      <c r="Y41" s="340" t="s">
        <v>219</v>
      </c>
      <c r="Z41" s="341">
        <v>1</v>
      </c>
      <c r="AA41" s="166"/>
      <c r="AD41" s="9"/>
    </row>
    <row r="42" spans="1:30" ht="12.75">
      <c r="A42" s="180"/>
      <c r="B42" s="180"/>
      <c r="C42" s="180"/>
      <c r="D42" s="180"/>
      <c r="E42" s="180"/>
      <c r="F42" s="180"/>
      <c r="G42" s="180"/>
      <c r="H42" s="180"/>
      <c r="I42" s="180"/>
      <c r="J42" s="180"/>
      <c r="O42" s="169" t="s">
        <v>220</v>
      </c>
      <c r="P42" s="170"/>
      <c r="Q42" s="158">
        <v>0</v>
      </c>
      <c r="R42" s="342">
        <v>0</v>
      </c>
      <c r="U42" s="214">
        <f>Servos!C9</f>
        <v>10</v>
      </c>
      <c r="V42" s="155">
        <f>ASIN(SIN(V43*PI()/180/$AB43))*180/PI()</f>
        <v>8.840721885766046</v>
      </c>
      <c r="W42" s="155">
        <f>ASIN(SIN(W43*PI()/180/$AB43))*180/PI()</f>
        <v>6.630541414324534</v>
      </c>
      <c r="X42" s="155">
        <f>ASIN(SIN(X43*PI()/180/$AB43))*180/PI()</f>
        <v>4.420360942883023</v>
      </c>
      <c r="Y42" s="155">
        <f>ASIN(SIN(Y43*PI()/180/$AB43))*180/PI()</f>
        <v>2.2101804714415114</v>
      </c>
      <c r="Z42" s="158">
        <f>ASIN(SIN(Z43*PI()/180/$AB$43))*180/PI()</f>
        <v>0</v>
      </c>
      <c r="AA42" s="214">
        <f>Servos!C6</f>
        <v>60</v>
      </c>
      <c r="AB42" s="171" t="s">
        <v>221</v>
      </c>
      <c r="AD42" s="9"/>
    </row>
    <row r="43" spans="1:30" ht="12.75">
      <c r="A43" s="343"/>
      <c r="B43" s="343"/>
      <c r="C43" s="343"/>
      <c r="D43" s="343"/>
      <c r="E43" s="343"/>
      <c r="F43" s="343"/>
      <c r="G43" s="343"/>
      <c r="H43" s="343"/>
      <c r="I43" s="343"/>
      <c r="J43" s="343"/>
      <c r="O43" s="196" t="s">
        <v>222</v>
      </c>
      <c r="P43" s="180"/>
      <c r="Q43" s="155">
        <v>-2</v>
      </c>
      <c r="R43" s="344">
        <v>-0.04</v>
      </c>
      <c r="U43" s="178">
        <f>Servos!C11</f>
        <v>45</v>
      </c>
      <c r="V43" s="180">
        <f>$U43*4/5</f>
        <v>36</v>
      </c>
      <c r="W43" s="180">
        <f>$U43*3/5</f>
        <v>27</v>
      </c>
      <c r="X43" s="180">
        <f>$U43*2/5</f>
        <v>18</v>
      </c>
      <c r="Y43" s="180">
        <f>$U43/5</f>
        <v>9</v>
      </c>
      <c r="Z43" s="180">
        <v>0</v>
      </c>
      <c r="AA43" s="178">
        <f>Servos!C7</f>
        <v>60</v>
      </c>
      <c r="AB43" s="162">
        <f>SIN(U43*PI()/180)/SIN(U42*PI()/180)</f>
        <v>4.072065659927794</v>
      </c>
      <c r="AD43" s="9"/>
    </row>
    <row r="44" spans="1:30" ht="12.75">
      <c r="A44" s="343"/>
      <c r="B44" s="343"/>
      <c r="C44" s="343"/>
      <c r="D44" s="343"/>
      <c r="E44" s="343"/>
      <c r="F44" s="343"/>
      <c r="G44" s="343"/>
      <c r="H44" s="343"/>
      <c r="I44" s="343"/>
      <c r="J44" s="343"/>
      <c r="O44" s="196" t="s">
        <v>223</v>
      </c>
      <c r="P44" s="180"/>
      <c r="Q44" s="155">
        <v>-3</v>
      </c>
      <c r="R44" s="344">
        <v>-0.07</v>
      </c>
      <c r="U44" s="345">
        <f>(($AA42+$AA43)/2)^2*$X$41^2*$AA44*SIN(U42*PI()/180)*TAN(U42*PI()/180)/TAN(U43*PI()/180)/423241618/0.981/6.5</f>
        <v>0.05227941767694819</v>
      </c>
      <c r="V44" s="279">
        <f>(($AA42+$AA43)/2)^2*$X$41^2*$AA44*SIN(V42*PI()/180)*TAN(V42*PI()/180)/TAN(V43*PI()/180)/423241618/0.981/6.5</f>
        <v>0.056176167607770514</v>
      </c>
      <c r="W44" s="279">
        <f>(($AA42+$AA43)/2)^2*$X$41^2*$AA44*SIN(W42*PI()/180)*TAN(W42*PI()/180)/TAN(W43*PI()/180)/423241618/0.981/6.5</f>
        <v>0.04497835712420791</v>
      </c>
      <c r="X44" s="279">
        <f>(($AA42+$AA43)/2)^2*$X$41^2*$AA44*SIN(X42*PI()/180)*TAN(X42*PI()/180)/TAN(X43*PI()/180)/423241618/0.981/6.5</f>
        <v>0.03130890245151142</v>
      </c>
      <c r="Y44" s="279">
        <f>(($AA42+$AA43)/2)^2*$X$41^2*$AA44*SIN(Y42*PI()/180)*TAN(Y42*PI()/180)/TAN(Y43*PI()/180)/423241618/0.981/6.5</f>
        <v>0.016045276748434686</v>
      </c>
      <c r="Z44" s="279">
        <v>0</v>
      </c>
      <c r="AA44" s="228">
        <f>Servos!C8</f>
        <v>200</v>
      </c>
      <c r="AB44" s="346">
        <f>((AA42+AA43)/2/1000)^2*AA44/1000*$X$41^2*U42/200/AB43</f>
        <v>0.05658062006890269</v>
      </c>
      <c r="AD44" s="9"/>
    </row>
    <row r="45" spans="1:30" ht="12.75">
      <c r="A45" s="343"/>
      <c r="B45" s="343"/>
      <c r="C45" s="343"/>
      <c r="D45" s="343"/>
      <c r="E45" s="343"/>
      <c r="F45" s="343"/>
      <c r="G45" s="343"/>
      <c r="H45" s="343"/>
      <c r="I45" s="343"/>
      <c r="J45" s="343"/>
      <c r="O45" s="214" t="s">
        <v>4</v>
      </c>
      <c r="P45" s="170">
        <f>Geometrie!C2</f>
        <v>3</v>
      </c>
      <c r="Q45" s="158">
        <f>INDEX(Q42:Q44,$P$45)</f>
        <v>-3</v>
      </c>
      <c r="R45" s="171">
        <f>INDEX(R42:R44,$P$45)</f>
        <v>-0.07</v>
      </c>
      <c r="U45" s="214">
        <f>Servos!E9</f>
        <v>30</v>
      </c>
      <c r="V45" s="155">
        <f>ASIN(SIN(V46*PI()/180/$AB46))*180/PI()</f>
        <v>25.45584412271571</v>
      </c>
      <c r="W45" s="155">
        <f>ASIN(SIN(W46*PI()/180/$AB46))*180/PI()</f>
        <v>19.09188309203678</v>
      </c>
      <c r="X45" s="155">
        <f>ASIN(SIN(X46*PI()/180/$AB46))*180/PI()</f>
        <v>12.727922061357852</v>
      </c>
      <c r="Y45" s="155">
        <f>ASIN(SIN(Y46*PI()/180/$AB46))*180/PI()</f>
        <v>6.363961030678926</v>
      </c>
      <c r="Z45" s="158">
        <f>ASIN(SIN(Z46*PI()/180/$AB$43))*180/PI()</f>
        <v>0</v>
      </c>
      <c r="AA45" s="214">
        <f>Servos!E6</f>
        <v>80</v>
      </c>
      <c r="AB45" s="171" t="s">
        <v>221</v>
      </c>
      <c r="AD45" s="9"/>
    </row>
    <row r="46" spans="1:30" ht="12.75">
      <c r="A46" s="343"/>
      <c r="B46" s="343"/>
      <c r="C46" s="343"/>
      <c r="D46" s="343"/>
      <c r="E46" s="343"/>
      <c r="F46" s="343"/>
      <c r="G46" s="343"/>
      <c r="H46" s="343"/>
      <c r="I46" s="343"/>
      <c r="J46" s="343"/>
      <c r="O46" s="228" t="s">
        <v>107</v>
      </c>
      <c r="P46" s="209">
        <f>Geometrie!C10</f>
        <v>1</v>
      </c>
      <c r="Q46" s="311">
        <f>INDEX(Q42:Q44,$P$46)</f>
        <v>0</v>
      </c>
      <c r="R46" s="294">
        <f>INDEX(R42:R44,$P$46)</f>
        <v>0</v>
      </c>
      <c r="U46" s="178">
        <f>Servos!E11</f>
        <v>45</v>
      </c>
      <c r="V46" s="180">
        <f>$U46*4/5</f>
        <v>36</v>
      </c>
      <c r="W46" s="180">
        <f>$U46*3/5</f>
        <v>27</v>
      </c>
      <c r="X46" s="180">
        <f>$U46*2/5</f>
        <v>18</v>
      </c>
      <c r="Y46" s="180">
        <f>$U46/5</f>
        <v>9</v>
      </c>
      <c r="Z46" s="180">
        <v>0</v>
      </c>
      <c r="AA46" s="178">
        <f>Servos!E7</f>
        <v>40</v>
      </c>
      <c r="AB46" s="162">
        <f>SIN(U46*PI()/180)/SIN(U45*PI()/180)</f>
        <v>1.4142135623730951</v>
      </c>
      <c r="AD46" s="9"/>
    </row>
    <row r="47" spans="1:30" ht="12.75">
      <c r="A47" s="343"/>
      <c r="B47" s="343"/>
      <c r="C47" s="343"/>
      <c r="D47" s="343"/>
      <c r="E47" s="343"/>
      <c r="F47" s="343"/>
      <c r="G47" s="343"/>
      <c r="H47" s="343"/>
      <c r="I47" s="343"/>
      <c r="J47" s="343"/>
      <c r="U47" s="345">
        <f>(($AA45+$AA46)/2)^2*$X$41^2*$AA47*SIN(U45*PI()/180)*TAN(U45*PI()/180)/TAN(U46*PI()/180)/423241618/0.981/6.5</f>
        <v>0.3696684451100219</v>
      </c>
      <c r="V47" s="279">
        <f>(($AA45+$AA46)/2)^2*$X$41^2*$AA47*SIN(V45*PI()/180)*TAN(V45*PI()/180)/TAN(V46*PI()/180)/423241618/0.981/6.5</f>
        <v>0.3606269094367355</v>
      </c>
      <c r="W47" s="279">
        <f>(($AA45+$AA46)/2)^2*$X$41^2*$AA47*SIN(W45*PI()/180)*TAN(W45*PI()/180)/TAN(W46*PI()/180)/423241618/0.981/6.5</f>
        <v>0.2845287578528167</v>
      </c>
      <c r="X47" s="279">
        <f>(($AA45+$AA46)/2)^2*$X$41^2*$AA47*SIN(X45*PI()/180)*TAN(X45*PI()/180)/TAN(X46*PI()/180)/423241618/0.981/6.5</f>
        <v>0.19613096586937542</v>
      </c>
      <c r="Y47" s="279">
        <f>(($AA45+$AA46)/2)^2*$X$41^2*$AA47*SIN(Y45*PI()/180)*TAN(Y45*PI()/180)/TAN(Y46*PI()/180)/423241618/0.981/6.5</f>
        <v>0.09995350358626376</v>
      </c>
      <c r="Z47" s="279">
        <v>0</v>
      </c>
      <c r="AA47" s="228">
        <f>Servos!E8</f>
        <v>150</v>
      </c>
      <c r="AB47" s="346">
        <f>((AA45+AA46)/2/1000)^2*AA47/1000*$X$41^2*U45/200/AB46</f>
        <v>0.3665641553671062</v>
      </c>
      <c r="AD47" s="9"/>
    </row>
    <row r="48" spans="1:30" ht="12.75">
      <c r="A48" s="343"/>
      <c r="B48" s="343"/>
      <c r="C48" s="343"/>
      <c r="D48" s="343"/>
      <c r="E48" s="343"/>
      <c r="F48" s="343"/>
      <c r="G48" s="343"/>
      <c r="H48" s="343"/>
      <c r="I48" s="343"/>
      <c r="J48" s="343"/>
      <c r="U48" s="214">
        <f>Servos!G9</f>
        <v>15</v>
      </c>
      <c r="V48" s="155">
        <f>ASIN(SIN(V49*PI()/180/$AB49))*180/PI()</f>
        <v>12.423314164920995</v>
      </c>
      <c r="W48" s="155">
        <f>ASIN(SIN(W49*PI()/180/$AB49))*180/PI()</f>
        <v>9.317485623690748</v>
      </c>
      <c r="X48" s="155">
        <f>ASIN(SIN(X49*PI()/180/$AB49))*180/PI()</f>
        <v>6.211657082460499</v>
      </c>
      <c r="Y48" s="155">
        <f>ASIN(SIN(Y49*PI()/180/$AB49))*180/PI()</f>
        <v>3.105828541230249</v>
      </c>
      <c r="Z48" s="158">
        <f>ASIN(SIN(Z49*PI()/180/$AB$43))*180/PI()</f>
        <v>0</v>
      </c>
      <c r="AA48" s="214">
        <f>Servos!G6</f>
        <v>40</v>
      </c>
      <c r="AB48" s="171" t="s">
        <v>221</v>
      </c>
      <c r="AD48" s="9"/>
    </row>
    <row r="49" spans="1:30" ht="12.75">
      <c r="A49" s="343"/>
      <c r="B49" s="343"/>
      <c r="C49" s="343"/>
      <c r="D49" s="343"/>
      <c r="E49" s="343"/>
      <c r="F49" s="343"/>
      <c r="G49" s="343"/>
      <c r="H49" s="343"/>
      <c r="I49" s="343"/>
      <c r="J49" s="343"/>
      <c r="U49" s="178">
        <f>Servos!G11</f>
        <v>30</v>
      </c>
      <c r="V49" s="180">
        <f>$U49*4/5</f>
        <v>24</v>
      </c>
      <c r="W49" s="180">
        <f>$U49*3/5</f>
        <v>18</v>
      </c>
      <c r="X49" s="180">
        <f>$U49*2/5</f>
        <v>12</v>
      </c>
      <c r="Y49" s="180">
        <f>$U49/5</f>
        <v>6</v>
      </c>
      <c r="Z49" s="180">
        <v>0</v>
      </c>
      <c r="AA49" s="178">
        <f>Servos!G7</f>
        <v>30</v>
      </c>
      <c r="AB49" s="162">
        <f>SIN(U49*PI()/180)/SIN(U48*PI()/180)</f>
        <v>1.9318516525781366</v>
      </c>
      <c r="AD49" s="9"/>
    </row>
    <row r="50" spans="1:28" ht="12.75">
      <c r="A50" s="343"/>
      <c r="B50" s="343"/>
      <c r="C50" s="343"/>
      <c r="D50" s="343"/>
      <c r="E50" s="343"/>
      <c r="F50" s="343"/>
      <c r="G50" s="343"/>
      <c r="H50" s="343"/>
      <c r="I50" s="343"/>
      <c r="J50" s="343"/>
      <c r="U50" s="345">
        <f>(($AA48+$AA49)/2)^2*$X$41^2*$AA50*SIN(U48*PI()/180)*TAN(U48*PI()/180)/TAN(U49*PI()/180)/423241618/0.981/6.5</f>
        <v>0.16574798321540646</v>
      </c>
      <c r="V50" s="279">
        <f>(($AA48+$AA49)/2)^2*$X$41^2*$AA50*SIN(V48*PI()/180)*TAN(V48*PI()/180)/TAN(V49*PI()/180)/423241618/0.981/6.5</f>
        <v>0.14687869206544735</v>
      </c>
      <c r="W50" s="279">
        <f>(($AA48+$AA49)/2)^2*$X$41^2*$AA50*SIN(W48*PI()/180)*TAN(W48*PI()/180)/TAN(W49*PI()/180)/423241618/0.981/6.5</f>
        <v>0.1128109880394408</v>
      </c>
      <c r="X50" s="279">
        <f>(($AA48+$AA49)/2)^2*$X$41^2*$AA50*SIN(X48*PI()/180)*TAN(X48*PI()/180)/TAN(X49*PI()/180)/423241618/0.981/6.5</f>
        <v>0.07645206239959537</v>
      </c>
      <c r="Y50" s="279">
        <f>(($AA48+$AA49)/2)^2*$X$41^2*$AA50*SIN(Y48*PI()/180)*TAN(Y48*PI()/180)/TAN(Y49*PI()/180)/423241618/0.981/6.5</f>
        <v>0.038595917820194295</v>
      </c>
      <c r="Z50" s="279">
        <v>0</v>
      </c>
      <c r="AA50" s="228">
        <f>Servos!G8</f>
        <v>475</v>
      </c>
      <c r="AB50" s="346">
        <f>((AA48+AA49)/2/1000)^2*AA50/1000*$X$41^2*U48/200/AB49</f>
        <v>0.1445763185942681</v>
      </c>
    </row>
    <row r="51" spans="1:28" ht="12.75">
      <c r="A51" s="343"/>
      <c r="B51" s="343"/>
      <c r="C51" s="343"/>
      <c r="D51" s="343"/>
      <c r="E51" s="343"/>
      <c r="F51" s="343"/>
      <c r="G51" s="343"/>
      <c r="H51" s="343"/>
      <c r="I51" s="343"/>
      <c r="J51" s="343"/>
      <c r="U51" s="214">
        <f>Servos!I9</f>
        <v>30</v>
      </c>
      <c r="V51" s="155">
        <f>ASIN(SIN(V52*PI()/180/$AB52))*180/PI()</f>
        <v>24</v>
      </c>
      <c r="W51" s="155">
        <f>ASIN(SIN(W52*PI()/180/$AB52))*180/PI()</f>
        <v>18</v>
      </c>
      <c r="X51" s="155">
        <f>ASIN(SIN(X52*PI()/180/$AB52))*180/PI()</f>
        <v>12</v>
      </c>
      <c r="Y51" s="155">
        <f>ASIN(SIN(Y52*PI()/180/$AB52))*180/PI()</f>
        <v>6</v>
      </c>
      <c r="Z51" s="158">
        <f>ASIN(SIN(Z52*PI()/180/$AB$43))*180/PI()</f>
        <v>0</v>
      </c>
      <c r="AA51" s="214">
        <f>Servos!I6</f>
        <v>40</v>
      </c>
      <c r="AB51" s="171" t="s">
        <v>221</v>
      </c>
    </row>
    <row r="52" spans="1:28" ht="12.75">
      <c r="A52" s="343"/>
      <c r="B52" s="343"/>
      <c r="C52" s="343"/>
      <c r="D52" s="343"/>
      <c r="E52" s="343"/>
      <c r="F52" s="343"/>
      <c r="G52" s="343"/>
      <c r="H52" s="343"/>
      <c r="I52" s="343"/>
      <c r="J52" s="343"/>
      <c r="U52" s="178">
        <f>Servos!I11</f>
        <v>30</v>
      </c>
      <c r="V52" s="180">
        <f>$U52*4/5</f>
        <v>24</v>
      </c>
      <c r="W52" s="180">
        <f>$U52*3/5</f>
        <v>18</v>
      </c>
      <c r="X52" s="180">
        <f>$U52*2/5</f>
        <v>12</v>
      </c>
      <c r="Y52" s="180">
        <f>$U52/5</f>
        <v>6</v>
      </c>
      <c r="Z52" s="180">
        <v>0</v>
      </c>
      <c r="AA52" s="178">
        <f>Servos!I7</f>
        <v>40</v>
      </c>
      <c r="AB52" s="162">
        <f>SIN(U52*PI()/180)/SIN(U51*PI()/180)</f>
        <v>1</v>
      </c>
    </row>
    <row r="53" spans="1:28" ht="12.75">
      <c r="A53" s="343"/>
      <c r="B53" s="343"/>
      <c r="C53" s="343"/>
      <c r="D53" s="343"/>
      <c r="E53" s="343"/>
      <c r="F53" s="343"/>
      <c r="G53" s="343"/>
      <c r="H53" s="343"/>
      <c r="I53" s="343"/>
      <c r="J53" s="343"/>
      <c r="U53" s="345">
        <f>(($AA51+$AA52)/2)^2*$X$41^2*$AA53*SIN(U51*PI()/180)*TAN(U51*PI()/180)/TAN(U52*PI()/180)/423241618/0.981/6.5</f>
        <v>0.5691418034538174</v>
      </c>
      <c r="V53" s="279">
        <f>(($AA51+$AA52)/2)^2*$X$41^2*$AA53*SIN(V51*PI()/180)*TAN(V51*PI()/180)/TAN(V52*PI()/180)/423241618/0.981/6.5</f>
        <v>0.4629816531418252</v>
      </c>
      <c r="W53" s="279">
        <f>(($AA51+$AA52)/2)^2*$X$41^2*$AA53*SIN(W51*PI()/180)*TAN(W51*PI()/180)/TAN(W52*PI()/180)/423241618/0.981/6.5</f>
        <v>0.3517489789528715</v>
      </c>
      <c r="X53" s="279">
        <f>(($AA51+$AA52)/2)^2*$X$41^2*$AA53*SIN(X51*PI()/180)*TAN(X51*PI()/180)/TAN(X52*PI()/180)/423241618/0.981/6.5</f>
        <v>0.23666246934230412</v>
      </c>
      <c r="Y53" s="279">
        <f>(($AA51+$AA52)/2)^2*$X$41^2*$AA53*SIN(Y51*PI()/180)*TAN(Y51*PI()/180)/TAN(Y52*PI()/180)/423241618/0.981/6.5</f>
        <v>0.11898303619281682</v>
      </c>
      <c r="Z53" s="279">
        <v>0</v>
      </c>
      <c r="AA53" s="228">
        <f>Servos!I8</f>
        <v>300</v>
      </c>
      <c r="AB53" s="346">
        <f>((AA51+AA52)/2/1000)^2*AA53/1000*$X$41^2*U51/200/AB52</f>
        <v>0.4608</v>
      </c>
    </row>
    <row r="54" spans="1:26" ht="12.75">
      <c r="A54" s="343"/>
      <c r="B54" s="343"/>
      <c r="C54" s="343"/>
      <c r="D54" s="343"/>
      <c r="E54" s="343"/>
      <c r="F54" s="343"/>
      <c r="G54" s="343"/>
      <c r="H54" s="343"/>
      <c r="I54" s="343"/>
      <c r="J54" s="343"/>
      <c r="U54" s="177">
        <f aca="true" t="shared" si="4" ref="U54:Z54">IF($Z$41=1,U44,IF($Z$41=2,U47,IF($Z$41=3,U50,U53)))</f>
        <v>0.05227941767694819</v>
      </c>
      <c r="V54" s="177">
        <f t="shared" si="4"/>
        <v>0.056176167607770514</v>
      </c>
      <c r="W54" s="177">
        <f t="shared" si="4"/>
        <v>0.04497835712420791</v>
      </c>
      <c r="X54" s="177">
        <f t="shared" si="4"/>
        <v>0.03130890245151142</v>
      </c>
      <c r="Y54" s="177">
        <f t="shared" si="4"/>
        <v>0.016045276748434686</v>
      </c>
      <c r="Z54" s="177">
        <f t="shared" si="4"/>
        <v>0</v>
      </c>
    </row>
    <row r="55" spans="1:29" ht="12.75">
      <c r="A55" s="343"/>
      <c r="B55" s="343"/>
      <c r="C55" s="343"/>
      <c r="D55" s="343"/>
      <c r="E55" s="343"/>
      <c r="F55" s="343"/>
      <c r="G55" s="343"/>
      <c r="H55" s="343"/>
      <c r="I55" s="343"/>
      <c r="J55" s="343"/>
      <c r="U55" s="347">
        <v>1</v>
      </c>
      <c r="V55" s="348">
        <v>0.8</v>
      </c>
      <c r="W55" s="348">
        <v>0.6</v>
      </c>
      <c r="X55" s="348">
        <v>0.4</v>
      </c>
      <c r="Y55" s="348">
        <v>0.2</v>
      </c>
      <c r="Z55" s="349">
        <v>0</v>
      </c>
      <c r="AA55" s="186">
        <v>0</v>
      </c>
      <c r="AB55" s="218">
        <f>R45</f>
        <v>-0.07</v>
      </c>
      <c r="AC55" s="252"/>
    </row>
    <row r="56" spans="1:29" ht="12.75">
      <c r="A56" s="343"/>
      <c r="B56" s="343"/>
      <c r="C56" s="343"/>
      <c r="D56" s="343"/>
      <c r="E56" s="343"/>
      <c r="F56" s="343"/>
      <c r="G56" s="343"/>
      <c r="H56" s="343"/>
      <c r="I56" s="343"/>
      <c r="J56" s="343"/>
      <c r="U56" s="214">
        <f>Servos!L9</f>
        <v>8</v>
      </c>
      <c r="V56" s="158">
        <f>ASIN(SIN(V57*PI()/180/$AB$57))*180/PI()</f>
        <v>7.085537528228806</v>
      </c>
      <c r="W56" s="158">
        <f>ASIN(SIN(W57*PI()/180/$AB$57))*180/PI()</f>
        <v>5.314153146171605</v>
      </c>
      <c r="X56" s="158">
        <f>ASIN(SIN(X57*PI()/180/$AB$57))*180/PI()</f>
        <v>3.542768764114403</v>
      </c>
      <c r="Y56" s="158">
        <f>ASIN(SIN(Y57*PI()/180/$AB$57))*180/PI()</f>
        <v>1.7713843820572017</v>
      </c>
      <c r="Z56" s="158">
        <f>ASIN(SIN(Z57*PI()/180/$AB$57))*180/PI()</f>
        <v>0</v>
      </c>
      <c r="AA56" s="178" t="s">
        <v>218</v>
      </c>
      <c r="AB56" s="260" t="s">
        <v>221</v>
      </c>
      <c r="AC56" s="172"/>
    </row>
    <row r="57" spans="1:29" ht="12.75">
      <c r="A57" s="343"/>
      <c r="B57" s="343"/>
      <c r="C57" s="343"/>
      <c r="D57" s="343"/>
      <c r="E57" s="343"/>
      <c r="F57" s="343"/>
      <c r="G57" s="343"/>
      <c r="H57" s="343"/>
      <c r="I57" s="343"/>
      <c r="J57" s="343"/>
      <c r="U57" s="268">
        <f>Servos!L11</f>
        <v>45</v>
      </c>
      <c r="V57" s="155">
        <f>$U$57*V55</f>
        <v>36</v>
      </c>
      <c r="W57" s="155">
        <f>$U$57*W55</f>
        <v>27</v>
      </c>
      <c r="X57" s="155">
        <f>$U$57*X55</f>
        <v>18</v>
      </c>
      <c r="Y57" s="155">
        <f>$U$57*Y55</f>
        <v>9</v>
      </c>
      <c r="Z57" s="155">
        <f>$U$57*Z55</f>
        <v>0</v>
      </c>
      <c r="AA57" s="178">
        <f>Servos!L4</f>
        <v>80</v>
      </c>
      <c r="AB57" s="162">
        <f>SIN(U57*PI()/180)/SIN(U56*PI()/180)</f>
        <v>5.080771904259328</v>
      </c>
      <c r="AC57" s="172"/>
    </row>
    <row r="58" spans="1:29" ht="12.75">
      <c r="A58" s="343"/>
      <c r="B58" s="343"/>
      <c r="C58" s="343"/>
      <c r="D58" s="343"/>
      <c r="E58" s="343"/>
      <c r="F58" s="343"/>
      <c r="G58" s="343"/>
      <c r="H58" s="343"/>
      <c r="I58" s="343"/>
      <c r="J58" s="343"/>
      <c r="U58" s="350">
        <f>0.5*1.225*$B$16*($AA$57/3.6)^2*U56/9.1/10*Servos!$L$7*$N$14/10*TAN(U56*PI()/180)/TAN(U57*PI()/180)</f>
        <v>1.112042367622923</v>
      </c>
      <c r="V58" s="279">
        <f>0.5*1.225*$B$16*($AA$57/3.6)^2*V56/9.1/10*Servos!$L$7*$N$14/10*TAN(V56*PI()/180)/TAN(V57*PI()/180)</f>
        <v>1.1989818589636487</v>
      </c>
      <c r="W58" s="279">
        <f>0.5*1.225*$B$16*($AA$57/3.6)^2*W56/9.1/10*Servos!$L$7*$N$14/10*TAN(W56*PI()/180)/TAN(W57*PI()/180)</f>
        <v>0.9595249609780077</v>
      </c>
      <c r="X58" s="279">
        <f>0.5*1.225*$B$16*($AA$57/3.6)^2*X56/9.1/10*Servos!$L$7*$N$14/10*TAN(X56*PI()/180)/TAN(X57*PI()/180)</f>
        <v>0.667682106031445</v>
      </c>
      <c r="Y58" s="277">
        <f>0.5*1.225*$B$16*($AA$57/3.6)^2*Y56/9.1/10*Servos!$L$7*$N$14/10*TAN(Y56*PI()/180)/TAN(Y57*PI()/180)</f>
        <v>0.3421036401574946</v>
      </c>
      <c r="Z58" s="277">
        <v>0</v>
      </c>
      <c r="AA58" s="194"/>
      <c r="AB58" s="346">
        <f>N14/1000*N19*AA57^2*U56/40000/AB57</f>
        <v>1.499337530506699</v>
      </c>
      <c r="AC58" s="172"/>
    </row>
    <row r="59" spans="1:29" ht="12.75">
      <c r="A59" s="343"/>
      <c r="B59" s="343"/>
      <c r="C59" s="343"/>
      <c r="D59" s="343"/>
      <c r="E59" s="343"/>
      <c r="F59" s="343"/>
      <c r="G59" s="343"/>
      <c r="H59" s="343"/>
      <c r="I59" s="343"/>
      <c r="J59" s="343"/>
      <c r="U59" s="214">
        <v>45</v>
      </c>
      <c r="V59" s="180">
        <f>$U$59*V55</f>
        <v>36</v>
      </c>
      <c r="W59" s="180">
        <f>$U$59*W55</f>
        <v>27</v>
      </c>
      <c r="X59" s="180">
        <f>$U$59*X55</f>
        <v>18</v>
      </c>
      <c r="Y59" s="170">
        <f>$U$59*Y55</f>
        <v>9</v>
      </c>
      <c r="Z59" s="170">
        <f>$U$59*Z55</f>
        <v>0</v>
      </c>
      <c r="AA59" s="205" t="s">
        <v>218</v>
      </c>
      <c r="AB59" s="207" t="s">
        <v>221</v>
      </c>
      <c r="AC59" s="351" t="s">
        <v>224</v>
      </c>
    </row>
    <row r="60" spans="1:29" ht="12.75">
      <c r="A60" s="343"/>
      <c r="B60" s="343"/>
      <c r="C60" s="343"/>
      <c r="D60" s="343"/>
      <c r="E60" s="343"/>
      <c r="F60" s="343"/>
      <c r="G60" s="343"/>
      <c r="H60" s="343"/>
      <c r="I60" s="343"/>
      <c r="J60" s="343"/>
      <c r="U60" s="178">
        <v>8</v>
      </c>
      <c r="V60" s="155">
        <f>ASIN(SIN(V59*PI()/180/$AB$60))*180/PI()</f>
        <v>7.085537528228806</v>
      </c>
      <c r="W60" s="155">
        <f>ASIN(SIN(W59*PI()/180/$AB$60))*180/PI()</f>
        <v>5.314153146171605</v>
      </c>
      <c r="X60" s="155">
        <f>ASIN(SIN(X59*PI()/180/$AB$60))*180/PI()</f>
        <v>3.542768764114403</v>
      </c>
      <c r="Y60" s="155">
        <f>ASIN(SIN(Y59*PI()/180/$AB$60))*180/PI()</f>
        <v>1.7713843820572017</v>
      </c>
      <c r="Z60" s="155">
        <f>ASIN(SIN(Z59*PI()/180/$AB$60))*180/PI()</f>
        <v>0</v>
      </c>
      <c r="AA60" s="163">
        <f>Servos!C17</f>
        <v>80</v>
      </c>
      <c r="AB60" s="162">
        <f>SIN(U59*PI()/180)/SIN(U60*PI()/180)</f>
        <v>5.080771904259328</v>
      </c>
      <c r="AC60" s="352">
        <v>0.25</v>
      </c>
    </row>
    <row r="61" spans="1:29" ht="12.75">
      <c r="A61" s="343"/>
      <c r="B61" s="343"/>
      <c r="C61" s="343"/>
      <c r="D61" s="343"/>
      <c r="E61" s="343"/>
      <c r="F61" s="343"/>
      <c r="G61" s="343"/>
      <c r="H61" s="343"/>
      <c r="I61" s="343"/>
      <c r="J61" s="343"/>
      <c r="U61" s="353">
        <f>U60/9.1+0.12</f>
        <v>0.9991208791208791</v>
      </c>
      <c r="V61" s="179">
        <f>V60/9.1+0.096</f>
        <v>0.8746304976075611</v>
      </c>
      <c r="W61" s="179">
        <f>W60/9.1+0.072</f>
        <v>0.6559728732056708</v>
      </c>
      <c r="X61" s="179">
        <f>X60/9.1+0.048</f>
        <v>0.43731524880378053</v>
      </c>
      <c r="Y61" s="179">
        <f>Y60/9.1+0.024</f>
        <v>0.2186576244018903</v>
      </c>
      <c r="Z61" s="179">
        <v>0.001</v>
      </c>
      <c r="AA61" s="354" t="s">
        <v>225</v>
      </c>
      <c r="AB61" s="164" t="s">
        <v>226</v>
      </c>
      <c r="AC61" s="355" t="s">
        <v>227</v>
      </c>
    </row>
    <row r="62" spans="1:29" ht="12.75">
      <c r="A62" s="343"/>
      <c r="B62" s="343"/>
      <c r="C62" s="343"/>
      <c r="D62" s="343"/>
      <c r="E62" s="343"/>
      <c r="F62" s="343"/>
      <c r="G62" s="343"/>
      <c r="H62" s="343"/>
      <c r="I62" s="343"/>
      <c r="J62" s="343"/>
      <c r="U62" s="269">
        <f>$AB$62-(0.25-AB55/U61)*$N$8</f>
        <v>91.05292722957077</v>
      </c>
      <c r="V62" s="161">
        <f>$AB$62-(0.25-AB55/V61)*$N$8</f>
        <v>86.72785663518806</v>
      </c>
      <c r="W62" s="161">
        <f>$AB$62-(0.25-AB55/W61)*$N$8</f>
        <v>75.15730186088945</v>
      </c>
      <c r="X62" s="161">
        <f>$AB$62-(0.25-AB55/X61)*$N$8</f>
        <v>52.016192312292276</v>
      </c>
      <c r="Y62" s="161">
        <f>$AB$62-(0.25-AB55/Y61)*$N$8</f>
        <v>-17.407136333499295</v>
      </c>
      <c r="Z62" s="161">
        <f>$AB$62-(0.25-AB55/Z61)*$N$8</f>
        <v>-30238.440718562873</v>
      </c>
      <c r="AA62" s="262" t="s">
        <v>228</v>
      </c>
      <c r="AB62" s="164">
        <f>N8*(0.25-AB55/AC60)</f>
        <v>229.86766467065868</v>
      </c>
      <c r="AC62" s="356">
        <f>N10+N8*(-AB55/AC60)</f>
        <v>247.5922155688623</v>
      </c>
    </row>
    <row r="63" spans="1:28" ht="12.75">
      <c r="A63" s="343"/>
      <c r="B63" s="343"/>
      <c r="C63" s="343"/>
      <c r="D63" s="343"/>
      <c r="E63" s="343"/>
      <c r="F63" s="343"/>
      <c r="G63" s="343"/>
      <c r="H63" s="343"/>
      <c r="I63" s="343"/>
      <c r="J63" s="343"/>
      <c r="U63" s="345">
        <f>0.5*0.5*1.225*($AA$60/3.6)^2*$B$12*U61/10*U62/10*TAN(U60*PI()/180)/TAN(U59*PI()/180)</f>
        <v>16.387702197076337</v>
      </c>
      <c r="V63" s="279">
        <f>0.5*0.5*1.225*($AA$60/3.6)^2*$B$12*V61/10*V62/10*TAN(V60*PI()/180)/TAN(V59*PI()/180)</f>
        <v>16.634042592039172</v>
      </c>
      <c r="W63" s="279">
        <f>0.5*0.5*1.225*($AA$60/3.6)^2*$B$12*W61/10*W62/10*TAN(W60*PI()/180)/TAN(W59*PI()/180)</f>
        <v>11.535967956763342</v>
      </c>
      <c r="X63" s="279">
        <f>0.5*0.5*1.225*($AA$60/3.6)^2*$B$12*X61/10*X62/10*TAN(X60*PI()/180)/TAN(X59*PI()/180)</f>
        <v>5.5556500098101465</v>
      </c>
      <c r="Y63" s="279">
        <f>0.5*0.5*1.225*($AA$60/3.6)^2*$B$12*Y61/10*Y62/10*TAN(Y60*PI()/180)/TAN(Y59*PI()/180)</f>
        <v>-0.9526022646242424</v>
      </c>
      <c r="Z63" s="279">
        <f>0.5*0.5*1.225*($AA$60/3.6)^2*$B$12*Z61/10*Z62/10/AB60</f>
        <v>-7.628396915566373</v>
      </c>
      <c r="AA63" s="244"/>
      <c r="AB63" s="346">
        <f>-AB55*N8/1000*N7*AA60^2/200/AB60</f>
        <v>16.20588870186709</v>
      </c>
    </row>
  </sheetData>
  <sheetProtection selectLockedCells="1" selectUnlockedCells="1"/>
  <mergeCells count="1">
    <mergeCell ref="K34:K37"/>
  </mergeCell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PAGNIER</dc:creator>
  <cp:keywords/>
  <dc:description/>
  <cp:lastModifiedBy>Vincent PAGNIER</cp:lastModifiedBy>
  <dcterms:created xsi:type="dcterms:W3CDTF">2015-02-25T21:29:17Z</dcterms:created>
  <dcterms:modified xsi:type="dcterms:W3CDTF">2016-05-18T19:21:48Z</dcterms:modified>
  <cp:category/>
  <cp:version/>
  <cp:contentType/>
  <cp:contentStatus/>
</cp:coreProperties>
</file>